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Programming Projects\Python Scripts\Crossing_Inspection_GUI_PyQt\data\input\"/>
    </mc:Choice>
  </mc:AlternateContent>
  <xr:revisionPtr revIDLastSave="0" documentId="8_{86EDF186-AB8C-4F5C-B91A-ED6F15F7FB2E}" xr6:coauthVersionLast="47" xr6:coauthVersionMax="47" xr10:uidLastSave="{00000000-0000-0000-0000-000000000000}"/>
  <bookViews>
    <workbookView xWindow="-98" yWindow="-98" windowWidth="20715" windowHeight="13276" xr2:uid="{9C8AFF9B-8D2C-4BA5-83B9-03F834C751D1}"/>
  </bookViews>
  <sheets>
    <sheet name="Inspection Form Template" sheetId="1" r:id="rId1"/>
  </sheets>
  <externalReferences>
    <externalReference r:id="rId2"/>
  </externalReferences>
  <definedNames>
    <definedName name="AAWD_Calculate_Advance_Activation_Time_Design_N_or_E_Approach">'Inspection Form Template'!$T$1491</definedName>
    <definedName name="AAWD_Calculate_Advance_Activation_Time_Design_S_or_W_Approach">'Inspection Form Template'!$AA$1491</definedName>
    <definedName name="AAWD_Calculate_Distance_Sign_and_Stop_N_or_E_Approach_Recommended">'Inspection Form Template'!$J$1487</definedName>
    <definedName name="AAWD_Calculate_Distance_Sign_and_Stop_S_or_W_Approach_Recommended">'Inspection Form Template'!$U$1487</definedName>
    <definedName name="AAWD_Comments">'Inspection Form Template'!$A$1499</definedName>
    <definedName name="AAWD_Measure_Distance_Sign_and_Stop_N_or_E_Approach_Actual">'Inspection Form Template'!$J$1489</definedName>
    <definedName name="AAWD_Measure_Distance_Sign_and_Stop_S_or_W_Approach_Actual">'Inspection Form Template'!$U$1489</definedName>
    <definedName name="AAWD_Observe_Present_N_or_E_Approach">'Inspection Form Template'!$Y$1464</definedName>
    <definedName name="AAWD_Observe_Present_S_or_W_Approach">'Inspection Form Template'!$Y$1465</definedName>
    <definedName name="AAWD_Road_AAWD_Sufficient_Activation_Time_N_or_E_Approach">'Inspection Form Template'!$H$1496</definedName>
    <definedName name="AAWD_Road_AAWD_Sufficient_Activation_Time_S_or_W_Approach">'Inspection Form Template'!$S$1496</definedName>
    <definedName name="AAWD_Warrant_GCR_Lookup_Road_Classification">'Inspection Form Template'!$Y$1468</definedName>
    <definedName name="AAWD_Warrant_GCR_Observe_Environmental_Condition">'Inspection Form Template'!$Y$1471</definedName>
    <definedName name="AAWD_Warrant_GCR_Observe_Sightline_Obstruction">'Inspection Form Template'!$Y$1469</definedName>
    <definedName name="AAWD_Warrant_MUTCD_Lookup_Road_Speed_Limit_Greater_Than_90_km_per_hr">'Inspection Form Template'!$Y$1475</definedName>
    <definedName name="AAWD_Warrant_MUTCD_Lookup_Significant_Road_Downgrade">'Inspection Form Template'!$Y$1476</definedName>
    <definedName name="Areas_Without_Train_Whistling_Comments">'Inspection Form Template'!$A$1633</definedName>
    <definedName name="Areas_Without_Train_Whistling_Lookup_GCS_12_to_16">'Inspection Form Template'!$Y$1628</definedName>
    <definedName name="Areas_Without_Train_Whistling_Lookup_GCS_9.2">'Inspection Form Template'!$Y$1626</definedName>
    <definedName name="Areas_Without_Train_Whistling_Observe_For_Stop_and_Proceed">'Inspection Form Template'!$Y$1629</definedName>
    <definedName name="Areas_Without_Train_Whistling_Observe_Trespassing_Area">'Inspection Form Template'!$Y$1622</definedName>
    <definedName name="Areas_Without_Train_Whistling_Rail_Anti_Whistling_Zone">'Inspection Form Template'!$Y$1619</definedName>
    <definedName name="Areas_Without_Train_Whistling_Rail_Anti_Whistling_Zone_24_Hrs">'Inspection Form Template'!$Y$1620</definedName>
    <definedName name="Areas_Without_Train_Whistling_Requirements_Observe_Table_D1">'Inspection Form Template'!$Y$1625</definedName>
    <definedName name="Collision_History_Comments">'Inspection Form Template'!$A$103</definedName>
    <definedName name="Collision_History_Fatal_Injury">'Inspection Form Template'!$P$96</definedName>
    <definedName name="Collision_History_Fatalities">'Inspection Form Template'!$AB$96</definedName>
    <definedName name="Collision_History_Personal_Injuries">'Inspection Form Template'!$AB$95</definedName>
    <definedName name="Collision_History_Personal_Injury">'Inspection Form Template'!$P$95</definedName>
    <definedName name="Collision_History_Property_Damage">'Inspection Form Template'!$P$94</definedName>
    <definedName name="Collision_History_Total_5_Year_Period">'Inspection Form Template'!$P$97</definedName>
    <definedName name="CRRGCS_Table_4_1_General_Vehicle_Descriptions">'[1]GCS Tables and Figures'!$A$5:$A$16</definedName>
    <definedName name="Design_Calculate_Adjacent_Track_Clearance_Time">'Inspection Form Template'!$P$310</definedName>
    <definedName name="Design_Calculate_Clearance_Time_Crossing_Pedestrian_Design_Check">'Inspection Form Template'!$J$304</definedName>
    <definedName name="Design_Calculate_Clearance_Time_Crossing_Vehicle_Design_Check">'Inspection Form Template'!$P$293</definedName>
    <definedName name="Design_Calculate_Clearance_Time_Gate_Arm_SSD">'Inspection Form Template'!$I$1411</definedName>
    <definedName name="Design_Calculate_Clearance_Time_Gate_Arm_Stop">'Inspection Form Template'!$I$1414</definedName>
    <definedName name="Design_Calculate_Vehicle_Travel_Distance">'Inspection Form Template'!$P$291</definedName>
    <definedName name="Design_Considerations_Comments">'Inspection Form Template'!$A$313</definedName>
    <definedName name="Design_Input_Reaction_Time">'Inspection Form Template'!$I$294</definedName>
    <definedName name="Design_Lookup_Design_Vehicle_Class">'Inspection Form Template'!$U$288</definedName>
    <definedName name="Design_Lookup_Design_Vehicle_Length">'Inspection Form Template'!$K$288</definedName>
    <definedName name="Design_Lookup_Grade_Adjustment_Factor">'Inspection Form Template'!$I$298</definedName>
    <definedName name="Design_Lookup_Vehicle_Departure_Time_Crossing">'Inspection Form Template'!$I$296</definedName>
    <definedName name="Design_Lookup_Vehicle_Departure_Time_Gate_Arm_Clearance">'Inspection Form Template'!$P$1413</definedName>
    <definedName name="Design_Measure_Adjacent_Track_Clearance_Distance">'Inspection Form Template'!$P$309</definedName>
    <definedName name="Design_Measure_Adjacent_Track_Separation_Distance">'Inspection Form Template'!$P$308</definedName>
    <definedName name="Design_Measure_Clearance_Distance_Pedestrian">'Inspection Form Template'!$J$302</definedName>
    <definedName name="Design_Measure_Clearance_Distance_Vehicle">'Inspection Form Template'!$P$290</definedName>
    <definedName name="Design_Observe_Field_Acceleration_Times_Exceed_Td">'Inspection Form Template'!$X$300</definedName>
    <definedName name="Design_Road_Design_Vehicle_Type">'Inspection Form Template'!$H$287</definedName>
    <definedName name="Design_Road_Max_Approach_Grade_Within_S">'Inspection Form Template'!$I$297</definedName>
    <definedName name="Gates_GCWS_Calculate_Gate_Arm_Clearance_Time_Recommended">'Inspection Form Template'!$F$1415</definedName>
    <definedName name="Gates_GCWS_Calculate_Inner_Gate_Arm_Delay_Time_Recommended">'Inspection Form Template'!$AA$1416</definedName>
    <definedName name="Gates_GCWS_Comments">'Inspection Form Template'!$A$1433</definedName>
    <definedName name="Gates_GCWS_Measure_Distance_Between_Gate_End_and_Road_CL_N_or_E_Approach">'Inspection Form Template'!$J$1426</definedName>
    <definedName name="Gates_GCWS_Measure_Distance_Between_Gate_End_and_Road_CL_S_or_W_Approach">'Inspection Form Template'!$V$1426</definedName>
    <definedName name="Gates_GCWS_Measure_Gate_Ascent_Time">'Inspection Form Template'!$U$1427</definedName>
    <definedName name="Gates_GCWS_Measure_Gate_Descent_Time">'Inspection Form Template'!$J$1427</definedName>
    <definedName name="Gates_GCWS_Observe_Gate_Arm_Rest">'Inspection Form Template'!$Z$1429</definedName>
    <definedName name="Gates_GCWS_Observe_Gate_Ascent_Time">'Inspection Form Template'!$M$1428</definedName>
    <definedName name="Gates_GCWS_Observe_Gate_Descent_Time">'Inspection Form Template'!$Z$1428</definedName>
    <definedName name="Gates_GCWS_Observe_Gate_Strips_N_or_E_Approach">'Inspection Form Template'!$I$1424</definedName>
    <definedName name="Gates_GCWS_Observe_Gate_Strips_S_or_W_Approach">'Inspection Form Template'!$U$1424</definedName>
    <definedName name="Gates_GCWS_Observe_Per_Fig_12.2">'Inspection Form Template'!$Q$1422</definedName>
    <definedName name="Gates_GCWS_Rail_Gate_Arm_Delay_Time_Design">'Inspection Form Template'!$Z$1418</definedName>
    <definedName name="Gates_GCWS_Rail_Gate_Arm_Descent_Time_Design">'Inspection Form Template'!$Z$1420</definedName>
    <definedName name="Gates_GCWS_Rail_Inner_Gate_Arm_Delay_Time_Design">'Inspection Form Template'!$Z$1419</definedName>
    <definedName name="Gates_GCWS_Warrant_Private_9_4_1_a">'Inspection Form Template'!$Y$1149</definedName>
    <definedName name="Gates_GCWS_Warrant_Private_9_4_1_b">'Inspection Form Template'!$Y$1155</definedName>
    <definedName name="Gates_GCWS_Warrant_Private_9_4_1_c">'Inspection Form Template'!$Y$1159</definedName>
    <definedName name="Gates_GCWS_Warrant_Public_9_2_1_a">'Inspection Form Template'!$Y$1121</definedName>
    <definedName name="Gates_GCWS_Warrant_Public_9_2_1_b">'Inspection Form Template'!$Y$1127</definedName>
    <definedName name="Gates_GCWS_Warrant_Public_9_2_1_c">'Inspection Form Template'!$Y$1131</definedName>
    <definedName name="Gates_GCWS_Warrant_Public_9_2_1_d">'Inspection Form Template'!$Y$1135</definedName>
    <definedName name="Gates_GCWS_Warrant_Public_9_2_1_e">'Inspection Form Template'!$Y$1140</definedName>
    <definedName name="Gates_GCWS_Warrant_Sidewalk_9_6">'Inspection Form Template'!$Y$1165</definedName>
    <definedName name="GCWS_Comments">'Inspection Form Template'!$A$1234</definedName>
    <definedName name="GCWS_Measure_Warning_Device_N_or_E_Approach_Distance_From_Rail">'Inspection Form Template'!$I$1202</definedName>
    <definedName name="GCWS_Measure_Warning_Device_N_or_E_Approach_Distance_From_Road">'Inspection Form Template'!$I$1205</definedName>
    <definedName name="GCWS_Measure_Warning_Device_N_or_E_Approach_Distance_Top_of_Foundation">'Inspection Form Template'!$I$1207</definedName>
    <definedName name="GCWS_Measure_Warning_Device_N_or_E_Approach_Slope_From_Foundation">'Inspection Form Template'!$I$1209</definedName>
    <definedName name="GCWS_Measure_Warning_Device_S_or_W_Approach_Distance_From_Rail">'Inspection Form Template'!$S$1202</definedName>
    <definedName name="GCWS_Measure_Warning_Device_S_or_W_Approach_Distance_From_Road">'Inspection Form Template'!$S$1205</definedName>
    <definedName name="GCWS_Measure_Warning_Device_S_or_W_Approach_Distance_Top_of_Foundation">'Inspection Form Template'!$S$1207</definedName>
    <definedName name="GCWS_Measure_Warning_Device_S_or_W_Approach_Slope_From_Foundation">'Inspection Form Template'!$U$1209</definedName>
    <definedName name="GCWS_Observe_Bell_If_Sidewalk">'Inspection Form Template'!$Y$1214</definedName>
    <definedName name="GCWS_Observe_Bells_Condition">'Inspection Form Template'!$G$1213</definedName>
    <definedName name="GCWS_Observe_Bells_N_or_E_Approach">'Inspection Form Template'!$O$1212</definedName>
    <definedName name="GCWS_Observe_Bells_S_or_W_Approach">'Inspection Form Template'!$Z$1212</definedName>
    <definedName name="GCWS_Observe_Cantilever_Lights_Condition">'Inspection Form Template'!$G$1218</definedName>
    <definedName name="GCWS_Observe_Cantilever_Lights_N_or_E_Approach">'Inspection Form Template'!$O$1217</definedName>
    <definedName name="GCWS_Observe_Cantilever_Lights_S_or_W_Approach">'Inspection Form Template'!$Z$1217</definedName>
    <definedName name="GCWS_Observe_Gates_Condition">'Inspection Form Template'!$G$1216</definedName>
    <definedName name="GCWS_Observe_Gates_N_or_E_Approach">'Inspection Form Template'!$O$1215</definedName>
    <definedName name="GCWS_Observe_Gates_S_or_W_Approach">'Inspection Form Template'!$Z$1215</definedName>
    <definedName name="GCWS_Observe_GCWS_Limited_Use_With_Walk_Light_Assembly">'Inspection Form Template'!$Y$1230</definedName>
    <definedName name="GCWS_Observe_GCWS_Limited_Use_Without_Walk_Light_Assembly">'Inspection Form Template'!$Y$1228</definedName>
    <definedName name="GCWS_Observe_Light_Units_Condition">'Inspection Form Template'!$G$1211</definedName>
    <definedName name="GCWS_Observe_Light_Units_N_or_E_Approach">'Inspection Form Template'!$O$1210</definedName>
    <definedName name="GCWS_Observe_Light_Units_S_or_W_Approach">'Inspection Form Template'!$Z$1210</definedName>
    <definedName name="GCWS_Observe_Warning_Time_Consistency">'Inspection Form Template'!$Y$1221</definedName>
    <definedName name="GCWS_Observe_Warning_Time_Consistency_Reduced_Speed">'Inspection Form Template'!$Y$1223</definedName>
    <definedName name="GCWS_Rail_Crossing_Warning_Time_Actual">'Inspection Form Template'!$Y$1199</definedName>
    <definedName name="GCWS_Rail_Cut_Out_Circuit_Requirements">'Inspection Form Template'!$Y$1225</definedName>
    <definedName name="GCWS_Rail_Design_Approach_Warning_Time">'Inspection Form Template'!$Y$1190</definedName>
    <definedName name="GCWS_Rail_Design_Warning_Time_Adjacent_Crossing">'Inspection Form Template'!$Y$1198</definedName>
    <definedName name="GCWS_Rail_Design_Warning_Time_Clearance_Distance">'Inspection Form Template'!$Y$1192</definedName>
    <definedName name="GCWS_Rail_Design_Warning_Time_Departure_Time_Pedestrian">'Inspection Form Template'!$Y$1194</definedName>
    <definedName name="GCWS_Rail_Design_Warning_Time_Departure_Time_Vehicle">'Inspection Form Template'!$Y$1193</definedName>
    <definedName name="GCWS_Rail_Design_Warning_Time_Gate_Arm_Clearance">'Inspection Form Template'!$Y$1195</definedName>
    <definedName name="GCWS_Rail_Design_Warning_Time_Preemption">'Inspection Form Template'!$Y$1196</definedName>
    <definedName name="GCWS_Rail_Design_Warning_Time_SSD">'Inspection Form Template'!$Y$1197</definedName>
    <definedName name="GCWS_Rail_Directional_Stick_Circuit_Requirements">'Inspection Form Template'!$Y$1227</definedName>
    <definedName name="GCWS_Rail_Self_Diagnostic">'Inspection Form Template'!$Y$1219</definedName>
    <definedName name="GCWS_Warrant_Private_9_3_1">'Inspection Form Template'!$Y$1088</definedName>
    <definedName name="GCWS_Warrant_Private_9_3_2_a">'Inspection Form Template'!$Y$1094</definedName>
    <definedName name="GCWS_Warrant_Private_9_3_2_b">'Inspection Form Template'!$Y$1100</definedName>
    <definedName name="GCWS_Warrant_Private_9_3_2_c">'Inspection Form Template'!$Y$1106</definedName>
    <definedName name="GCWS_Warrant_Public_9_1_a">'Inspection Form Template'!$Y$1057</definedName>
    <definedName name="GCWS_Warrant_Public_9_1_b">'Inspection Form Template'!$Y$1062</definedName>
    <definedName name="GCWS_Warrant_Public_9_1_c">'Inspection Form Template'!$Y$1066</definedName>
    <definedName name="GCWS_Warrant_Public_9_1_d_i">'Inspection Form Template'!$Y$1071</definedName>
    <definedName name="GCWS_Warrant_Public_9_1_d_ii">'Inspection Form Template'!$Y$1075</definedName>
    <definedName name="GCWS_Warrant_Public_9_1_d_iii">'Inspection Form Template'!$Y$1080</definedName>
    <definedName name="GCWS_Warrant_Sidewalk_9_5">'Inspection Form Template'!$Y$1113</definedName>
    <definedName name="GCWS_Warrants_Comments">'Inspection Form Template'!$A$1172</definedName>
    <definedName name="General_Info_Comments">'Inspection Form Template'!$A$210</definedName>
    <definedName name="General_Info_Observe_Roadway_Illumination">'Inspection Form Template'!$N$201</definedName>
    <definedName name="General_Info_Observe_Special_Buildings">'Inspection Form Template'!$D$200</definedName>
    <definedName name="General_Info_Observe_Surrounding_Land_Use">'Inspection Form Template'!$J$198</definedName>
    <definedName name="General_Info_Rail_Max_Railway_Operating_Speed_Freight">'Inspection Form Template'!$S$173</definedName>
    <definedName name="General_Info_Rail_Max_Railway_Operating_Speed_Passenger">'Inspection Form Template'!$S$174</definedName>
    <definedName name="General_Info_Rail_No_Tracks_Total">'Inspection Form Template'!$K$178</definedName>
    <definedName name="General_Info_Rail_No_Trains_Per_Day_Freight">'Inspection Form Template'!$Q$175</definedName>
    <definedName name="General_Info_Rail_No_Trains_Per_Day_Passengers">'Inspection Form Template'!$Q$176</definedName>
    <definedName name="General_Info_Rail_No_Trains_Per_Day_Total">'Inspection Form Template'!$Q$177</definedName>
    <definedName name="General_Info_Rail_Railway_Design_Speed">'Inspection Form Template'!$S$172</definedName>
    <definedName name="General_Info_Road_AADT_Current">'Inspection Form Template'!$O$183</definedName>
    <definedName name="General_Info_Road_AADT_Forecast">'Inspection Form Template'!$K$184</definedName>
    <definedName name="General_Info_Road_AADT_Year_Current">'Inspection Form Template'!$X$183</definedName>
    <definedName name="General_Info_Road_AADT_Year_Forecasted">'Inspection Form Template'!$S$184</definedName>
    <definedName name="General_Info_Road_Assistive_Pedestrian_Devices">'Inspection Form Template'!$T$192</definedName>
    <definedName name="General_Info_Road_Classification">'Inspection Form Template'!$Z$85</definedName>
    <definedName name="General_Info_Road_Cyclist_Per_Day">'Inspection Form Template'!$J$186</definedName>
    <definedName name="General_Info_Road_Dangerous_Goods_Route">'Inspection Form Template'!$R$195</definedName>
    <definedName name="General_Info_Road_No_Traffic_Lanes_Bidirectional">'Inspection Form Template'!$S$189</definedName>
    <definedName name="General_Info_Road_No_Traffic_Lanes_Northbound_or_Eastbound">'Inspection Form Template'!$S$187</definedName>
    <definedName name="General_Info_Road_No_Traffic_Lanes_Southbound_or_Westbound">'Inspection Form Template'!$S$188</definedName>
    <definedName name="General_Info_Road_No_Traffic_Lanes_Total">'Inspection Form Template'!$S$190</definedName>
    <definedName name="General_Info_Road_Other_Users">'Inspection Form Template'!$N$196</definedName>
    <definedName name="General_Info_Road_Other_Users_Daily_Users">'Inspection Form Template'!$X$196</definedName>
    <definedName name="General_Info_Road_Pedestrians_Per_Day">'Inspection Form Template'!$J$185</definedName>
    <definedName name="General_Info_Road_School_Bus_Route">'Inspection Form Template'!$N$194</definedName>
    <definedName name="General_Info_Road_Seasonal_Volume_Fluctuations">'Inspection Form Template'!$N$193</definedName>
    <definedName name="General_Info_Road_Sidewalks">'Inspection Form Template'!$R$191</definedName>
    <definedName name="General_Info_Road_Speed_Design">'Inspection Form Template'!$M$181</definedName>
    <definedName name="General_Info_Road_Speed_Posted">'Inspection Form Template'!$M$182</definedName>
    <definedName name="General_Info_Train_Switching">'Inspection Form Template'!$Q$179</definedName>
    <definedName name="Grade_Crossing_Surface_Comments">'Inspection Form Template'!$A$522</definedName>
    <definedName name="Grade_Crossing_Surface_Measure_Crossing_Surface_Extension_N_or_E_Approach">'Inspection Form Template'!$G$502</definedName>
    <definedName name="Grade_Crossing_Surface_Measure_Crossing_Surface_Extension_S_or_W_Approach">'Inspection Form Template'!$R$502</definedName>
    <definedName name="Grade_Crossing_Surface_Measure_Crossing_Surface_Width">'Inspection Form Template'!$N$494</definedName>
    <definedName name="Grade_Crossing_Surface_Measure_Distance_Between_Signal_Mast_and_Sidewalk_N_or_E_Approach">'Inspection Form Template'!$I$1315</definedName>
    <definedName name="Grade_Crossing_Surface_Measure_Distance_Between_Signal_Mast_and_Sidewalk_S_or_W_Approach">'Inspection Form Template'!$T$1315</definedName>
    <definedName name="Grade_Crossing_Surface_Measure_Distance_Between_Travel_Lane_and_Sidewalk_N_or_E_Approach">'Inspection Form Template'!$G$504</definedName>
    <definedName name="Grade_Crossing_Surface_Measure_Distance_Between_Travel_Lane_and_Sidewalk_S_or_W_Approach">'Inspection Form Template'!$R$504</definedName>
    <definedName name="Grade_Crossing_Surface_Measure_Elevation_Top_of_Rail_Above_Road_Surface">'Inspection Form Template'!$P$517</definedName>
    <definedName name="Grade_Crossing_Surface_Measure_Elevation_Top_of_Rail_Below_Road_Surface">'Inspection Form Template'!$P$518</definedName>
    <definedName name="Grade_Crossing_Surface_Measure_Flangeway_Depth">'Inspection Form Template'!$J$512</definedName>
    <definedName name="Grade_Crossing_Surface_Measure_Flangeway_Width">'Inspection Form Template'!$J$511</definedName>
    <definedName name="Grade_Crossing_Surface_Measure_Road_Surface_Median_Width">'Inspection Form Template'!$G$496</definedName>
    <definedName name="Grade_Crossing_Surface_Measure_Road_Surface_Shoulder_N_or_E_Approach">'Inspection Form Template'!$G$500</definedName>
    <definedName name="Grade_Crossing_Surface_Measure_Road_Surface_Shoulder_S_or_W_Approach">'Inspection Form Template'!$R$500</definedName>
    <definedName name="Grade_Crossing_Surface_Measure_Road_Surface_Travel_Lanes_Width_N_or_E_Approach">'Inspection Form Template'!$G$498</definedName>
    <definedName name="Grade_Crossing_Surface_Measure_Road_Surface_Travel_Lanes_Width_S_or_W_Approach">'Inspection Form Template'!$R$498</definedName>
    <definedName name="Grade_Crossing_Surface_Measure_Side_Grinding_Depth">'Inspection Form Template'!$K$515</definedName>
    <definedName name="Grade_Crossing_Surface_Measure_Side_Grinding_Width">'Inspection Form Template'!$K$514</definedName>
    <definedName name="Grade_Crossing_Surface_Measure_Sidewalk_Extension_N_or_E_Approach">'Inspection Form Template'!$G$508</definedName>
    <definedName name="Grade_Crossing_Surface_Measure_Sidewalk_Extension_S_or_W_Approach">'Inspection Form Template'!$R$508</definedName>
    <definedName name="Grade_Crossing_Surface_Measure_Sidewalk_Width_N_or_E_Approach">'Inspection Form Template'!$G$506</definedName>
    <definedName name="Grade_Crossing_Surface_Measure_Sidewalk_Width_S_or_W_Approach">'Inspection Form Template'!$R$506</definedName>
    <definedName name="Grade_Crossing_Surface_Observe_Crossing_Smoothness">'Inspection Form Template'!$Z$488</definedName>
    <definedName name="Grade_Crossing_Surface_Observe_Crossing_Surface_Condition">'Inspection Form Template'!$N$491</definedName>
    <definedName name="Grade_Crossing_Surface_Observe_Material">'Inspection Form Template'!$N$490</definedName>
    <definedName name="Grade_Crossing_Surface_Observe_Road_Approach_Surface_Condition">'Inspection Form Template'!$N$493</definedName>
    <definedName name="Grade_Crossing_Surface_Observe_Road_Approach_Surface_Type">'Inspection Form Template'!$N$492</definedName>
    <definedName name="Inspection_Details_Assessment_Team">'Inspection Form Template'!$N$62</definedName>
    <definedName name="Inspection_Details_Crossing_Location">'Inspection Form Template'!$H$74</definedName>
    <definedName name="Inspection_Details_Date_Assessment">'Inspection Form Template'!$G$60</definedName>
    <definedName name="Inspection_Details_GCWS_Type">'Inspection Form Template'!$H$85</definedName>
    <definedName name="Inspection_Details_Grade_Crossing_Type">'Inspection Form Template'!$H$83</definedName>
    <definedName name="Inspection_Details_Latitude">'Inspection Form Template'!$Z$87</definedName>
    <definedName name="Inspection_Details_Location_Number">'Inspection Form Template'!$H$77</definedName>
    <definedName name="Inspection_Details_Longitude">'Inspection Form Template'!$Z$89</definedName>
    <definedName name="Inspection_Details_Municipality">'Inspection Form Template'!$Z$74</definedName>
    <definedName name="Inspection_Details_Province">'Inspection Form Template'!$Z$81</definedName>
    <definedName name="Inspection_Details_Railway_Authority">'Inspection Form Template'!$H$71</definedName>
    <definedName name="Inspection_Details_Reason_for_Assessment">'Inspection Form Template'!$H$66</definedName>
    <definedName name="Inspection_Details_Road_Authority">'Inspection Form Template'!$Z$71</definedName>
    <definedName name="Inspection_Details_Road_Name">'Inspection Form Template'!$Z$77</definedName>
    <definedName name="Inspection_Details_Road_Number">'Inspection Form Template'!$Z$79</definedName>
    <definedName name="Inspection_Details_Spur_Mile">'Inspection Form Template'!$O$81</definedName>
    <definedName name="Inspection_Details_Spur_Name">'Inspection Form Template'!$E$81</definedName>
    <definedName name="Inspection_Details_Subdivision_Mile">'Inspection Form Template'!$O$79</definedName>
    <definedName name="Inspection_Details_Subdivision_Name">'Inspection Form Template'!$E$79</definedName>
    <definedName name="Inspection_Details_Track_Type">'Inspection Form Template'!$H$87</definedName>
    <definedName name="Light_Units_Comments">'Inspection Form Template'!$A$1329</definedName>
    <definedName name="Light_Units_Measure_Cantilevers_N_or_E_Approach_Distance_From_Rail">'Inspection Form Template'!$Q$1320</definedName>
    <definedName name="Light_Units_Measure_Cantilevers_N_or_E_Approach_Distance_From_Road">'Inspection Form Template'!$Q$1321</definedName>
    <definedName name="Light_Units_Measure_Cantilevers_N_or_E_Approach_DL">'Inspection Form Template'!$Q$1324</definedName>
    <definedName name="Light_Units_Measure_Cantilevers_N_or_E_Approach_DR">'Inspection Form Template'!$Q$1323</definedName>
    <definedName name="Light_Units_Measure_Cantilevers_N_or_E_Approach_Height">'Inspection Form Template'!$Q$1322</definedName>
    <definedName name="Light_Units_Measure_Cantilevers_S_or_W_Approach_Distance_From_Rail">'Inspection Form Template'!$Z$1320</definedName>
    <definedName name="Light_Units_Measure_Cantilevers_S_or_W_Approach_Distance_From_Road">'Inspection Form Template'!$Z$1321</definedName>
    <definedName name="Light_Units_Measure_Cantilevers_S_or_W_Approach_DL">'Inspection Form Template'!$Z$1324</definedName>
    <definedName name="Light_Units_Measure_Cantilevers_S_or_W_Approach_DR">'Inspection Form Template'!$Z$1323</definedName>
    <definedName name="Light_Units_Measure_Cantilevers_S_or_W_Approach_Height">'Inspection Form Template'!$Z$1322</definedName>
    <definedName name="Light_Units_Measure_N_or_E_Approach_Height">'Inspection Form Template'!$O$1304</definedName>
    <definedName name="Light_Units_Measure_S_or_W_Approach_Height">'Inspection Form Template'!$X$1304</definedName>
    <definedName name="Light_Units_Observe_Cantilevers_N_or_E_Approach_Per_Fig_12.3">'Inspection Form Template'!$Q$1319</definedName>
    <definedName name="Light_Units_Observe_N_or_E_Approach_Per_Fig_12.1">'Inspection Form Template'!$Q$1303</definedName>
    <definedName name="Light_Units_Observe_Sidewalks_N_or_E_Approach">'Inspection Form Template'!$I$1312</definedName>
    <definedName name="Light_Units_Observe_Sidewalks_S_or_W_Approach">'Inspection Form Template'!$T$1312</definedName>
    <definedName name="Light_Units_Observe_Supplemental_Lights_N_or_E_Approach">'Inspection Form Template'!$I$1308</definedName>
    <definedName name="Light_Units_Observe_Supplemental_Lights_S_or_W_Approach">'Inspection Form Template'!$T$1308</definedName>
    <definedName name="Light_Units_Observe_Visibility_Back_Lights_N_or_E_Approach">'Inspection Form Template'!$I$1310</definedName>
    <definedName name="Light_Units_Observe_Visibility_Back_Lights_S_or_W_Approach">'Inspection Form Template'!$T$1310</definedName>
    <definedName name="Light_Units_Observe_Visibility_Front_Lights_N_or_E_Approach">'Inspection Form Template'!$I$1306</definedName>
    <definedName name="Light_Units_Observe_Visibility_Front_Lights_S_or_W_Approach">'Inspection Form Template'!$T$1306</definedName>
    <definedName name="Location_of_Grade_Crossing_Comments">'Inspection Form Template'!$A$394</definedName>
    <definedName name="Location_of_Grade_Crossing_Nearest_Intersection_Other_N_or_E_Approach">'Inspection Form Template'!$O$386</definedName>
    <definedName name="Location_of_Grade_Crossing_Nearest_Intersection_Other_S_of_W_Approach">'Inspection Form Template'!$W$386</definedName>
    <definedName name="Location_of_Grade_Crossing_Nearest_Intersection_Signalized_N_or_E_Approach">'Inspection Form Template'!$O$385</definedName>
    <definedName name="Location_of_Grade_Crossing_Nearest_Intersection_Signalized_S_of_W_Approach">'Inspection Form Template'!$W$385</definedName>
    <definedName name="Location_of_Grade_Crossing_Nearest_Intersection_Stop_N_or_E_Approach">'Inspection Form Template'!$O$384</definedName>
    <definedName name="Location_of_Grade_Crossing_Nearest_Intersection_Stop_S_of_W_Approach">'Inspection Form Template'!$W$384</definedName>
    <definedName name="Location_of_Grade_Crossing_Observe_Nearby_Pedestrian_Crosswalk">'Inspection Form Template'!$X$390</definedName>
    <definedName name="Location_of_Grade_Crossing_Queue_Condition">'Inspection Form Template'!$X$387</definedName>
    <definedName name="Location_of_Grade_Crossing_Visibility_of_Warning_Lights">'Inspection Form Template'!$X$388</definedName>
    <definedName name="Preemption_of_Traffic_Signals_Lookup_Proximity_Condition">'Inspection Form Template'!$Y$1515</definedName>
    <definedName name="Preemption_of_Traffic_Signals_Lookup_Required">'Inspection Form Template'!$Y$1517</definedName>
    <definedName name="Preemption_of_Traffic_Signals_Observe_Consideration_of_Longer_Vehicles">'Inspection Form Template'!$Y$1536</definedName>
    <definedName name="Preemption_of_Traffic_Signals_Observe_Known_Queuing_Issues">'Inspection Form Template'!$Y$1534</definedName>
    <definedName name="Preemption_of_Traffic_Signals_Observe_Pedestrian_Accommodation">'Inspection Form Template'!$Y$1535</definedName>
    <definedName name="Preemption_of_Traffic_Signals_Observe_Queuing_Condition">'Inspection Form Template'!$Y$1519</definedName>
    <definedName name="Preemption_of_Traffic_Signals_Observe_Supplemental_Signage">'Inspection Form Template'!$Y$1537</definedName>
    <definedName name="Preemption_of_Traffic_Signals_Observe_Traffic_Clearance_Time_Adequate">'Inspection Form Template'!$Y$1530</definedName>
    <definedName name="Preemption_of_Traffic_Signals_Observe_Unintended_Queuing_by_Traffic_Signals">'Inspection Form Template'!$Y$1532</definedName>
    <definedName name="Preemption_of_Traffic_Signals_Observe_Unintended_Queuing_by_Traffic_Signals_Comments">'Inspection Form Template'!$A$1540</definedName>
    <definedName name="Preemption_of_Traffic_Signals_Road_Date_Last_Preemption_Check">'Inspection Form Template'!$M$1529</definedName>
    <definedName name="Preemption_of_Traffic_Signals_Road_or_Rail_Crossing_Preemption_Type">'Inspection Form Template'!$U$1524</definedName>
    <definedName name="Preemption_of_Traffic_Signals_Road_Preemption_Warning_Time_Actual">'Inspection Form Template'!$Y$1527</definedName>
    <definedName name="Preemption_of_Traffic_Signals_Road_Preemption_Warning_Time_Design">'Inspection Form Template'!$Y$1526</definedName>
    <definedName name="_xlnm.Print_Area" localSheetId="0">'Inspection Form Template'!$A$2:$AI$1913</definedName>
    <definedName name="Reasons_for_Sharing_Information">'[1]GCS Tables and Figures'!$G$2:$G$20</definedName>
    <definedName name="Road_Geometry_Comments">'Inspection Form Template'!$A$562</definedName>
    <definedName name="Road_Geometry_Lookup_Gradient_Difference">'Inspection Form Template'!$X$547</definedName>
    <definedName name="Road_Geometry_Measure_Railway_Cross_Slope">'Inspection Form Template'!#REF!</definedName>
    <definedName name="Road_Geometry_Measure_Slope_Between_8m_and_18m_Nearest_Rail_N_or_E_Approach">'Inspection Form Template'!$J$543</definedName>
    <definedName name="Road_Geometry_Measure_Slope_Between_8m_and_18m_Nearest_Rail_S_or_W_Approach">'Inspection Form Template'!$R$543</definedName>
    <definedName name="Road_Geometry_Measure_Slope_Within_5m_Nearest_Rail_at_Sidewalk_N_or_E_Approach">'Inspection Form Template'!$J$545</definedName>
    <definedName name="Road_Geometry_Measure_Slope_Within_5m_Nearest_Rail_at_Sidewalk_S_or_W_Approach">'Inspection Form Template'!$R$545</definedName>
    <definedName name="Road_Geometry_Measure_Slope_Within_8m_Nearest_Rail_N_or_E_Approach">'Inspection Form Template'!$J$542</definedName>
    <definedName name="Road_Geometry_Measure_Slope_Within_8m_Nearest_Rail_S_or_W_Approach">'Inspection Form Template'!$R$542</definedName>
    <definedName name="Road_Geometry_Observe_Lane_Width_Crossing_vs_Approach_N_or_E_Approach">'Inspection Form Template'!$I$539</definedName>
    <definedName name="Road_Geometry_Observe_Lane_Width_Crossing_vs_Approach_S_or_W_Approach">'Inspection Form Template'!$U$539</definedName>
    <definedName name="Road_Geometry_Observe_Low_Bed_Truck_Condition">'Inspection Form Template'!$P$559</definedName>
    <definedName name="Road_Geometry_Observe_Smooth_Alignment_Within_SSD_N_or_E_Approach">'Inspection Form Template'!$I$537</definedName>
    <definedName name="Road_Geometry_Observe_Smooth_Alignment_Within_SSD_S_or_W_Approach">'Inspection Form Template'!$U$537</definedName>
    <definedName name="Road_Geometry_Rail_Superelevation_No_or_E_Approach">'Inspection Form Template'!$I$555</definedName>
    <definedName name="Road_Geometry_Rail_Superelevation_S_or_W_Approach">'Inspection Form Template'!$U$555</definedName>
    <definedName name="Road_Geometry_Road_Crossing_Angle">'Inspection Form Template'!$K$556</definedName>
    <definedName name="Road_Geometry_Road_General_Approach_Grade_N_or_E_Approach">'Inspection Form Template'!$J$544</definedName>
    <definedName name="Road_Geometry_Road_General_Approach_Grade_S_or_W_Approach">'Inspection Form Template'!$R$544</definedName>
    <definedName name="SAPBEXhrIndnt" hidden="1">"Wide"</definedName>
    <definedName name="SAPsysID" hidden="1">"708C5W7SBKP804JT78WJ0JNKI"</definedName>
    <definedName name="SAPwbID" hidden="1">"ARS"</definedName>
    <definedName name="Sightlines_Calculate_Dssd_Vehicle_Min_ft">'Inspection Form Template'!$K$659</definedName>
    <definedName name="Sightlines_Calculate_Dssd_Vehicle_Min_m">'Inspection Form Template'!$R$659</definedName>
    <definedName name="Sightlines_Calculate_Dstopped_Pedestrian_Min_ft">'Inspection Form Template'!$K$653</definedName>
    <definedName name="Sightlines_Calculate_Dstopped_Pedestrian_Min_m">'Inspection Form Template'!$R$653</definedName>
    <definedName name="Sightlines_Calculate_Dstopped_Vehicle_Min_ft">'Inspection Form Template'!$K$652</definedName>
    <definedName name="Sightlines_Calculate_Dstopped_Vehicle_Min_m">'Inspection Form Template'!$R$652</definedName>
    <definedName name="Sightlines_Comments">'Inspection Form Template'!$A$667</definedName>
    <definedName name="Sightlines_Lookup_SSD_Minimum_N_or_E_Approach">'Inspection Form Template'!$M$645</definedName>
    <definedName name="Sightlines_Lookup_SSD_Minimum_S_or_W_Approach">'Inspection Form Template'!$X$645</definedName>
    <definedName name="Sightlines_Measure_Dssd_Actual_N_or_E_Approach_Left">'Inspection Form Template'!$N$660</definedName>
    <definedName name="Sightlines_Measure_Dssd_Actual_N_or_E_Approach_Right">'Inspection Form Template'!$V$660</definedName>
    <definedName name="Sightlines_Measure_Dssd_Actual_S_or_W_Approach_Left">'Inspection Form Template'!$N$661</definedName>
    <definedName name="Sightlines_Measure_Dssd_Actual_S_or_W_Approach_Right">'Inspection Form Template'!$V$661</definedName>
    <definedName name="Sightlines_Measure_Dstopped_Actual_N_or_E_Approach_Driver_Left">'Inspection Form Template'!$N$654</definedName>
    <definedName name="Sightlines_Measure_Dstopped_Actual_N_or_E_Approach_Driver_Right">'Inspection Form Template'!$V$654</definedName>
    <definedName name="Sightlines_Measure_Dstopped_Actual_S_or_W_Approach_Driver_Left">'Inspection Form Template'!$N$655</definedName>
    <definedName name="Sightlines_Measure_Dstopped_Actual_S_or_W_Approach_Driver_Right">'Inspection Form Template'!$V$655</definedName>
    <definedName name="Sightlines_Measure_SSD_Actual_N_or_E_Approach">'Inspection Form Template'!$M$646</definedName>
    <definedName name="Sightlines_Measure_SSD_Actual_S_or_W_Approach">'Inspection Form Template'!$X$646</definedName>
    <definedName name="Sightlines_Observe_Sightline_Obstructions">'Inspection Form Template'!$Y$662</definedName>
    <definedName name="Signs_and_Markings_Advisory_Speed_Comments">'Inspection Form Template'!$A$895</definedName>
    <definedName name="Signs_and_Markings_Advisory_Speed_N_or_E_Approach_Present">'Inspection Form Template'!$I$887</definedName>
    <definedName name="Signs_and_Markings_Advisory_Speed_N_or_E_Approach_with_WA_18_20">'Inspection Form Template'!$I$891</definedName>
    <definedName name="Signs_and_Markings_Advisory_Speed_S_or_W_Approach_Present">'Inspection Form Template'!$U$887</definedName>
    <definedName name="Signs_and_Markings_Advisory_Speed_S_or_W_Approach_with_WA_18_20">'Inspection Form Template'!$U$891</definedName>
    <definedName name="Signs_and_Markings_Comments">'Inspection Form Template'!$A$984</definedName>
    <definedName name="Signs_and_Markings_Dividing_Lines_Present">'Inspection Form Template'!$Y$981</definedName>
    <definedName name="Signs_and_Markings_Emergency_Notification_Comments">'Inspection Form Template'!$A$969</definedName>
    <definedName name="Signs_and_Markings_Emergency_Notification_N_or_E_Approach_Condition">'Inspection Form Template'!$I$967</definedName>
    <definedName name="Signs_and_Markings_Emergency_Notification_N_or_E_Approach_Legible">'Inspection Form Template'!$I$965</definedName>
    <definedName name="Signs_and_Markings_Emergency_Notification_N_or_E_Approach_Orientation">'Inspection Form Template'!$I$963</definedName>
    <definedName name="Signs_and_Markings_Emergency_Notification_N_or_E_Approach_Present">'Inspection Form Template'!$I$959</definedName>
    <definedName name="Signs_and_Markings_Emergency_Notification_S_or_W_Approach_Condition">'Inspection Form Template'!$U$967</definedName>
    <definedName name="Signs_and_Markings_Emergency_Notification_S_or_W_Approach_Legible">'Inspection Form Template'!$U$965</definedName>
    <definedName name="Signs_and_Markings_Emergency_Notification_S_or_W_Approach_Orientation">'Inspection Form Template'!$U$963</definedName>
    <definedName name="Signs_and_Markings_Emergency_Notification_S_or_W_Approach_Present">'Inspection Form Template'!$U$959</definedName>
    <definedName name="Signs_and_Markings_Number_of_Tracks_Comments">'Inspection Form Template'!$A$790</definedName>
    <definedName name="Signs_and_Markings_Number_of_Tracks_N_or_E_Approach_Per_Fig_8.1b">'Inspection Form Template'!$J$786</definedName>
    <definedName name="Signs_and_Markings_Number_of_Tracks_N_or_E_Approach_Per_Fig_8.3c">'Inspection Form Template'!$J$788</definedName>
    <definedName name="Signs_and_Markings_Number_of_Tracks_N_or_E_Approach_Present">'Inspection Form Template'!$J$782</definedName>
    <definedName name="Signs_and_Markings_Number_of_Tracks_S_or_W_Approach_Per_Fig_8.1b">'Inspection Form Template'!$U$786</definedName>
    <definedName name="Signs_and_Markings_Number_of_Tracks_S_or_W_Approach_Per_Fig_8.3c">'Inspection Form Template'!$U$788</definedName>
    <definedName name="Signs_and_Markings_Number_of_Tracks_S_or_W_Approach_Present">'Inspection Form Template'!$U$782</definedName>
    <definedName name="Signs_and_Markings_Per_MUTCD">'Inspection Form Template'!$Y$980</definedName>
    <definedName name="Signs_and_Markings_Posted_Speed_N_or_E_Approach_Present">'Inspection Form Template'!$I$893</definedName>
    <definedName name="Signs_and_Markings_Posted_Speed_S_or_W_Approach_Present">'Inspection Form Template'!$U$893</definedName>
    <definedName name="Signs_and_Markings_Railway_Crossing_Ahead_Comments">'Inspection Form Template'!$A$870</definedName>
    <definedName name="Signs_and_Markings_Railway_Crossing_Ahead_N_or_E_Approach_Distance_From_Rail">'Inspection Form Template'!$J$864</definedName>
    <definedName name="Signs_and_Markings_Railway_Crossing_Ahead_N_or_E_Approach_Distance_From_Road">'Inspection Form Template'!$J$866</definedName>
    <definedName name="Signs_and_Markings_Railway_Crossing_Ahead_N_or_E_Approach_Height">'Inspection Form Template'!$J$868</definedName>
    <definedName name="Signs_and_Markings_Railway_Crossing_Ahead_N_or_E_Approach_Orientation">'Inspection Form Template'!$I$862</definedName>
    <definedName name="Signs_and_Markings_Railway_Crossing_Ahead_N_or_E_Approach_Present">'Inspection Form Template'!$I$858</definedName>
    <definedName name="Signs_and_Markings_Railway_Crossing_Ahead_S_or_W_Approach_Distance_From_Rail">'Inspection Form Template'!$V$864</definedName>
    <definedName name="Signs_and_Markings_Railway_Crossing_Ahead_S_or_W_Approach_Distance_From_Road">'Inspection Form Template'!$V$866</definedName>
    <definedName name="Signs_and_Markings_Railway_Crossing_Ahead_S_or_W_Approach_Height">'Inspection Form Template'!$V$868</definedName>
    <definedName name="Signs_and_Markings_Railway_Crossing_Ahead_S_or_W_Approach_Orientation">'Inspection Form Template'!$U$862</definedName>
    <definedName name="Signs_and_Markings_Railway_Crossing_Ahead_S_or_W_Approach_Present">'Inspection Form Template'!$U$858</definedName>
    <definedName name="Signs_and_Markings_Railway_Crossing_Comments">'Inspection Form Template'!$A$764</definedName>
    <definedName name="Signs_and_Markings_Railway_Crossing_N_or_E_Approach_Per_Fig_8.1a">'Inspection Form Template'!$J$747</definedName>
    <definedName name="Signs_and_Markings_Railway_Crossing_N_or_E_Approach_Present">'Inspection Form Template'!$J$745</definedName>
    <definedName name="Signs_and_Markings_Railway_Crossing_S_or_W_Approach_Per_Fig_8.1a">'Inspection Form Template'!$U$747</definedName>
    <definedName name="Signs_and_Markings_Railway_Crossing_S_or_W_Approach_Present">'Inspection Form Template'!$U$745</definedName>
    <definedName name="Signs_and_Markings_Sidewalks_Present">'Inspection Form Template'!$Y$982</definedName>
    <definedName name="Signs_and_Markings_Stop_Comments">'Inspection Form Template'!$A$946</definedName>
    <definedName name="Signs_and_Markings_Stop_N_or_E_Approach_Height">'Inspection Form Template'!$J$944</definedName>
    <definedName name="Signs_and_Markings_Stop_N_or_E_Approach_Location_from_Rail">'Inspection Form Template'!$J$940</definedName>
    <definedName name="Signs_and_Markings_Stop_N_or_E_Approach_Location_from_Road">'Inspection Form Template'!$J$942</definedName>
    <definedName name="Signs_and_Markings_Stop_N_or_E_Approach_Per_Fig_8.4">'Inspection Form Template'!$I$938</definedName>
    <definedName name="Signs_and_Markings_Stop_N_or_E_Approach_Present">'Inspection Form Template'!$I$932</definedName>
    <definedName name="Signs_and_Markings_Stop_N_or_E_Approach_Same_Post">'Inspection Form Template'!$I$936</definedName>
    <definedName name="Signs_and_Markings_Stop_S_or_W_Approach_Height">'Inspection Form Template'!$V$944</definedName>
    <definedName name="Signs_and_Markings_Stop_S_or_W_Approach_Location_from_Rail">'Inspection Form Template'!$V$940</definedName>
    <definedName name="Signs_and_Markings_Stop_S_or_W_Approach_Location_from_Road">'Inspection Form Template'!$V$942</definedName>
    <definedName name="Signs_and_Markings_Stop_S_or_W_Approach_Per_Fig_8.4">'Inspection Form Template'!$U$938</definedName>
    <definedName name="Signs_and_Markings_Stop_S_or_W_Approach_Present">'Inspection Form Template'!$U$932</definedName>
    <definedName name="Signs_and_Markings_Stop_S_or_W_Approach_Same_Post">'Inspection Form Template'!$U$936</definedName>
    <definedName name="Signs_and_Markings_Stop_Sign_Ahead_Comments">'Inspection Form Template'!$A$923</definedName>
    <definedName name="Signs_and_Markings_Stop_Sign_Ahead_N_or_E_Approach_Height">'Inspection Form Template'!$J$921</definedName>
    <definedName name="Signs_and_Markings_Stop_Sign_Ahead_N_or_E_Approach_Location_from_Rail">'Inspection Form Template'!$J$917</definedName>
    <definedName name="Signs_and_Markings_Stop_Sign_Ahead_N_or_E_Approach_Location_from_Road">'Inspection Form Template'!$J$919</definedName>
    <definedName name="Signs_and_Markings_Stop_Sign_Ahead_N_or_E_Approach_Present">'Inspection Form Template'!$I$913</definedName>
    <definedName name="Signs_and_Markings_Stop_Sign_Ahead_S_or_W_Approach_Height">'Inspection Form Template'!$U$921</definedName>
    <definedName name="Signs_and_Markings_Stop_Sign_Ahead_S_or_W_Approach_Location_from_Rail">'Inspection Form Template'!$U$917</definedName>
    <definedName name="Signs_and_Markings_Stop_Sign_Ahead_S_or_W_Approach_Location_from_Road">'Inspection Form Template'!$U$919</definedName>
    <definedName name="Signs_and_Markings_Stop_Sign_Ahead_S_or_W_Approach_Present">'Inspection Form Template'!$U$913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1624" i="1" l="1"/>
  <c r="Y1625" i="1" s="1"/>
  <c r="Y1515" i="1"/>
  <c r="Y1514" i="1"/>
  <c r="Y1517" i="1" s="1"/>
  <c r="J1484" i="1"/>
  <c r="J1483" i="1"/>
  <c r="J1487" i="1" s="1"/>
  <c r="J1480" i="1"/>
  <c r="U1487" i="1" s="1"/>
  <c r="Y1475" i="1"/>
  <c r="Y1473" i="1"/>
  <c r="Y1468" i="1"/>
  <c r="Y1466" i="1" s="1"/>
  <c r="T1326" i="1"/>
  <c r="I1326" i="1"/>
  <c r="T1317" i="1"/>
  <c r="I1317" i="1"/>
  <c r="D1317" i="1"/>
  <c r="O1312" i="1"/>
  <c r="D1312" i="1"/>
  <c r="Y1194" i="1"/>
  <c r="Y1192" i="1"/>
  <c r="U1169" i="1"/>
  <c r="U1168" i="1"/>
  <c r="U1166" i="1"/>
  <c r="Y1165" i="1"/>
  <c r="S1162" i="1"/>
  <c r="S1160" i="1"/>
  <c r="S1158" i="1"/>
  <c r="S1156" i="1"/>
  <c r="S1154" i="1"/>
  <c r="S1153" i="1"/>
  <c r="S1152" i="1"/>
  <c r="S1150" i="1"/>
  <c r="S1145" i="1"/>
  <c r="S1144" i="1"/>
  <c r="S1143" i="1"/>
  <c r="S1139" i="1"/>
  <c r="S1138" i="1"/>
  <c r="S1137" i="1"/>
  <c r="S1134" i="1"/>
  <c r="S1133" i="1"/>
  <c r="S1132" i="1"/>
  <c r="S1130" i="1"/>
  <c r="S1129" i="1"/>
  <c r="S1128" i="1"/>
  <c r="M1126" i="1"/>
  <c r="M1125" i="1"/>
  <c r="M1124" i="1"/>
  <c r="M1122" i="1"/>
  <c r="Y1121" i="1"/>
  <c r="U1117" i="1"/>
  <c r="U1115" i="1"/>
  <c r="Y1113" i="1"/>
  <c r="O1110" i="1"/>
  <c r="O1109" i="1"/>
  <c r="O1108" i="1"/>
  <c r="Y1106" i="1"/>
  <c r="O1105" i="1"/>
  <c r="O1104" i="1"/>
  <c r="O1103" i="1"/>
  <c r="O1102" i="1"/>
  <c r="Y1100" i="1"/>
  <c r="S1099" i="1"/>
  <c r="S1098" i="1"/>
  <c r="S1097" i="1"/>
  <c r="S1096" i="1"/>
  <c r="Y1094" i="1"/>
  <c r="Y1159" i="1" s="1"/>
  <c r="K1092" i="1"/>
  <c r="K1091" i="1"/>
  <c r="K1090" i="1"/>
  <c r="K1089" i="1"/>
  <c r="Y1088" i="1"/>
  <c r="S1161" i="1" s="1"/>
  <c r="Q1085" i="1"/>
  <c r="Q1084" i="1"/>
  <c r="Q1083" i="1"/>
  <c r="Y1080" i="1"/>
  <c r="Q1079" i="1"/>
  <c r="Q1078" i="1"/>
  <c r="Q1077" i="1"/>
  <c r="Y1075" i="1"/>
  <c r="Q1074" i="1"/>
  <c r="Q1073" i="1"/>
  <c r="Q1072" i="1"/>
  <c r="Y1071" i="1"/>
  <c r="L1069" i="1"/>
  <c r="L1068" i="1"/>
  <c r="L1067" i="1"/>
  <c r="Y1066" i="1"/>
  <c r="L1065" i="1"/>
  <c r="L1064" i="1"/>
  <c r="L1063" i="1"/>
  <c r="Y1062" i="1"/>
  <c r="J1061" i="1"/>
  <c r="J1060" i="1"/>
  <c r="J1059" i="1"/>
  <c r="J1058" i="1"/>
  <c r="Y1057" i="1"/>
  <c r="Y1140" i="1" s="1"/>
  <c r="U784" i="1"/>
  <c r="J784" i="1"/>
  <c r="Q762" i="1"/>
  <c r="O757" i="1"/>
  <c r="P747" i="1"/>
  <c r="I655" i="1"/>
  <c r="K653" i="1"/>
  <c r="R653" i="1" s="1"/>
  <c r="S651" i="1"/>
  <c r="S646" i="1"/>
  <c r="M645" i="1"/>
  <c r="Y643" i="1"/>
  <c r="Y642" i="1"/>
  <c r="Y644" i="1" s="1"/>
  <c r="K642" i="1"/>
  <c r="Y548" i="1"/>
  <c r="U548" i="1"/>
  <c r="M548" i="1"/>
  <c r="X547" i="1"/>
  <c r="U553" i="1" s="1"/>
  <c r="J546" i="1"/>
  <c r="U545" i="1"/>
  <c r="M545" i="1"/>
  <c r="U544" i="1"/>
  <c r="P537" i="1"/>
  <c r="U508" i="1"/>
  <c r="J508" i="1"/>
  <c r="U506" i="1"/>
  <c r="U504" i="1"/>
  <c r="J504" i="1"/>
  <c r="U502" i="1"/>
  <c r="U500" i="1"/>
  <c r="J500" i="1"/>
  <c r="Y385" i="1"/>
  <c r="P310" i="1"/>
  <c r="AA1416" i="1" s="1"/>
  <c r="J304" i="1"/>
  <c r="U288" i="1"/>
  <c r="X645" i="1" s="1"/>
  <c r="K659" i="1" s="1"/>
  <c r="R659" i="1" s="1"/>
  <c r="K288" i="1"/>
  <c r="P291" i="1" s="1"/>
  <c r="AA198" i="1"/>
  <c r="X172" i="1"/>
  <c r="Z1" i="1"/>
  <c r="W1492" i="1" s="1"/>
  <c r="V1" i="1"/>
  <c r="D1424" i="1" s="1"/>
  <c r="R1" i="1"/>
  <c r="O1315" i="1" s="1"/>
  <c r="N1" i="1"/>
  <c r="J502" i="1" s="1"/>
  <c r="Y1197" i="1" l="1"/>
  <c r="I296" i="1"/>
  <c r="AA1491" i="1"/>
  <c r="T1491" i="1"/>
  <c r="D858" i="1"/>
  <c r="D891" i="1"/>
  <c r="E942" i="1"/>
  <c r="D963" i="1"/>
  <c r="D1207" i="1"/>
  <c r="J1215" i="1"/>
  <c r="D1308" i="1"/>
  <c r="L1322" i="1"/>
  <c r="O1326" i="1"/>
  <c r="P1424" i="1"/>
  <c r="G1483" i="1"/>
  <c r="E1489" i="1"/>
  <c r="D1496" i="1"/>
  <c r="O1496" i="1"/>
  <c r="P1491" i="1"/>
  <c r="Q386" i="1"/>
  <c r="D539" i="1"/>
  <c r="D553" i="1"/>
  <c r="D749" i="1"/>
  <c r="D759" i="1"/>
  <c r="P858" i="1"/>
  <c r="Q866" i="1"/>
  <c r="P917" i="1"/>
  <c r="P934" i="1"/>
  <c r="Q942" i="1"/>
  <c r="P963" i="1"/>
  <c r="Y1155" i="1"/>
  <c r="N1207" i="1"/>
  <c r="U1215" i="1"/>
  <c r="O1308" i="1"/>
  <c r="U1322" i="1"/>
  <c r="E1426" i="1"/>
  <c r="P1489" i="1"/>
  <c r="I298" i="1"/>
  <c r="Y386" i="1"/>
  <c r="P539" i="1"/>
  <c r="I553" i="1"/>
  <c r="P749" i="1"/>
  <c r="O759" i="1"/>
  <c r="P784" i="1"/>
  <c r="D860" i="1"/>
  <c r="E868" i="1"/>
  <c r="D893" i="1"/>
  <c r="E919" i="1"/>
  <c r="D936" i="1"/>
  <c r="E944" i="1"/>
  <c r="D965" i="1"/>
  <c r="D1209" i="1"/>
  <c r="J1217" i="1"/>
  <c r="D1310" i="1"/>
  <c r="O1317" i="1"/>
  <c r="L1323" i="1"/>
  <c r="I1411" i="1"/>
  <c r="Q1426" i="1"/>
  <c r="G1484" i="1"/>
  <c r="J498" i="1"/>
  <c r="J506" i="1"/>
  <c r="M542" i="1"/>
  <c r="P553" i="1"/>
  <c r="H645" i="1"/>
  <c r="I660" i="1"/>
  <c r="D751" i="1"/>
  <c r="D761" i="1"/>
  <c r="P860" i="1"/>
  <c r="Q868" i="1"/>
  <c r="P893" i="1"/>
  <c r="P919" i="1"/>
  <c r="P936" i="1"/>
  <c r="Q944" i="1"/>
  <c r="P965" i="1"/>
  <c r="Y1127" i="1"/>
  <c r="Y1626" i="1" s="1"/>
  <c r="Y1135" i="1"/>
  <c r="Y1149" i="1"/>
  <c r="S1157" i="1"/>
  <c r="Y1198" i="1"/>
  <c r="P1209" i="1"/>
  <c r="U1217" i="1"/>
  <c r="O1310" i="1"/>
  <c r="U1323" i="1"/>
  <c r="P1413" i="1"/>
  <c r="D784" i="1"/>
  <c r="E866" i="1"/>
  <c r="E917" i="1"/>
  <c r="D934" i="1"/>
  <c r="U542" i="1"/>
  <c r="O761" i="1"/>
  <c r="D862" i="1"/>
  <c r="D913" i="1"/>
  <c r="D938" i="1"/>
  <c r="D967" i="1"/>
  <c r="L1324" i="1"/>
  <c r="W1491" i="1"/>
  <c r="M543" i="1"/>
  <c r="D745" i="1"/>
  <c r="D754" i="1"/>
  <c r="P786" i="1"/>
  <c r="P913" i="1"/>
  <c r="P938" i="1"/>
  <c r="S1151" i="1"/>
  <c r="U1320" i="1"/>
  <c r="U1324" i="1"/>
  <c r="U543" i="1"/>
  <c r="Q548" i="1"/>
  <c r="P555" i="1"/>
  <c r="P745" i="1"/>
  <c r="O754" i="1"/>
  <c r="D782" i="1"/>
  <c r="D788" i="1"/>
  <c r="E864" i="1"/>
  <c r="D889" i="1"/>
  <c r="D915" i="1"/>
  <c r="D932" i="1"/>
  <c r="E940" i="1"/>
  <c r="D961" i="1"/>
  <c r="D1205" i="1"/>
  <c r="J1212" i="1"/>
  <c r="D1306" i="1"/>
  <c r="D1315" i="1"/>
  <c r="L1321" i="1"/>
  <c r="D1326" i="1"/>
  <c r="P1487" i="1"/>
  <c r="P1492" i="1"/>
  <c r="P891" i="1"/>
  <c r="U498" i="1"/>
  <c r="I661" i="1"/>
  <c r="Q751" i="1"/>
  <c r="D786" i="1"/>
  <c r="D887" i="1"/>
  <c r="E921" i="1"/>
  <c r="D959" i="1"/>
  <c r="D1202" i="1"/>
  <c r="J1210" i="1"/>
  <c r="J1304" i="1"/>
  <c r="L1320" i="1"/>
  <c r="E1487" i="1"/>
  <c r="Q384" i="1"/>
  <c r="D555" i="1"/>
  <c r="S645" i="1"/>
  <c r="P862" i="1"/>
  <c r="P887" i="1"/>
  <c r="P921" i="1"/>
  <c r="P959" i="1"/>
  <c r="P967" i="1"/>
  <c r="N1202" i="1"/>
  <c r="U1210" i="1"/>
  <c r="S1304" i="1"/>
  <c r="Y384" i="1"/>
  <c r="Q385" i="1"/>
  <c r="D537" i="1"/>
  <c r="M544" i="1"/>
  <c r="H646" i="1"/>
  <c r="I654" i="1"/>
  <c r="D747" i="1"/>
  <c r="D757" i="1"/>
  <c r="P782" i="1"/>
  <c r="P788" i="1"/>
  <c r="Q864" i="1"/>
  <c r="P889" i="1"/>
  <c r="P915" i="1"/>
  <c r="P932" i="1"/>
  <c r="Q940" i="1"/>
  <c r="P961" i="1"/>
  <c r="M1123" i="1"/>
  <c r="Y1131" i="1"/>
  <c r="N1205" i="1"/>
  <c r="U1212" i="1"/>
  <c r="O1306" i="1"/>
  <c r="U1321" i="1"/>
  <c r="I1414" i="1" l="1"/>
  <c r="I295" i="1"/>
  <c r="P293" i="1" s="1"/>
  <c r="F1415" i="1"/>
  <c r="Y1195" i="1" s="1"/>
  <c r="Y1193" i="1" l="1"/>
  <c r="Y1190" i="1" s="1"/>
  <c r="S650" i="1"/>
  <c r="K652" i="1"/>
  <c r="R65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tc={0E090469-3B9F-4539-A320-2B41F00E40DB}</author>
    <author>tc={DA0C9812-78CD-46D7-A151-344795B124AD}</author>
    <author>tc={8735C950-9936-42D9-BFF6-E6A2DFDCBB2C}</author>
    <author>tc={90A85E8D-E791-45F0-93FE-670008D6465D}</author>
    <author>tc={0FC21813-FEC7-427B-A507-ADD9538B37B6}</author>
    <author>tc={5669EFB3-42DC-431C-B7BF-5F211373635D}</author>
    <author>tc={B0C76940-2630-4644-BA85-B1F53CF20AB0}</author>
    <author>tc={9EEFF45D-84AC-4245-A939-F4D23F648BDE}</author>
    <author>tc={EC21B95C-EDBC-4479-93DA-27067FC0CC22}</author>
    <author>tc={FDF66DCA-4805-4588-A9E1-911DC9190795}</author>
    <author>Orr, Michael</author>
    <author>tc={87A3B2DE-9BB9-46C8-8A33-CD6EBA3659A7}</author>
    <author>tc={5F88325E-E948-4C2A-A2A1-1B99AB278D17}</author>
    <author>tc={B5428EC6-65AA-4C22-B372-298070E15C5B}</author>
    <author>tc={E8BACEBF-215E-4D1F-BA48-833040D30BA0}</author>
    <author>tc={AD761219-2A3D-41EC-9D5E-A02C73C206EA}</author>
    <author>tc={D6150D4B-759B-49AB-8C41-A37E9D7A6AA2}</author>
    <author>tc={9CB6D954-7261-40D4-8FDB-E87FA80677E9}</author>
    <author>tc={7C2A3AC8-E15A-4D7C-81FA-3D6D941A6A5B}</author>
    <author>tc={E1465011-28DF-46A5-8FAA-43C5980E88D6}</author>
    <author>tc={9B9E600B-3C32-4792-A03A-027C6AEB281A}</author>
    <author>tc={29801136-CE1E-4137-BD98-77A63B66999F}</author>
    <author>tc={A8B4DE8E-1866-4F43-A68C-CD8DFF457C49}</author>
    <author>tc={E1058D8F-75BF-4F9F-8431-49432FD37D3B}</author>
    <author>tc={158A7717-583A-4B92-9675-D074A184E2BA}</author>
    <author>tc={C09A896F-5980-48F7-BC86-B32255782D7C}</author>
    <author>tc={3FAC9DA9-77FE-4950-BACF-850C7FEE676A}</author>
    <author>tc={BB2EE9AF-5B0C-4162-8816-B1599B213A7F}</author>
    <author>tc={91BA8E16-E820-41C7-B380-069E3AFA3D04}</author>
    <author>tc={3A33C8C5-C91E-4005-8DAA-89A3CD6BD913}</author>
    <author>tc={A4688BC8-82D7-4F0D-8526-39A76385B295}</author>
    <author>tc={EF1030A2-A4F1-40AB-A199-4F734D515C7F}</author>
    <author>tc={6C2EC8D6-9107-4E69-9A4B-50B8233D1043}</author>
    <author>tc={F382B10E-8E3D-4553-BEC3-82034AD5CAF4}</author>
    <author>tc={10C3A8AA-081A-4496-B51F-A49535A0B507}</author>
    <author>tc={80538E8C-6B3C-4885-A971-AFA525BAD789}</author>
    <author>tc={0BAAE01F-914F-4209-97F2-3BA6F42E8B0F}</author>
    <author>tc={A5835B00-E7E6-49D7-9703-9CEBA7B37F1F}</author>
    <author>tc={C77B0C20-56E1-439D-8373-839D714EEE0A}</author>
    <author>tc={0567F2A6-EC7A-4CCF-BE65-5618762F6E0E}</author>
    <author>tc={B720CD43-A997-431B-A381-CA4D56B823C4}</author>
  </authors>
  <commentList>
    <comment ref="AD287" authorId="0" shapeId="0" xr:uid="{0E090469-3B9F-4539-A320-2B41F00E40DB}">
      <text>
        <t>[Threaded comment]
Your version of Excel allows you to read this threaded comment; however, any edits to it will get removed if the file is opened in a newer version of Excel. Learn more: https://go.microsoft.com/fwlink/?linkid=870924
Comment:
    GCS 10.3.1 
The Departure Time is the greater of the time required for the design vehicle to pass completely through the Clearance Distance (cd) from a stopped position (TD) or the time required for pedestrians, cyclists and persons using assistive devices to pass completely through the Clearance Distance (cd) (TP). 
Table 10-1 Ratios of Acceleration Times on Grades must be used to account for the effects of road gradient on the design vehicle for the grade crossing. The established ratio of acceleration time (G) must be incorporated into the Acceleration Time (T) by multiplying the acceleration time on level ground (t) by the ratio of acceleration time (G).</t>
      </text>
    </comment>
    <comment ref="AD291" authorId="1" shapeId="0" xr:uid="{DA0C9812-78CD-46D7-A151-344795B124AD}">
      <text>
        <t>[Threaded comment]
Your version of Excel allows you to read this threaded comment; however, any edits to it will get removed if the file is opened in a newer version of Excel. Learn more: https://go.microsoft.com/fwlink/?linkid=870924
Comment:
    GCS 10.2.1 
The total distance, in metres, the design vehicle must travel during acceleration to pass completely through the Clearance Distance (cd) is calculated using the following formula:
s = cd + L
where,
cd = the Clearance Distance, in metres; and
L = the total length, in metres, of the design vehicle.</t>
      </text>
    </comment>
    <comment ref="AD293" authorId="2" shapeId="0" xr:uid="{8735C950-9936-42D9-BFF6-E6A2DFDCBB2C}">
      <text>
        <t>[Threaded comment]
Your version of Excel allows you to read this threaded comment; however, any edits to it will get removed if the file is opened in a newer version of Excel. Learn more: https://go.microsoft.com/fwlink/?linkid=870924
Comment:
    GCS 10.3.2 
Departure Time - Design Vehicle (TD)
The total time, in seconds, the design vehicle must travel to pass completely through the Clearance Distance (cd) is calculated using the following formula:
TD = J + T
where,
J = the perception-reaction time, in seconds, of the crossing user to look in both directions, shift gears, if necessary, and prepare to start (must use 2 seconds at minimum); and
T = the time, in seconds, for the grade crossing design vehicle to travel through the Vehicle Travel Distance (s) taking into account the actual road gradient at the grade crossing.
T may be obtained through direct measurement or calculated using the following formula:
T = (t x G)
where,
t = the time, in seconds, required for the design vehicle to accelerate through the Vehicle Travel Distance (s) on level ground established from Figure 10-2 Assumed Acceleration Curves; and
G = the ratio of acceleration time established from Table 10-1Ratios of Acceleration Times on Grade or may be obtained through direct measurement.</t>
      </text>
    </comment>
    <comment ref="AD383" authorId="3" shapeId="0" xr:uid="{90A85E8D-E791-45F0-93FE-670008D6465D}">
      <text>
        <t>[Threaded comment]
Your version of Excel allows you to read this threaded comment; however, any edits to it will get removed if the file is opened in a newer version of Excel. Learn more: https://go.microsoft.com/fwlink/?linkid=870924
Comment:
    GCS 11.1 A public grade crossing where the railway design speed is more than 25 km/h (15 mph) must be constructed so that no part of the travelled way of an intersecting road or entranceway (other than a railway service road), is closer than 30 m (D) to the nearest rail of the grade crossing (see Figure 11-1).</t>
      </text>
    </comment>
    <comment ref="AD488" authorId="4" shapeId="0" xr:uid="{0FC21813-FEC7-427B-A507-ADD9538B37B6}">
      <text>
        <t>[Threaded comment]
Your version of Excel allows you to read this threaded comment; however, any edits to it will get removed if the file is opened in a newer version of Excel. Learn more: https://go.microsoft.com/fwlink/?linkid=870924
Comment:
    GCS 5.1 Crossing surface of a grade crossing, and a crossing surface of a sidewalk, path or trail must
be as shown in Figure 5-1 and in accordance with Table 5-1, and must be smooth and continuous.</t>
      </text>
    </comment>
    <comment ref="AD536" authorId="5" shapeId="0" xr:uid="{5669EFB3-42DC-431C-B7BF-5F211373635D}">
      <text>
        <t>[Threaded comment]
Your version of Excel allows you to read this threaded comment; however, any edits to it will get removed if the file is opened in a newer version of Excel. Learn more: https://go.microsoft.com/fwlink/?linkid=870924
Comment:
    GCS 6.1 The horizontal and vertical alignment of the road approach and the crossing surface must be smooth and continuous.</t>
      </text>
    </comment>
    <comment ref="AD538" authorId="6" shapeId="0" xr:uid="{B0C76940-2630-4644-BA85-B1F53CF20AB0}">
      <text>
        <t>[Threaded comment]
Your version of Excel allows you to read this threaded comment; however, any edits to it will get removed if the file is opened in a newer version of Excel. Learn more: https://go.microsoft.com/fwlink/?linkid=870924
Comment:
    GCS 6.4 The width of the travelled way and shoulders at the crossing surface must not be less than the width of the travelled way and shoulders on the road approaches.</t>
      </text>
    </comment>
    <comment ref="AD541" authorId="7" shapeId="0" xr:uid="{9EEFF45D-84AC-4245-A939-F4D23F648BDE}">
      <text>
        <t>[Threaded comment]
Your version of Excel allows you to read this threaded comment; however, any edits to it will get removed if the file is opened in a newer version of Excel. Learn more: https://go.microsoft.com/fwlink/?linkid=870924
Comment:
    GCS 6.3 The maximum gradients for road approaches must not exceed the following:
(a) ratio of 1:50 (2 per cent) within 8 m of the nearest rail and 1:20 (5 per cent) for 10 m beyond, at public grade crossings for vehicular use;
(b) ratio of 1:50 (2 per cent) within 8 m of the nearest rail and 1:10 (10 per cent) for 10 m beyond, at private grade crossings for vehicular use;
(c) ratio of 1:50 (2 per cent) within 5 m of the nearest rail at a sidewalk, path or trail; and
(d) ratio of 1:100 (1 per cent) within 5 m of the nearest rail at a sidewalk, path or trail designated by the road authority for use by persons using assistive devices.</t>
      </text>
    </comment>
    <comment ref="AD546" authorId="8" shapeId="0" xr:uid="{EC21B95C-EDBC-4479-93DA-27067FC0CC22}">
      <text>
        <t>[Threaded comment]
Your version of Excel allows you to read this threaded comment; however, any edits to it will get removed if the file is opened in a newer version of Excel. Learn more: https://go.microsoft.com/fwlink/?linkid=870924
Comment:
    GCS 6.2 The allowable difference between the road approach gradient and railway cross-slope, or the railway gradient and the road approach cross-slope, must be in accordance with Table 6-1 Difference in Gradient.</t>
      </text>
    </comment>
    <comment ref="AD556" authorId="9" shapeId="0" xr:uid="{FDF66DCA-4805-4588-A9E1-911DC9190795}">
      <text>
        <t>[Threaded comment]
Your version of Excel allows you to read this threaded comment; however, any edits to it will get removed if the file is opened in a newer version of Excel. Learn more: https://go.microsoft.com/fwlink/?linkid=870924
Comment:
    GCS 6.5 A grade crossing angle, measured from the tangent of the centreline of the road approach at the crossing surface, to the tangent of the centreline of the line of railway, shall, where the railway design speed is more than 25 km/h (15 mph) be:
(a) not less than 70 and not greater than 110 degrees for grade crossings without a warning system; or
(b) not less than 30 and not greater than 150 degrees for grade crossings with a warning system.</t>
      </text>
    </comment>
    <comment ref="A654" authorId="10" shapeId="0" xr:uid="{1E746067-6DC5-4A50-B965-D1D1B6BD4AEB}">
      <text>
        <r>
          <rPr>
            <b/>
            <sz val="9"/>
            <color indexed="81"/>
            <rFont val="Tahoma"/>
            <family val="2"/>
          </rPr>
          <t>Orr, Michael:</t>
        </r>
        <r>
          <rPr>
            <sz val="9"/>
            <color indexed="81"/>
            <rFont val="Tahoma"/>
            <family val="2"/>
          </rPr>
          <t xml:space="preserve">
Check conditional formatting</t>
        </r>
      </text>
    </comment>
    <comment ref="A655" authorId="10" shapeId="0" xr:uid="{C32FA98F-E248-4721-BF8A-D534359EF91C}">
      <text>
        <r>
          <rPr>
            <b/>
            <sz val="9"/>
            <color indexed="81"/>
            <rFont val="Tahoma"/>
            <family val="2"/>
          </rPr>
          <t>Orr, Michael:</t>
        </r>
        <r>
          <rPr>
            <sz val="9"/>
            <color indexed="81"/>
            <rFont val="Tahoma"/>
            <family val="2"/>
          </rPr>
          <t xml:space="preserve">
Check conditional formatting</t>
        </r>
      </text>
    </comment>
    <comment ref="A660" authorId="10" shapeId="0" xr:uid="{1127E1B2-1176-4A12-9A69-6E66031385D5}">
      <text>
        <r>
          <rPr>
            <b/>
            <sz val="9"/>
            <color indexed="81"/>
            <rFont val="Tahoma"/>
            <family val="2"/>
          </rPr>
          <t>Orr, Michael:</t>
        </r>
        <r>
          <rPr>
            <sz val="9"/>
            <color indexed="81"/>
            <rFont val="Tahoma"/>
            <family val="2"/>
          </rPr>
          <t xml:space="preserve">
Check conditional formatting</t>
        </r>
      </text>
    </comment>
    <comment ref="A661" authorId="10" shapeId="0" xr:uid="{1A379CBE-B669-4618-AC5B-971A25B57F89}">
      <text>
        <r>
          <rPr>
            <b/>
            <sz val="9"/>
            <color indexed="81"/>
            <rFont val="Tahoma"/>
            <family val="2"/>
          </rPr>
          <t>Orr, Michael:</t>
        </r>
        <r>
          <rPr>
            <sz val="9"/>
            <color indexed="81"/>
            <rFont val="Tahoma"/>
            <family val="2"/>
          </rPr>
          <t xml:space="preserve">
Check conditional formatting</t>
        </r>
      </text>
    </comment>
    <comment ref="AD748" authorId="11" shapeId="0" xr:uid="{87A3B2DE-9BB9-46C8-8A33-CD6EBA3659A7}">
      <text>
        <t>[Threaded comment]
Your version of Excel allows you to read this threaded comment; however, any edits to it will get removed if the file is opened in a newer version of Excel. Learn more: https://go.microsoft.com/fwlink/?linkid=870924
Comment:
    GCS 8.1.3 
A 100 mm retroreflective strip must be applied on the back of each blade of the Railway Crossing Sign, for the full length of each blade;</t>
      </text>
    </comment>
    <comment ref="AD750" authorId="12" shapeId="0" xr:uid="{5F88325E-E948-4C2A-A2A1-1B99AB278D17}">
      <text>
        <t>[Threaded comment]
Your version of Excel allows you to read this threaded comment; however, any edits to it will get removed if the file is opened in a newer version of Excel. Learn more: https://go.microsoft.com/fwlink/?linkid=870924
Comment:
    GCS 8.1.4 
A 50 mm strip of silver white sheeting must be applied on the front and back of the supporting post, extending from no higher than 300 mm above the crown of the adjacent road surface to 70 mm above the centre of the Railway Crossing sign and must be as shown in Figure 8-2.</t>
      </text>
    </comment>
    <comment ref="AD753" authorId="13" shapeId="0" xr:uid="{B5428EC6-65AA-4C22-B372-298070E15C5B}">
      <text>
        <t>[Threaded comment]
Your version of Excel allows you to read this threaded comment; however, any edits to it will get removed if the file is opened in a newer version of Excel. Learn more: https://go.microsoft.com/fwlink/?linkid=870924
Comment:
    GCS 8.1.5 The railway crossing sign must be located:
b. must not be located closer than 3 m measured to the nearest rail, as shown in Figure 8-3(a) and 8-3(b).</t>
      </text>
    </comment>
    <comment ref="AD755" authorId="14" shapeId="0" xr:uid="{E8BACEBF-215E-4D1F-BA48-833040D30BA0}">
      <text>
        <t>[Threaded comment]
Your version of Excel allows you to read this threaded comment; however, any edits to it will get removed if the file is opened in a newer version of Excel. Learn more: https://go.microsoft.com/fwlink/?linkid=870924
Comment:
    GCS 8.1.5 The railway crossing sign must be located:
a) . between 0.3 m and 2.0 m from the face of the curb, or the outer edge of the road 
shoulder or, where there is no curb or shoulder, 2.0 m to 4.5 m from the edge of the travelled way; and</t>
      </text>
    </comment>
    <comment ref="AD760" authorId="15" shapeId="0" xr:uid="{AD761219-2A3D-41EC-9D5E-A02C73C206EA}">
      <text>
        <t>[Threaded comment]
Your version of Excel allows you to read this threaded comment; however, any edits to it will get removed if the file is opened in a newer version of Excel. Learn more: https://go.microsoft.com/fwlink/?linkid=870924
Comment:
    GCS 8.1.6 
A sidewalk, path or trail with a centreline that is more than 3.6 m (12 ft.) from a Railway Crossing sign supporting post beside a road approach for vehicle traffic must have separate Railway Crossing signs, as shown in Figure 8-3(a).</t>
      </text>
    </comment>
    <comment ref="AD781" authorId="16" shapeId="0" xr:uid="{D6150D4B-759B-49AB-8C41-A37E9D7A6AA2}">
      <text>
        <t>[Threaded comment]
Your version of Excel allows you to read this threaded comment; however, any edits to it will get removed if the file is opened in a newer version of Excel. Learn more: https://go.microsoft.com/fwlink/?linkid=870924
Comment:
    GCS 4.1 A sign providing warning of a grade crossing (Railway Crossing sign) must have a 50 mm border of transparent red ink that is silk-screen processed over silver-white sheeting material, as shown in Figure 4-1(a). A sign indicating the number of tracks (Number of Tracks sign) must have a digit and symbol that is transparent red or black ink that is silk-screened processed over silver-white sheeting material, as shown in Figure 4-1(b).</t>
      </text>
    </comment>
    <comment ref="AD783" authorId="17" shapeId="0" xr:uid="{9CB6D954-7261-40D4-8FDB-E87FA80677E9}">
      <text>
        <t>[Threaded comment]
Your version of Excel allows you to read this threaded comment; however, any edits to it will get removed if the file is opened in a newer version of Excel. Learn more: https://go.microsoft.com/fwlink/?linkid=870924
Comment:
    GCS 4.1 A sign providing warning of a grade crossing (Railway Crossing sign) must have a 50 mm border of transparent red ink that is silk-screen processed over silver-white sheeting material, as shown in Figure 4-1(a). A sign indicating the number of tracks (Number of Tracks sign) must have a digit and symbol that is transparent red or black ink that is silk-screened processed over silver-white sheeting material, as shown in Figure 4-1(b).</t>
      </text>
    </comment>
    <comment ref="AD854" authorId="18" shapeId="0" xr:uid="{7C2A3AC8-E15A-4D7C-81FA-3D6D941A6A5B}">
      <text>
        <t>[Threaded comment]
Your version of Excel allows you to read this threaded comment; however, any edits to it will get removed if the file is opened in a newer version of Excel. Learn more: https://go.microsoft.com/fwlink/?linkid=870924
Comment:
    GCS 8.2.1 Railway Crossing Ahead Sign and Advisory Speed Tab Sign
A sign providing advanced warning of a grade crossing (Railway Crossing Ahead sign) and a sign specifying a recommended speed (Advisory Speed Tab sign) must be as shown in articles A3.4.2 and A3.2.5 in the Manual of Uniform Traffic Control Devices for Canada (cited in Part A) and must meet the applicable standards set out in article A1.6 of that Manual, as the case may be.</t>
      </text>
    </comment>
    <comment ref="E864" authorId="19" shapeId="0" xr:uid="{E1465011-28DF-46A5-8FAA-43C5980E88D6}">
      <text>
        <t>[Threaded comment]
Your version of Excel allows you to read this threaded comment; however, any edits to it will get removed if the file is opened in a newer version of Excel. Learn more: https://go.microsoft.com/fwlink/?linkid=870924
Comment:
    re-write conditional format formula based on OPS</t>
      </text>
    </comment>
    <comment ref="AD883" authorId="20" shapeId="0" xr:uid="{9B9E600B-3C32-4792-A03A-027C6AEB281A}">
      <text>
        <t>[Threaded comment]
Your version of Excel allows you to read this threaded comment; however, any edits to it will get removed if the file is opened in a newer version of Excel. Learn more: https://go.microsoft.com/fwlink/?linkid=870924
Comment:
    GCS 8.2.1 Railway Crossing Ahead Sign and Advisory Speed Tab Sign
A sign providing advanced warning of a grade crossing (Railway Crossing Ahead sign) and a sign specifying a recommended speed (Advisory Speed Tab sign) must be as shown in articles A3.4.2 and A3.2.5 in the Manual of Uniform Traffic Control Devices for Canada (cited in Part A) and must meet the applicable standards set out in article A1.6 of that Manual, as the case may be.</t>
      </text>
    </comment>
    <comment ref="AD910" authorId="21" shapeId="0" xr:uid="{29801136-CE1E-4137-BD98-77A63B66999F}">
      <text>
        <t>[Threaded comment]
Your version of Excel allows you to read this threaded comment; however, any edits to it will get removed if the file is opened in a newer version of Excel. Learn more: https://go.microsoft.com/fwlink/?linkid=870924
Comment:
    GCS 8.3.1 Stop Sign Ahead
A Stop Ahead sign must be as shown in article A3.6.1 of the Manual of Uniform Traffic Control Devices for Canada (cited in Part A) and must meet the applicable standards set out in article A1.6 of that Manual.</t>
      </text>
    </comment>
    <comment ref="AD929" authorId="22" shapeId="0" xr:uid="{A8B4DE8E-1866-4F43-A68C-CD8DFF457C49}">
      <text>
        <t>[Threaded comment]
Your version of Excel allows you to read this threaded comment; however, any edits to it will get removed if the file is opened in a newer version of Excel. Learn more: https://go.microsoft.com/fwlink/?linkid=870924
Comment:
    GCS 8.4.1 
A Stop sign must be as shown in article A2.2.1 of the Manual of Uniform Traffic Control Devices for Canada (cited in Part A) and must meet the applicable standards set out in article A1.6 of that Manual. Where required by law, the word “Arrêt” will replace the word “Stop”, or may be added to the Stop sign.</t>
      </text>
    </comment>
    <comment ref="AD935" authorId="23" shapeId="0" xr:uid="{E1058D8F-75BF-4F9F-8431-49432FD37D3B}">
      <text>
        <t>[Threaded comment]
Your version of Excel allows you to read this threaded comment; however, any edits to it will get removed if the file is opened in a newer version of Excel. Learn more: https://go.microsoft.com/fwlink/?linkid=870924
Comment:
    GCS 8.4.2 
When a Stop sign is installed on the same post as a Railway Crossing sign, it must be 
installed as shown in Figure 8-4.</t>
      </text>
    </comment>
    <comment ref="AD937" authorId="24" shapeId="0" xr:uid="{158A7717-583A-4B92-9675-D074A184E2BA}">
      <text>
        <t>[Threaded comment]
Your version of Excel allows you to read this threaded comment; however, any edits to it will get removed if the file is opened in a newer version of Excel. Learn more: https://go.microsoft.com/fwlink/?linkid=870924
Comment:
    GCS 8.4.2 
When a Stop sign is installed on the same post as a Railway Crossing sign, it must be 
installed as shown in Figure 8-4.</t>
      </text>
    </comment>
    <comment ref="AD962" authorId="25" shapeId="0" xr:uid="{C09A896F-5980-48F7-BC86-B32255782D7C}">
      <text>
        <t>[Threaded comment]
Your version of Excel allows you to read this threaded comment; however, any edits to it will get removed if the file is opened in a newer version of Excel. Learn more: https://go.microsoft.com/fwlink/?linkid=870924
Comment:
    GCS 8.5.1 
An Emergency Notification sign that provides information on the location of the grade crossing and the railway company’s emergency telephone number, must be installed
a) parallel to the road, or
b) on each side of the grade crossing, facing traffic approaching the grade crossing.</t>
      </text>
    </comment>
    <comment ref="AD964" authorId="26" shapeId="0" xr:uid="{3FAC9DA9-77FE-4950-BACF-850C7FEE676A}">
      <text>
        <t>[Threaded comment]
Your version of Excel allows you to read this threaded comment; however, any edits to it will get removed if the file is opened in a newer version of Excel. Learn more: https://go.microsoft.com/fwlink/?linkid=870924
Comment:
    GCS 8.5.2 
The emergency notification sign must be clearly legible.</t>
      </text>
    </comment>
    <comment ref="AD1118" authorId="27" shapeId="0" xr:uid="{BB2EE9AF-5B0C-4162-8816-B1599B213A7F}">
      <text>
        <t>[Threaded comment]
Your version of Excel allows you to read this threaded comment; however, any edits to it will get removed if the file is opened in a newer version of Excel. Learn more: https://go.microsoft.com/fwlink/?linkid=870924
Comment:
    GCS 9.2 
The specifications for a public grade crossing at which a warning system with gates is required are as 
follows:
9.2.1 a warning system is required under article 9.1 and;</t>
      </text>
    </comment>
    <comment ref="AD1121" authorId="28" shapeId="0" xr:uid="{91BA8E16-E820-41C7-B380-069E3AFA3D04}">
      <text>
        <t>[Threaded comment]
Your version of Excel allows you to read this threaded comment; however, any edits to it will get removed if the file is opened in a newer version of Excel. Learn more: https://go.microsoft.com/fwlink/?linkid=870924
Comment:
    GCS 9.2 (a) the forecast cross-product is 50,000 or more;</t>
      </text>
    </comment>
    <comment ref="AD1127" authorId="29" shapeId="0" xr:uid="{3A33C8C5-C91E-4005-8DAA-89A3CD6BD913}">
      <text>
        <t>[Threaded comment]
Your version of Excel allows you to read this threaded comment; however, any edits to it will get removed if the file is opened in a newer version of Excel. Learn more: https://go.microsoft.com/fwlink/?linkid=870924
Comment:
    GCS 9.2 (b) there are two or more lines of railway where railway equipment may pass each other;</t>
      </text>
    </comment>
    <comment ref="A1131" authorId="30" shapeId="0" xr:uid="{A4688BC8-82D7-4F0D-8526-39A76385B295}">
      <text>
        <t>[Threaded comment]
Your version of Excel allows you to read this threaded comment; however, any edits to it will get removed if the file is opened in a newer version of Excel. Learn more: https://go.microsoft.com/fwlink/?linkid=870924
Comment:
    Fix Warrant Formula (New Variable due to Pblic, Private warrants)</t>
      </text>
    </comment>
    <comment ref="AD1131" authorId="31" shapeId="0" xr:uid="{EF1030A2-A4F1-40AB-A199-4F734D515C7F}">
      <text>
        <t>[Threaded comment]
Your version of Excel allows you to read this threaded comment; however, any edits to it will get removed if the file is opened in a newer version of Excel. Learn more: https://go.microsoft.com/fwlink/?linkid=870924
Comment:
    GCS 9.2 (c) the railway design speed is more than 81 km/hr (50 mph);</t>
      </text>
    </comment>
    <comment ref="A1135" authorId="32" shapeId="0" xr:uid="{6C2EC8D6-9107-4E69-9A4B-50B8233D1043}">
      <text>
        <t>[Threaded comment]
Your version of Excel allows you to read this threaded comment; however, any edits to it will get removed if the file is opened in a newer version of Excel. Learn more: https://go.microsoft.com/fwlink/?linkid=870924
Comment:
    Fix Warrant Formula (New Variable due to Pblic, Private warrants)</t>
      </text>
    </comment>
    <comment ref="AD1135" authorId="33" shapeId="0" xr:uid="{F382B10E-8E3D-4553-BEC3-82034AD5CAF4}">
      <text>
        <t>[Threaded comment]
Your version of Excel allows you to read this threaded comment; however, any edits to it will get removed if the file is opened in a newer version of Excel. Learn more: https://go.microsoft.com/fwlink/?linkid=870924
Comment:
    GCS 9.2 (d) the distance as shown in Figure 9-1(a) between a Stop sign at an intersection and the nearest rail in the crossing surface is less than 30 m; or</t>
      </text>
    </comment>
    <comment ref="A1140" authorId="34" shapeId="0" xr:uid="{10C3A8AA-081A-4496-B51F-A49535A0B507}">
      <text>
        <t>[Threaded comment]
Your version of Excel allows you to read this threaded comment; however, any edits to it will get removed if the file is opened in a newer version of Excel. Learn more: https://go.microsoft.com/fwlink/?linkid=870924
Comment:
    Fix Warrant Formula (New Variable due to Pblic, Private warrants)</t>
      </text>
    </comment>
    <comment ref="AD1140" authorId="35" shapeId="0" xr:uid="{80538E8C-6B3C-4885-A971-AFA525BAD789}">
      <text>
        <t>[Threaded comment]
Your version of Excel allows you to read this threaded comment; however, any edits to it will get removed if the file is opened in a newer version of Excel. Learn more: https://go.microsoft.com/fwlink/?linkid=870924
Comment:
    GCS 9.2 (e) in the case of an intersection with a traffic signal, the distance between the stop line of the intersection and the nearest rail in the crossing surface, as shown in Figure 9-1(b), is less than 60 m, or where there is no stop line, the distance between the travelled way and the nearest rail in the crossing surface is less than 60 m.</t>
      </text>
    </comment>
    <comment ref="A1197" authorId="36" shapeId="0" xr:uid="{0BAAE01F-914F-4209-97F2-3BA6F42E8B0F}">
      <text>
        <t>[Threaded comment]
Your version of Excel allows you to read this threaded comment; however, any edits to it will get removed if the file is opened in a newer version of Excel. Learn more: https://go.microsoft.com/fwlink/?linkid=870924
Comment:
    fix formula</t>
      </text>
    </comment>
    <comment ref="D1219" authorId="37" shapeId="0" xr:uid="{A5835B00-E7E6-49D7-9703-9CEBA7B37F1F}">
      <text>
        <t>[Threaded comment]
Your version of Excel allows you to read this threaded comment; however, any edits to it will get removed if the file is opened in a newer version of Excel. Learn more: https://go.microsoft.com/fwlink/?linkid=870924
Comment:
    GCR 12.2
a) Activation and deactivation of interconnected devices;
b) Gates have returned to or left the vertical position (Gate up Position);
c) Gates have descended to a point 10 degrees  from horizontal (Gate down Position);
d) Activation of the warning system test switch;
e) Activation and deactivation of all track circuits used in the control of the warning system, including electronic track circuits;
f) Activation of the warning system;
g) Activation of all devices used to control the warning systems at adjacent crossings; and
h) Activation and deactivation of all devices used to activate the warning system from a location other than the crossing.</t>
      </text>
    </comment>
    <comment ref="I1411" authorId="10" shapeId="0" xr:uid="{4086C347-BCD6-465A-85FC-1129D5C3BF48}">
      <text>
        <r>
          <rPr>
            <b/>
            <sz val="9"/>
            <color indexed="81"/>
            <rFont val="Tahoma"/>
            <family val="2"/>
          </rPr>
          <t>Orr, Michael:</t>
        </r>
        <r>
          <rPr>
            <sz val="9"/>
            <color indexed="81"/>
            <rFont val="Tahoma"/>
            <family val="2"/>
          </rPr>
          <t xml:space="preserve">
Need to get gate arm clearnace distance from SSD
SSD does not consider each side of crossing</t>
        </r>
      </text>
    </comment>
    <comment ref="P1413" authorId="10" shapeId="0" xr:uid="{BCBA2A2B-DB91-4335-87F9-75AD8CAC74FD}">
      <text>
        <r>
          <rPr>
            <b/>
            <sz val="9"/>
            <color indexed="81"/>
            <rFont val="Tahoma"/>
            <family val="2"/>
          </rPr>
          <t>Orr, Michael:</t>
        </r>
        <r>
          <rPr>
            <sz val="9"/>
            <color indexed="81"/>
            <rFont val="Tahoma"/>
            <family val="2"/>
          </rPr>
          <t xml:space="preserve">
Need to get gate arm clearnce distance from stop</t>
        </r>
      </text>
    </comment>
    <comment ref="A1416" authorId="38" shapeId="0" xr:uid="{C77B0C20-56E1-439D-8373-839D714EEE0A}">
      <text>
        <t>[Threaded comment]
Your version of Excel allows you to read this threaded comment; however, any edits to it will get removed if the file is opened in a newer version of Excel. Learn more: https://go.microsoft.com/fwlink/?linkid=870924
Comment:
    Check formula</t>
      </text>
    </comment>
    <comment ref="A1419" authorId="39" shapeId="0" xr:uid="{0567F2A6-EC7A-4CCF-BE65-5618762F6E0E}">
      <text>
        <t>[Threaded comment]
Your version of Excel allows you to read this threaded comment; however, any edits to it will get removed if the file is opened in a newer version of Excel. Learn more: https://go.microsoft.com/fwlink/?linkid=870924
Comment:
    New field</t>
      </text>
    </comment>
    <comment ref="A1423" authorId="10" shapeId="0" xr:uid="{AF5CCF19-8942-486A-97BF-0D1F75873636}">
      <text>
        <r>
          <rPr>
            <b/>
            <sz val="9"/>
            <color indexed="81"/>
            <rFont val="Tahoma"/>
            <family val="2"/>
          </rPr>
          <t>Orr, Michael:</t>
        </r>
        <r>
          <rPr>
            <sz val="9"/>
            <color indexed="81"/>
            <rFont val="Tahoma"/>
            <family val="2"/>
          </rPr>
          <t xml:space="preserve">
Need variable name</t>
        </r>
      </text>
    </comment>
    <comment ref="A1425" authorId="10" shapeId="0" xr:uid="{04FA4FE6-E327-4DC2-8B8D-2E57C1418A15}">
      <text>
        <r>
          <rPr>
            <b/>
            <sz val="9"/>
            <color indexed="81"/>
            <rFont val="Tahoma"/>
            <family val="2"/>
          </rPr>
          <t>Orr, Michael:</t>
        </r>
        <r>
          <rPr>
            <sz val="9"/>
            <color indexed="81"/>
            <rFont val="Tahoma"/>
            <family val="2"/>
          </rPr>
          <t xml:space="preserve">
Need variable name</t>
        </r>
      </text>
    </comment>
    <comment ref="A1428" authorId="40" shapeId="0" xr:uid="{B720CD43-A997-431B-A381-CA4D56B823C4}">
      <text>
        <t>[Threaded comment]
Your version of Excel allows you to read this threaded comment; however, any edits to it will get removed if the file is opened in a newer version of Excel. Learn more: https://go.microsoft.com/fwlink/?linkid=870924
Comment:
    New field</t>
      </text>
    </comment>
    <comment ref="D1477" authorId="10" shapeId="0" xr:uid="{116541EA-6262-4CB1-981E-425523C00774}">
      <text>
        <r>
          <rPr>
            <b/>
            <sz val="9"/>
            <color indexed="81"/>
            <rFont val="Tahoma"/>
            <family val="2"/>
          </rPr>
          <t>Orr, Michael:</t>
        </r>
        <r>
          <rPr>
            <sz val="9"/>
            <color indexed="81"/>
            <rFont val="Tahoma"/>
            <family val="2"/>
          </rPr>
          <t xml:space="preserve">
Review. Result should be same as SSD?</t>
        </r>
      </text>
    </comment>
    <comment ref="F1510" authorId="10" shapeId="0" xr:uid="{58DE7C76-F693-4E42-AACE-03C4F4F2D9FF}">
      <text>
        <r>
          <rPr>
            <b/>
            <sz val="9"/>
            <color indexed="81"/>
            <rFont val="Tahoma"/>
            <family val="2"/>
          </rPr>
          <t>Orr, Michael:</t>
        </r>
        <r>
          <rPr>
            <sz val="9"/>
            <color indexed="81"/>
            <rFont val="Tahoma"/>
            <family val="2"/>
          </rPr>
          <t xml:space="preserve">
Provide Preemption time recommended and actual</t>
        </r>
      </text>
    </comment>
  </commentList>
</comments>
</file>

<file path=xl/sharedStrings.xml><?xml version="1.0" encoding="utf-8"?>
<sst xmlns="http://schemas.openxmlformats.org/spreadsheetml/2006/main" count="1480" uniqueCount="754">
  <si>
    <t>Railway Orientation:</t>
  </si>
  <si>
    <t>E-W</t>
  </si>
  <si>
    <t>RailD1:</t>
  </si>
  <si>
    <t>RailD2:</t>
  </si>
  <si>
    <t>RoadD1:</t>
  </si>
  <si>
    <t>RoadD2:</t>
  </si>
  <si>
    <t>Xing ID:</t>
  </si>
  <si>
    <t>List of Crossings</t>
  </si>
  <si>
    <t>Road Name:</t>
  </si>
  <si>
    <t>Data Source:</t>
  </si>
  <si>
    <t>Design Vehicle</t>
  </si>
  <si>
    <t>Passenger Cars, Vans and Pickups (P)</t>
  </si>
  <si>
    <t>Light Single-Unit Trucks</t>
  </si>
  <si>
    <t>Medium Single-Unit Trucks</t>
  </si>
  <si>
    <t>Heavy Single-Unit Trucks</t>
  </si>
  <si>
    <t>WB-19 Tractor Semitrailers</t>
  </si>
  <si>
    <r>
      <t>F</t>
    </r>
    <r>
      <rPr>
        <b/>
        <sz val="12"/>
        <rFont val="Arial"/>
        <family val="2"/>
      </rPr>
      <t>IELD</t>
    </r>
    <r>
      <rPr>
        <b/>
        <sz val="14"/>
        <rFont val="Arial"/>
        <family val="2"/>
      </rPr>
      <t xml:space="preserve"> D</t>
    </r>
    <r>
      <rPr>
        <b/>
        <sz val="12"/>
        <rFont val="Arial"/>
        <family val="2"/>
      </rPr>
      <t>ATA</t>
    </r>
    <r>
      <rPr>
        <b/>
        <sz val="14"/>
        <rFont val="Arial"/>
        <family val="2"/>
      </rPr>
      <t xml:space="preserve"> F</t>
    </r>
    <r>
      <rPr>
        <b/>
        <sz val="12"/>
        <rFont val="Arial"/>
        <family val="2"/>
      </rPr>
      <t>ORMS</t>
    </r>
  </si>
  <si>
    <t>WB-20 Tractor Semitrailers</t>
  </si>
  <si>
    <t>A-Train Doubles (ATD)</t>
  </si>
  <si>
    <t>B-Train Doubles (BTD)</t>
  </si>
  <si>
    <t>Standard Single Unit Buses (B-12)</t>
  </si>
  <si>
    <t>Articulated Buses (A-BUS)</t>
  </si>
  <si>
    <t>Intercity Buses (I-BUS)</t>
  </si>
  <si>
    <t>Pedestrian/Cyclist</t>
  </si>
  <si>
    <t>Road Speed</t>
  </si>
  <si>
    <t>SSD (car)</t>
  </si>
  <si>
    <t>SSD (truck)</t>
  </si>
  <si>
    <t>Recommended SSD</t>
  </si>
  <si>
    <t>Active Public Crossings</t>
  </si>
  <si>
    <t>NOTE: The safety assessment of this grade crossing covers physical features which may affect road and rail user safety, and identifies potential safety hazards.  However, the auditors point out that no guarantee is made that every deficiency has been identified. Further, if all of the recommendations in this assessment were to be addressed, this would not confirm that the crossing is ‘safe’, rather, adoption of the recommendations should improve the level of safety at this facility.</t>
  </si>
  <si>
    <t>Road Classification</t>
  </si>
  <si>
    <t>RLU</t>
  </si>
  <si>
    <t>Rural Local Undivided</t>
  </si>
  <si>
    <t>RCU</t>
  </si>
  <si>
    <t>Rural Collector Undivided</t>
  </si>
  <si>
    <t>RCD</t>
  </si>
  <si>
    <t>Rural Collector Divided</t>
  </si>
  <si>
    <t>RAU</t>
  </si>
  <si>
    <t>Rural Arterial Undivided</t>
  </si>
  <si>
    <t>RAD</t>
  </si>
  <si>
    <t>Rural Arterial Divided</t>
  </si>
  <si>
    <t>RFD</t>
  </si>
  <si>
    <t>Rural Freeway Divided</t>
  </si>
  <si>
    <t>-</t>
  </si>
  <si>
    <t>ULU</t>
  </si>
  <si>
    <t>Urban Local Undivided</t>
  </si>
  <si>
    <t>UCU</t>
  </si>
  <si>
    <t>Urban Collector Undivided</t>
  </si>
  <si>
    <t>UCD</t>
  </si>
  <si>
    <t>Urban Collector Divided</t>
  </si>
  <si>
    <t>UAU</t>
  </si>
  <si>
    <t>Urban Arterial Undivided</t>
  </si>
  <si>
    <t>UAD</t>
  </si>
  <si>
    <t>Urban Arterial Divided</t>
  </si>
  <si>
    <t>N/A</t>
  </si>
  <si>
    <t>Private Road</t>
  </si>
  <si>
    <t>Pedestrian Crossing</t>
  </si>
  <si>
    <t>Sheet 1</t>
  </si>
  <si>
    <t>Grade Crossing Safety Assessment</t>
  </si>
  <si>
    <t>Active Crossings</t>
  </si>
  <si>
    <t>Date of Assessment:</t>
  </si>
  <si>
    <t>Assessment Team Members &amp; Affiliations:</t>
  </si>
  <si>
    <t>Reason for Assessment:</t>
  </si>
  <si>
    <t>Railway Company:</t>
  </si>
  <si>
    <t>Road Authority:</t>
  </si>
  <si>
    <t>Crossing Location:</t>
  </si>
  <si>
    <t>Municipality:</t>
  </si>
  <si>
    <t>Location Number:</t>
  </si>
  <si>
    <t>Subdivision:</t>
  </si>
  <si>
    <t>Mile:</t>
  </si>
  <si>
    <t>Road Number:</t>
  </si>
  <si>
    <t>Spur:</t>
  </si>
  <si>
    <t/>
  </si>
  <si>
    <t>Province:</t>
  </si>
  <si>
    <t>Type of Crossing:</t>
  </si>
  <si>
    <t>Location Reference:</t>
  </si>
  <si>
    <t>Type of Protection:</t>
  </si>
  <si>
    <t>Active - FLBG</t>
  </si>
  <si>
    <t>Road Classification:</t>
  </si>
  <si>
    <t>Track Type:</t>
  </si>
  <si>
    <t>Other</t>
  </si>
  <si>
    <t>Latitude:</t>
  </si>
  <si>
    <t>Longitude:</t>
  </si>
  <si>
    <t>Collision History (5-year period):</t>
  </si>
  <si>
    <t>Property Damage Collisions:</t>
  </si>
  <si>
    <t>+</t>
  </si>
  <si>
    <t>Personal Injury Collisions:</t>
  </si>
  <si>
    <t>Number of Persons Injured:</t>
  </si>
  <si>
    <t>Fatal Injury Collisions:</t>
  </si>
  <si>
    <t>Number of Persons Killed:</t>
  </si>
  <si>
    <t>=</t>
  </si>
  <si>
    <t>Total Collisions in the last 5 year period:</t>
  </si>
  <si>
    <t>Details of Collisions:</t>
  </si>
  <si>
    <t>Sheet 2</t>
  </si>
  <si>
    <t>SCENE SKETCH</t>
  </si>
  <si>
    <r>
      <t>NOTE:</t>
    </r>
    <r>
      <rPr>
        <sz val="9"/>
        <rFont val="Times New Roman"/>
        <family val="1"/>
      </rPr>
      <t xml:space="preserve">  All references to direction in this safety review are keyed to this diagram.</t>
    </r>
  </si>
  <si>
    <t>Sheet 3</t>
  </si>
  <si>
    <t>GENERAL INFORMATION</t>
  </si>
  <si>
    <t>Source</t>
  </si>
  <si>
    <t>Item</t>
  </si>
  <si>
    <t>Reference</t>
  </si>
  <si>
    <t>Rail</t>
  </si>
  <si>
    <r>
      <t>Railway Design Speed, V</t>
    </r>
    <r>
      <rPr>
        <vertAlign val="subscript"/>
        <sz val="9"/>
        <color theme="1"/>
        <rFont val="Times New Roman"/>
        <family val="1"/>
      </rPr>
      <t>T</t>
    </r>
    <r>
      <rPr>
        <sz val="9"/>
        <color theme="1"/>
        <rFont val="Times New Roman"/>
        <family val="1"/>
      </rPr>
      <t xml:space="preserve"> (mph)</t>
    </r>
  </si>
  <si>
    <t>mph</t>
  </si>
  <si>
    <t>km/h</t>
  </si>
  <si>
    <t>Maximum Freight Railway Operating Speed (mph)</t>
  </si>
  <si>
    <t>Maximum Passenger Railway Operating Speed (mph)</t>
  </si>
  <si>
    <t>Daily Train Volume</t>
  </si>
  <si>
    <t>Freight trains/day:</t>
  </si>
  <si>
    <t>Passenger trains/day:</t>
  </si>
  <si>
    <t>Total trains/day:</t>
  </si>
  <si>
    <t>Number of Tracks</t>
  </si>
  <si>
    <t>Train Switching within Crossing Approaches?</t>
  </si>
  <si>
    <t>Road T</t>
  </si>
  <si>
    <t>Road Crossing Design Speed</t>
  </si>
  <si>
    <t>Road Posted Speed</t>
  </si>
  <si>
    <t>Road</t>
  </si>
  <si>
    <t>Average Annual Daily Traffic, AADT</t>
  </si>
  <si>
    <t>vpd</t>
  </si>
  <si>
    <t>Year of Count:</t>
  </si>
  <si>
    <t>Forecasted AADT</t>
  </si>
  <si>
    <t>Forecast Year:</t>
  </si>
  <si>
    <t>Pedestrian Volume</t>
  </si>
  <si>
    <t>pedestrians/day</t>
  </si>
  <si>
    <t>Cyclist Volume</t>
  </si>
  <si>
    <t>cyclists/day</t>
  </si>
  <si>
    <t>No. of Traffic Lanes</t>
  </si>
  <si>
    <t>Northbound / Eastbound</t>
  </si>
  <si>
    <t>Southbound / Westbound</t>
  </si>
  <si>
    <t>Bidirectional</t>
  </si>
  <si>
    <t>Total</t>
  </si>
  <si>
    <t>Does grade crossing include sidewalk, path, or trail?</t>
  </si>
  <si>
    <t>Regular use of crossing by persons with Assistive Devices?</t>
  </si>
  <si>
    <t>High seasonal fluctuation in volumes?</t>
  </si>
  <si>
    <t>Is crossing on a School Bus Route?</t>
  </si>
  <si>
    <t>Do Dangerous Goods Trucks use this roadway?</t>
  </si>
  <si>
    <t>Other special road users?</t>
  </si>
  <si>
    <t>Type:</t>
  </si>
  <si>
    <t>Daily Volume:</t>
  </si>
  <si>
    <t>Observe</t>
  </si>
  <si>
    <t>Surrounding Land Use:</t>
  </si>
  <si>
    <t>Urban/rural?</t>
  </si>
  <si>
    <t>Any schools, retirement homes, etc. nearby?</t>
  </si>
  <si>
    <t>Roadway Illumination?</t>
  </si>
  <si>
    <t>Notes:</t>
  </si>
  <si>
    <r>
      <t>T</t>
    </r>
    <r>
      <rPr>
        <sz val="9"/>
        <rFont val="Times New Roman"/>
        <family val="1"/>
      </rPr>
      <t xml:space="preserve"> indicates information should be confirmed by field observation</t>
    </r>
  </si>
  <si>
    <t>1. Road Authority should provide plans if available.</t>
  </si>
  <si>
    <t>2. Forecast AADT until next assessment if significant developments are expected or if a planned bypass may reduce volumes.</t>
  </si>
  <si>
    <t>3. Daily Train Volume, Average Annual Daily Traffic (AADT), Maximum Railway Operating Speed, Road Crossing Design Speed obtained from Transport Canada Grade Crossing Inventory</t>
  </si>
  <si>
    <t>Comments Regarding General Information</t>
  </si>
  <si>
    <t>Number of tracks at the crossing</t>
  </si>
  <si>
    <t>GCS Section 10</t>
  </si>
  <si>
    <t>Sheet 4</t>
  </si>
  <si>
    <t>DESIGN CONSIDERATIONS</t>
  </si>
  <si>
    <t>Sect. 10.3.1</t>
  </si>
  <si>
    <t>look-up</t>
  </si>
  <si>
    <t>Length, L</t>
  </si>
  <si>
    <t>m</t>
  </si>
  <si>
    <t>Class</t>
  </si>
  <si>
    <t>measure</t>
  </si>
  <si>
    <t>Clearance Distance, cd</t>
  </si>
  <si>
    <t>Fig. 10-1</t>
  </si>
  <si>
    <t>calculate</t>
  </si>
  <si>
    <r>
      <t xml:space="preserve">Vehicle Travel Distance, S </t>
    </r>
    <r>
      <rPr>
        <sz val="9"/>
        <color theme="1"/>
        <rFont val="Times New Roman"/>
        <family val="1"/>
      </rPr>
      <t>= L + cd</t>
    </r>
  </si>
  <si>
    <t>Sect. 10.2.1</t>
  </si>
  <si>
    <r>
      <t>Vehicle Departure Time, T</t>
    </r>
    <r>
      <rPr>
        <b/>
        <vertAlign val="subscript"/>
        <sz val="9"/>
        <color theme="1"/>
        <rFont val="Times New Roman"/>
        <family val="1"/>
      </rPr>
      <t>D</t>
    </r>
    <r>
      <rPr>
        <sz val="9"/>
        <color theme="1"/>
        <rFont val="Times New Roman"/>
        <family val="1"/>
      </rPr>
      <t xml:space="preserve"> = J + T</t>
    </r>
  </si>
  <si>
    <t>sec</t>
  </si>
  <si>
    <t>Sect. 10.3.2</t>
  </si>
  <si>
    <t>J</t>
  </si>
  <si>
    <t>= driver's reaction time</t>
  </si>
  <si>
    <r>
      <rPr>
        <b/>
        <sz val="9"/>
        <color theme="1"/>
        <rFont val="Times New Roman"/>
        <family val="1"/>
      </rPr>
      <t>T</t>
    </r>
    <r>
      <rPr>
        <sz val="9"/>
        <color theme="1"/>
        <rFont val="Times New Roman"/>
        <family val="1"/>
      </rPr>
      <t xml:space="preserve"> = (t x G)</t>
    </r>
  </si>
  <si>
    <t>= the time for the design vehicle to travel through S</t>
  </si>
  <si>
    <t>t</t>
  </si>
  <si>
    <t>= the time for the design vehicle to accelerate through S</t>
  </si>
  <si>
    <t>GDG Fig. 2.3.3.3</t>
  </si>
  <si>
    <t>%</t>
  </si>
  <si>
    <r>
      <t xml:space="preserve">= maximum approach grade within </t>
    </r>
    <r>
      <rPr>
        <b/>
        <sz val="9"/>
        <color theme="1"/>
        <rFont val="Times New Roman"/>
        <family val="1"/>
      </rPr>
      <t>S</t>
    </r>
  </si>
  <si>
    <t>G</t>
  </si>
  <si>
    <t>= ratio of acceleration time on grade/grade adjustment factor</t>
  </si>
  <si>
    <t>GDG T2.3.3.2</t>
  </si>
  <si>
    <t>observe</t>
  </si>
  <si>
    <r>
      <t>Do field acceleration times exceed T</t>
    </r>
    <r>
      <rPr>
        <vertAlign val="subscript"/>
        <sz val="9"/>
        <color theme="1"/>
        <rFont val="Times New Roman"/>
        <family val="1"/>
      </rPr>
      <t>D</t>
    </r>
    <r>
      <rPr>
        <sz val="9"/>
        <color theme="1"/>
        <rFont val="Times New Roman"/>
        <family val="1"/>
      </rPr>
      <t>? (Anything that might affect stopping or acceleration. Comment.)</t>
    </r>
  </si>
  <si>
    <r>
      <t>Pedestrian, Cyclist &amp; Assistive Devices Departure Time, T</t>
    </r>
    <r>
      <rPr>
        <b/>
        <vertAlign val="subscript"/>
        <sz val="9"/>
        <color theme="1"/>
        <rFont val="Times New Roman"/>
        <family val="1"/>
      </rPr>
      <t>P</t>
    </r>
    <r>
      <rPr>
        <sz val="9"/>
        <color theme="1"/>
        <rFont val="Times New Roman"/>
        <family val="1"/>
      </rPr>
      <t xml:space="preserve"> = cd/V</t>
    </r>
    <r>
      <rPr>
        <vertAlign val="subscript"/>
        <sz val="9"/>
        <color theme="1"/>
        <rFont val="Times New Roman"/>
        <family val="1"/>
      </rPr>
      <t>P</t>
    </r>
  </si>
  <si>
    <t>cd</t>
  </si>
  <si>
    <r>
      <t>V</t>
    </r>
    <r>
      <rPr>
        <b/>
        <vertAlign val="subscript"/>
        <sz val="9"/>
        <color theme="1"/>
        <rFont val="Times New Roman"/>
        <family val="1"/>
      </rPr>
      <t>P</t>
    </r>
  </si>
  <si>
    <t>m/s</t>
  </si>
  <si>
    <t>(maximum 1.22 m/s)</t>
  </si>
  <si>
    <r>
      <t>T</t>
    </r>
    <r>
      <rPr>
        <b/>
        <vertAlign val="subscript"/>
        <sz val="9"/>
        <color theme="1"/>
        <rFont val="Times New Roman"/>
        <family val="1"/>
      </rPr>
      <t>P</t>
    </r>
  </si>
  <si>
    <t>For Adjacent Track Interconnected Highway-Rail Grade Crossing Warning Systems Separated by 30 m (100 ft) to 60 m (200 ft)</t>
  </si>
  <si>
    <t>AREMA C&amp;S Manual
3.1.11</t>
  </si>
  <si>
    <t>Separation Distance between adjacent tracks</t>
  </si>
  <si>
    <t>Adjacent Track Clearance Distance</t>
  </si>
  <si>
    <t>Adjacent Track Clearance Time</t>
  </si>
  <si>
    <t>Comments Regarding Design Parameters</t>
  </si>
  <si>
    <t>GCS Section 11</t>
  </si>
  <si>
    <r>
      <t>t</t>
    </r>
    <r>
      <rPr>
        <vertAlign val="subscript"/>
        <sz val="9"/>
        <color theme="1"/>
        <rFont val="Times New Roman"/>
        <family val="1"/>
      </rPr>
      <t>trailer</t>
    </r>
  </si>
  <si>
    <r>
      <t>t</t>
    </r>
    <r>
      <rPr>
        <vertAlign val="subscript"/>
        <sz val="9"/>
        <color theme="1"/>
        <rFont val="Times New Roman"/>
        <family val="1"/>
      </rPr>
      <t>truck</t>
    </r>
  </si>
  <si>
    <r>
      <t>t</t>
    </r>
    <r>
      <rPr>
        <vertAlign val="subscript"/>
        <sz val="9"/>
        <color theme="1"/>
        <rFont val="Times New Roman"/>
        <family val="1"/>
      </rPr>
      <t>car</t>
    </r>
  </si>
  <si>
    <t>Sheet 5</t>
  </si>
  <si>
    <t>LOCATION OF GRADE CROSSING</t>
  </si>
  <si>
    <r>
      <t>"</t>
    </r>
    <r>
      <rPr>
        <b/>
        <sz val="9"/>
        <color theme="1"/>
        <rFont val="Times New Roman"/>
        <family val="1"/>
      </rPr>
      <t>D</t>
    </r>
    <r>
      <rPr>
        <sz val="9"/>
        <color theme="1"/>
        <rFont val="Times New Roman"/>
        <family val="1"/>
      </rPr>
      <t>" should not be less than 30m for either approach if train speed exceeds 15 mph. (measured in m)</t>
    </r>
  </si>
  <si>
    <t>Sect 11.1
Fig. 11-1</t>
  </si>
  <si>
    <r>
      <t>"</t>
    </r>
    <r>
      <rPr>
        <b/>
        <sz val="9"/>
        <color theme="1"/>
        <rFont val="Times New Roman"/>
        <family val="1"/>
      </rPr>
      <t>D</t>
    </r>
    <r>
      <rPr>
        <sz val="9"/>
        <color theme="1"/>
        <rFont val="Times New Roman"/>
        <family val="1"/>
      </rPr>
      <t>" (intersection with stop sign)</t>
    </r>
  </si>
  <si>
    <r>
      <t>"</t>
    </r>
    <r>
      <rPr>
        <b/>
        <sz val="9"/>
        <color theme="1"/>
        <rFont val="Times New Roman"/>
        <family val="1"/>
      </rPr>
      <t>D</t>
    </r>
    <r>
      <rPr>
        <sz val="9"/>
        <color theme="1"/>
        <rFont val="Times New Roman"/>
        <family val="1"/>
      </rPr>
      <t>" (signalized intersection)</t>
    </r>
  </si>
  <si>
    <r>
      <t>"</t>
    </r>
    <r>
      <rPr>
        <b/>
        <sz val="9"/>
        <color theme="1"/>
        <rFont val="Times New Roman"/>
        <family val="1"/>
      </rPr>
      <t>D</t>
    </r>
    <r>
      <rPr>
        <sz val="9"/>
        <color theme="1"/>
        <rFont val="Times New Roman"/>
        <family val="1"/>
      </rPr>
      <t>" (other intersection/driveway/crosswalk)</t>
    </r>
  </si>
  <si>
    <r>
      <t>Is "</t>
    </r>
    <r>
      <rPr>
        <b/>
        <sz val="9"/>
        <color theme="1"/>
        <rFont val="Times New Roman"/>
        <family val="1"/>
      </rPr>
      <t>D</t>
    </r>
    <r>
      <rPr>
        <sz val="9"/>
        <color theme="1"/>
        <rFont val="Times New Roman"/>
        <family val="1"/>
      </rPr>
      <t>" insufficient such that road vehicles might queue onto the tracks?</t>
    </r>
  </si>
  <si>
    <r>
      <t>Is "</t>
    </r>
    <r>
      <rPr>
        <b/>
        <sz val="9"/>
        <color theme="1"/>
        <rFont val="Times New Roman"/>
        <family val="1"/>
      </rPr>
      <t>D</t>
    </r>
    <r>
      <rPr>
        <sz val="9"/>
        <color theme="1"/>
        <rFont val="Times New Roman"/>
        <family val="1"/>
      </rPr>
      <t>" insufficient such that road vehicles turning from a side street might not see warning devices for the crossing?</t>
    </r>
  </si>
  <si>
    <t>Are there pedestrian crossings on either road approach that could cause vehicles to queue back to the tracks?</t>
  </si>
  <si>
    <t>Comments Following Site Visit:</t>
  </si>
  <si>
    <t>GCS Section 5</t>
  </si>
  <si>
    <t>Sheet 6</t>
  </si>
  <si>
    <t>GRADE CROSSING SURFACE</t>
  </si>
  <si>
    <t>GCS Section 3, 5</t>
  </si>
  <si>
    <t>Is the crossing smooth enough to allow road vehicles, pedestrians, cyclists and other road users to cross at their normal speed without consequence? Comment below.</t>
  </si>
  <si>
    <t>Sect. 5.1</t>
  </si>
  <si>
    <t>Grade Crossing Surface Material:</t>
  </si>
  <si>
    <t>Grade Crossing Surface Condition:</t>
  </si>
  <si>
    <t>Approach Road Surface Type:</t>
  </si>
  <si>
    <t>Approach Road Surface Condition:</t>
  </si>
  <si>
    <t>Road Crossing Surface Width</t>
  </si>
  <si>
    <t>Fig. 3-1
Fig. 5-1</t>
  </si>
  <si>
    <t>Centre Lane/Median Width</t>
  </si>
  <si>
    <t>Travelled Way Width</t>
  </si>
  <si>
    <t>Paved Shoulder Width</t>
  </si>
  <si>
    <t>Surface Extension beyond Travel Lanes/Shoulder</t>
  </si>
  <si>
    <t>Distance between Travel Lane/Shoulder and Sidewalk/Path/Trail</t>
  </si>
  <si>
    <t>Sidewalk/Path/Trail Width</t>
  </si>
  <si>
    <t>Surface Extension beyond Sidewalk/Path/Trail</t>
  </si>
  <si>
    <t>Cross-Section:</t>
  </si>
  <si>
    <t>Flangeway width</t>
  </si>
  <si>
    <t>mm</t>
  </si>
  <si>
    <r>
      <t>(min. = 65 mm; max. = 75 mm</t>
    </r>
    <r>
      <rPr>
        <vertAlign val="superscript"/>
        <sz val="9"/>
        <color theme="1"/>
        <rFont val="Times New Roman"/>
        <family val="1"/>
      </rPr>
      <t>1</t>
    </r>
    <r>
      <rPr>
        <sz val="9"/>
        <color theme="1"/>
        <rFont val="Times New Roman"/>
        <family val="1"/>
      </rPr>
      <t xml:space="preserve"> or 120 mm)</t>
    </r>
  </si>
  <si>
    <t>Table 5-1</t>
  </si>
  <si>
    <t>Flangeway depth</t>
  </si>
  <si>
    <r>
      <t>(min. = 50 mm; max. = 75 mm</t>
    </r>
    <r>
      <rPr>
        <vertAlign val="superscript"/>
        <sz val="9"/>
        <color theme="1"/>
        <rFont val="Times New Roman"/>
        <family val="1"/>
      </rPr>
      <t>1</t>
    </r>
    <r>
      <rPr>
        <sz val="9"/>
        <color theme="1"/>
        <rFont val="Times New Roman"/>
        <family val="1"/>
      </rPr>
      <t xml:space="preserve"> or no limit)</t>
    </r>
  </si>
  <si>
    <t>Field Side Gap width</t>
  </si>
  <si>
    <r>
      <t>(max. = 120 mm or 0 mm</t>
    </r>
    <r>
      <rPr>
        <vertAlign val="superscript"/>
        <sz val="9"/>
        <color theme="1"/>
        <rFont val="Times New Roman"/>
        <family val="1"/>
      </rPr>
      <t>1</t>
    </r>
    <r>
      <rPr>
        <sz val="9"/>
        <color theme="1"/>
        <rFont val="Times New Roman"/>
        <family val="1"/>
      </rPr>
      <t>)</t>
    </r>
  </si>
  <si>
    <t>Field Side Gap depth</t>
  </si>
  <si>
    <r>
      <t>(max. = no limit or 0 mm</t>
    </r>
    <r>
      <rPr>
        <vertAlign val="superscript"/>
        <sz val="9"/>
        <color theme="1"/>
        <rFont val="Times New Roman"/>
        <family val="1"/>
      </rPr>
      <t>1</t>
    </r>
    <r>
      <rPr>
        <sz val="9"/>
        <color theme="1"/>
        <rFont val="Times New Roman"/>
        <family val="1"/>
      </rPr>
      <t>)</t>
    </r>
  </si>
  <si>
    <t>Elevation of Top Rail above road surface</t>
  </si>
  <si>
    <r>
      <t>(max. = 13 mm</t>
    </r>
    <r>
      <rPr>
        <vertAlign val="superscript"/>
        <sz val="9"/>
        <color theme="1"/>
        <rFont val="Times New Roman"/>
        <family val="1"/>
      </rPr>
      <t>1</t>
    </r>
    <r>
      <rPr>
        <sz val="9"/>
        <color theme="1"/>
        <rFont val="Times New Roman"/>
        <family val="1"/>
      </rPr>
      <t xml:space="preserve"> or 25 mm)</t>
    </r>
  </si>
  <si>
    <t>Elevation of Top Rail below road surface</t>
  </si>
  <si>
    <r>
      <t>(min. = -7 mm</t>
    </r>
    <r>
      <rPr>
        <vertAlign val="superscript"/>
        <sz val="9"/>
        <color theme="1"/>
        <rFont val="Times New Roman"/>
        <family val="1"/>
      </rPr>
      <t>1</t>
    </r>
    <r>
      <rPr>
        <sz val="9"/>
        <color theme="1"/>
        <rFont val="Times New Roman"/>
        <family val="1"/>
      </rPr>
      <t xml:space="preserve"> or -25 mm)</t>
    </r>
  </si>
  <si>
    <t>1. Public sidewalks, paths or trails designated by the road authority for use of persons using assistive devices</t>
  </si>
  <si>
    <t>Sheet 7</t>
  </si>
  <si>
    <t>ROAD GEOMETRY</t>
  </si>
  <si>
    <t>GCS Section 6</t>
  </si>
  <si>
    <t>Are the horizontal and vertical alignments smooth and continuous throughout SSD?</t>
  </si>
  <si>
    <t>Sect. 6.1</t>
  </si>
  <si>
    <t>Are the road lanes and shoulders at least the same width on the crossing as on the road approaches?</t>
  </si>
  <si>
    <t>Sect. 6.4</t>
  </si>
  <si>
    <t>Grades:</t>
  </si>
  <si>
    <t>Road Approach Grades</t>
  </si>
  <si>
    <t>Sect. 6.3</t>
  </si>
  <si>
    <t>Within 8m</t>
  </si>
  <si>
    <t>(max. = 2%)</t>
  </si>
  <si>
    <t>Between 8m to 18m</t>
  </si>
  <si>
    <t>(max. = 5%)</t>
  </si>
  <si>
    <t>Across SSD</t>
  </si>
  <si>
    <t>At sidewalk/path/trail</t>
  </si>
  <si>
    <t>(max 2% or 1% with Assistive Devices)</t>
  </si>
  <si>
    <t>Sect. 6.2
GDG T-2.3-13.1</t>
  </si>
  <si>
    <t>Allowable difference between roadway gradient and railway cross-slope (%)</t>
  </si>
  <si>
    <t>Road approach gradient at crossing:</t>
  </si>
  <si>
    <t>Railway Cross Slope (%):</t>
  </si>
  <si>
    <t>Is the difference between the road approach gradient and the railway cross slope, or the railway gradient and the road approach cross slope, in accordance with the design standards of the Geometric Design Guide (Table 2.3.13.1)?</t>
  </si>
  <si>
    <t>Are rail tracks super elevated?</t>
  </si>
  <si>
    <t>Grade Crossing Angle</t>
  </si>
  <si>
    <t>°</t>
  </si>
  <si>
    <t>Sect. 6.5</t>
  </si>
  <si>
    <t>(70° min and 110° max without warning system; 30° min and 150° max with warning system)</t>
  </si>
  <si>
    <t>Is there any evidence that "low-bed" trucks have difficulty negotiating the crossing?</t>
  </si>
  <si>
    <t>i.e. might they bottom-out or get stuck?</t>
  </si>
  <si>
    <t>GCS Section 7</t>
  </si>
  <si>
    <t>Sheet 8</t>
  </si>
  <si>
    <t>SIGHTLINES</t>
  </si>
  <si>
    <t>GCS Section 7, 10</t>
  </si>
  <si>
    <t>Driver Eye Height</t>
  </si>
  <si>
    <t>1.05m passenger vehicles, pedestrians, cyclists &amp; assistive devices</t>
  </si>
  <si>
    <t>1.80m buses &amp; single-unit trucks</t>
  </si>
  <si>
    <t>2.10m large trucks &amp; tractor-trailers</t>
  </si>
  <si>
    <t>Target Height</t>
  </si>
  <si>
    <t>1.20m above rails</t>
  </si>
  <si>
    <r>
      <rPr>
        <b/>
        <u/>
        <sz val="9"/>
        <color theme="1"/>
        <rFont val="Times New Roman"/>
        <family val="1"/>
      </rPr>
      <t>Warning</t>
    </r>
    <r>
      <rPr>
        <b/>
        <sz val="9"/>
        <color theme="1"/>
        <rFont val="Times New Roman"/>
        <family val="1"/>
      </rPr>
      <t xml:space="preserve">: some formulae are based on </t>
    </r>
    <r>
      <rPr>
        <b/>
        <u/>
        <sz val="9"/>
        <color theme="1"/>
        <rFont val="Times New Roman"/>
        <family val="1"/>
      </rPr>
      <t>Imperial</t>
    </r>
    <r>
      <rPr>
        <b/>
        <sz val="9"/>
        <color theme="1"/>
        <rFont val="Times New Roman"/>
        <family val="1"/>
      </rPr>
      <t xml:space="preserve"> units while others are </t>
    </r>
    <r>
      <rPr>
        <b/>
        <u/>
        <sz val="9"/>
        <color theme="1"/>
        <rFont val="Times New Roman"/>
        <family val="1"/>
      </rPr>
      <t>Metric</t>
    </r>
  </si>
  <si>
    <t>Type of Grade Crossing:</t>
  </si>
  <si>
    <t>Are gates present?</t>
  </si>
  <si>
    <t>GCR Sect. 22</t>
  </si>
  <si>
    <r>
      <t>Is crossing exempted from D</t>
    </r>
    <r>
      <rPr>
        <vertAlign val="subscript"/>
        <sz val="9"/>
        <color theme="1"/>
        <rFont val="Times New Roman"/>
        <family val="1"/>
      </rPr>
      <t xml:space="preserve">SSD </t>
    </r>
    <r>
      <rPr>
        <sz val="9"/>
        <color theme="1"/>
        <rFont val="Times New Roman"/>
        <family val="1"/>
      </rPr>
      <t xml:space="preserve"> and partial D</t>
    </r>
    <r>
      <rPr>
        <vertAlign val="subscript"/>
        <sz val="9"/>
        <color theme="1"/>
        <rFont val="Times New Roman"/>
        <family val="1"/>
      </rPr>
      <t>STOPPED</t>
    </r>
    <r>
      <rPr>
        <sz val="9"/>
        <color theme="1"/>
        <rFont val="Times New Roman"/>
        <family val="1"/>
      </rPr>
      <t xml:space="preserve"> requirements?</t>
    </r>
  </si>
  <si>
    <r>
      <t>Is crossing exempted from D</t>
    </r>
    <r>
      <rPr>
        <vertAlign val="subscript"/>
        <sz val="9"/>
        <color theme="1"/>
        <rFont val="Times New Roman"/>
        <family val="1"/>
      </rPr>
      <t>STOPPED</t>
    </r>
    <r>
      <rPr>
        <sz val="9"/>
        <color theme="1"/>
        <rFont val="Times New Roman"/>
        <family val="1"/>
      </rPr>
      <t xml:space="preserve"> requirements?</t>
    </r>
  </si>
  <si>
    <r>
      <rPr>
        <b/>
        <sz val="9"/>
        <color theme="1"/>
        <rFont val="Times New Roman"/>
        <family val="1"/>
      </rPr>
      <t xml:space="preserve">SSD </t>
    </r>
    <r>
      <rPr>
        <sz val="9"/>
        <color theme="1"/>
        <rFont val="Times New Roman"/>
        <family val="1"/>
      </rPr>
      <t>minimum</t>
    </r>
  </si>
  <si>
    <t>Sect. 7.2</t>
  </si>
  <si>
    <r>
      <rPr>
        <b/>
        <sz val="9"/>
        <color theme="1"/>
        <rFont val="Times New Roman"/>
        <family val="1"/>
      </rPr>
      <t xml:space="preserve">SSD </t>
    </r>
    <r>
      <rPr>
        <sz val="9"/>
        <color theme="1"/>
        <rFont val="Times New Roman"/>
        <family val="1"/>
      </rPr>
      <t>actual:</t>
    </r>
  </si>
  <si>
    <t>For Users Stopped at a Grade Crossing (See Fig 7-1(a))</t>
  </si>
  <si>
    <t>Sect. 7.2
Fig. 7-1 (a)</t>
  </si>
  <si>
    <r>
      <t>D</t>
    </r>
    <r>
      <rPr>
        <vertAlign val="subscript"/>
        <sz val="9"/>
        <color theme="1"/>
        <rFont val="Times New Roman"/>
        <family val="1"/>
      </rPr>
      <t>STOPPED</t>
    </r>
  </si>
  <si>
    <r>
      <t>0.278V</t>
    </r>
    <r>
      <rPr>
        <vertAlign val="subscript"/>
        <sz val="9"/>
        <color theme="1"/>
        <rFont val="Times New Roman"/>
        <family val="1"/>
      </rPr>
      <t>T</t>
    </r>
    <r>
      <rPr>
        <sz val="9"/>
        <color theme="1"/>
        <rFont val="Times New Roman"/>
        <family val="1"/>
      </rPr>
      <t xml:space="preserve"> x T</t>
    </r>
    <r>
      <rPr>
        <vertAlign val="subscript"/>
        <sz val="9"/>
        <color theme="1"/>
        <rFont val="Times New Roman"/>
        <family val="1"/>
      </rPr>
      <t>STOPPED (m)</t>
    </r>
  </si>
  <si>
    <r>
      <t>where V</t>
    </r>
    <r>
      <rPr>
        <vertAlign val="subscript"/>
        <sz val="9"/>
        <color theme="1"/>
        <rFont val="Times New Roman"/>
        <family val="1"/>
      </rPr>
      <t>T</t>
    </r>
    <r>
      <rPr>
        <sz val="9"/>
        <color theme="1"/>
        <rFont val="Times New Roman"/>
        <family val="1"/>
      </rPr>
      <t xml:space="preserve"> = railway design speed in mph (Sheet 4)</t>
    </r>
  </si>
  <si>
    <r>
      <t>1.47V</t>
    </r>
    <r>
      <rPr>
        <vertAlign val="subscript"/>
        <sz val="9"/>
        <color theme="1"/>
        <rFont val="Times New Roman"/>
        <family val="1"/>
      </rPr>
      <t>T</t>
    </r>
    <r>
      <rPr>
        <sz val="9"/>
        <color theme="1"/>
        <rFont val="Times New Roman"/>
        <family val="1"/>
      </rPr>
      <t xml:space="preserve"> x T</t>
    </r>
    <r>
      <rPr>
        <vertAlign val="subscript"/>
        <sz val="9"/>
        <color theme="1"/>
        <rFont val="Times New Roman"/>
        <family val="1"/>
      </rPr>
      <t>STOPPED</t>
    </r>
    <r>
      <rPr>
        <sz val="9"/>
        <color theme="1"/>
        <rFont val="Times New Roman"/>
        <family val="1"/>
      </rPr>
      <t xml:space="preserve"> (ft)</t>
    </r>
  </si>
  <si>
    <r>
      <t>and T</t>
    </r>
    <r>
      <rPr>
        <vertAlign val="subscript"/>
        <sz val="9"/>
        <color theme="1"/>
        <rFont val="Times New Roman"/>
        <family val="1"/>
      </rPr>
      <t>STOPPED</t>
    </r>
    <r>
      <rPr>
        <sz val="9"/>
        <color theme="1"/>
        <rFont val="Times New Roman"/>
        <family val="1"/>
      </rPr>
      <t xml:space="preserve"> = departure times T</t>
    </r>
    <r>
      <rPr>
        <vertAlign val="subscript"/>
        <sz val="9"/>
        <color theme="1"/>
        <rFont val="Times New Roman"/>
        <family val="1"/>
      </rPr>
      <t>D</t>
    </r>
    <r>
      <rPr>
        <sz val="9"/>
        <color theme="1"/>
        <rFont val="Times New Roman"/>
        <family val="1"/>
      </rPr>
      <t xml:space="preserve"> or T</t>
    </r>
    <r>
      <rPr>
        <vertAlign val="subscript"/>
        <sz val="9"/>
        <color theme="1"/>
        <rFont val="Times New Roman"/>
        <family val="1"/>
      </rPr>
      <t>P</t>
    </r>
    <r>
      <rPr>
        <sz val="9"/>
        <color theme="1"/>
        <rFont val="Times New Roman"/>
        <family val="1"/>
      </rPr>
      <t xml:space="preserve"> (Sheet 4)</t>
    </r>
  </si>
  <si>
    <r>
      <t>Design Vehicle Departure Time (T</t>
    </r>
    <r>
      <rPr>
        <vertAlign val="subscript"/>
        <sz val="9"/>
        <color theme="1"/>
        <rFont val="Times New Roman"/>
        <family val="1"/>
      </rPr>
      <t>D</t>
    </r>
    <r>
      <rPr>
        <sz val="9"/>
        <color theme="1"/>
        <rFont val="Times New Roman"/>
        <family val="1"/>
      </rPr>
      <t>)</t>
    </r>
  </si>
  <si>
    <t>(from sheet 4)</t>
  </si>
  <si>
    <r>
      <t>Pedestrian, Cyclist &amp; Assistive Device Departure Time (T</t>
    </r>
    <r>
      <rPr>
        <vertAlign val="subscript"/>
        <sz val="9"/>
        <color theme="1"/>
        <rFont val="Times New Roman"/>
        <family val="1"/>
      </rPr>
      <t>P</t>
    </r>
    <r>
      <rPr>
        <sz val="9"/>
        <color theme="1"/>
        <rFont val="Times New Roman"/>
        <family val="1"/>
      </rPr>
      <t>)</t>
    </r>
  </si>
  <si>
    <r>
      <t>D</t>
    </r>
    <r>
      <rPr>
        <vertAlign val="subscript"/>
        <sz val="9"/>
        <color theme="1"/>
        <rFont val="Times New Roman"/>
        <family val="1"/>
      </rPr>
      <t>STOPPED-D</t>
    </r>
    <r>
      <rPr>
        <sz val="9"/>
        <color theme="1"/>
        <rFont val="Times New Roman"/>
        <family val="1"/>
      </rPr>
      <t xml:space="preserve"> minimum</t>
    </r>
  </si>
  <si>
    <t>ft</t>
  </si>
  <si>
    <r>
      <t>D</t>
    </r>
    <r>
      <rPr>
        <vertAlign val="subscript"/>
        <sz val="9"/>
        <color theme="1"/>
        <rFont val="Times New Roman"/>
        <family val="1"/>
      </rPr>
      <t>STOPPED-P</t>
    </r>
    <r>
      <rPr>
        <sz val="9"/>
        <color theme="1"/>
        <rFont val="Times New Roman"/>
        <family val="1"/>
      </rPr>
      <t xml:space="preserve"> minimum</t>
    </r>
  </si>
  <si>
    <r>
      <t>D</t>
    </r>
    <r>
      <rPr>
        <vertAlign val="subscript"/>
        <sz val="9"/>
        <color theme="1"/>
        <rFont val="Times New Roman"/>
        <family val="1"/>
      </rPr>
      <t>STOPPED</t>
    </r>
    <r>
      <rPr>
        <sz val="9"/>
        <color theme="1"/>
        <rFont val="Times New Roman"/>
        <family val="1"/>
      </rPr>
      <t xml:space="preserve"> actual</t>
    </r>
  </si>
  <si>
    <t>m to driver's left</t>
  </si>
  <si>
    <t>m to driver's right</t>
  </si>
  <si>
    <t>For Users Approaching a Grade Crossing (See Fig 7-1(b))</t>
  </si>
  <si>
    <t>Sect. 7.2
Fig. 7-1 (b)</t>
  </si>
  <si>
    <t>DSSD</t>
  </si>
  <si>
    <r>
      <t>0.278V</t>
    </r>
    <r>
      <rPr>
        <vertAlign val="subscript"/>
        <sz val="9"/>
        <color theme="1"/>
        <rFont val="Times New Roman"/>
        <family val="1"/>
      </rPr>
      <t>T</t>
    </r>
    <r>
      <rPr>
        <sz val="9"/>
        <color theme="1"/>
        <rFont val="Times New Roman"/>
        <family val="1"/>
      </rPr>
      <t xml:space="preserve"> x T</t>
    </r>
    <r>
      <rPr>
        <vertAlign val="subscript"/>
        <sz val="9"/>
        <color theme="1"/>
        <rFont val="Times New Roman"/>
        <family val="1"/>
      </rPr>
      <t>SSD (m)</t>
    </r>
  </si>
  <si>
    <r>
      <t>where V</t>
    </r>
    <r>
      <rPr>
        <vertAlign val="subscript"/>
        <sz val="9"/>
        <color theme="1"/>
        <rFont val="Times New Roman"/>
        <family val="1"/>
      </rPr>
      <t>T</t>
    </r>
    <r>
      <rPr>
        <sz val="9"/>
        <color theme="1"/>
        <rFont val="Times New Roman"/>
        <family val="1"/>
      </rPr>
      <t xml:space="preserve"> = railway design speed in km/h or mph (Sheet 4)</t>
    </r>
  </si>
  <si>
    <r>
      <t>1.47V</t>
    </r>
    <r>
      <rPr>
        <vertAlign val="subscript"/>
        <sz val="9"/>
        <color theme="1"/>
        <rFont val="Times New Roman"/>
        <family val="1"/>
      </rPr>
      <t>T</t>
    </r>
    <r>
      <rPr>
        <sz val="9"/>
        <color theme="1"/>
        <rFont val="Times New Roman"/>
        <family val="1"/>
      </rPr>
      <t xml:space="preserve"> x T</t>
    </r>
    <r>
      <rPr>
        <vertAlign val="subscript"/>
        <sz val="9"/>
        <color theme="1"/>
        <rFont val="Times New Roman"/>
        <family val="1"/>
      </rPr>
      <t>SSD</t>
    </r>
    <r>
      <rPr>
        <sz val="9"/>
        <color theme="1"/>
        <rFont val="Times New Roman"/>
        <family val="1"/>
      </rPr>
      <t xml:space="preserve"> (ft)</t>
    </r>
  </si>
  <si>
    <r>
      <t>and T</t>
    </r>
    <r>
      <rPr>
        <vertAlign val="subscript"/>
        <sz val="9"/>
        <color theme="1"/>
        <rFont val="Times New Roman"/>
        <family val="1"/>
      </rPr>
      <t>SSD</t>
    </r>
    <r>
      <rPr>
        <sz val="9"/>
        <color theme="1"/>
        <rFont val="Times New Roman"/>
        <family val="1"/>
      </rPr>
      <t xml:space="preserve"> = [(SSD + cd + L)/(0.278V)] (s)</t>
    </r>
  </si>
  <si>
    <r>
      <t>D</t>
    </r>
    <r>
      <rPr>
        <vertAlign val="subscript"/>
        <sz val="9"/>
        <color theme="1"/>
        <rFont val="Times New Roman"/>
        <family val="1"/>
      </rPr>
      <t>SSD</t>
    </r>
    <r>
      <rPr>
        <sz val="9"/>
        <color theme="1"/>
        <rFont val="Times New Roman"/>
        <family val="1"/>
      </rPr>
      <t xml:space="preserve"> minimum</t>
    </r>
  </si>
  <si>
    <r>
      <t>D</t>
    </r>
    <r>
      <rPr>
        <vertAlign val="subscript"/>
        <sz val="9"/>
        <color theme="1"/>
        <rFont val="Times New Roman"/>
        <family val="1"/>
      </rPr>
      <t>SSD</t>
    </r>
    <r>
      <rPr>
        <sz val="9"/>
        <color theme="1"/>
        <rFont val="Times New Roman"/>
        <family val="1"/>
      </rPr>
      <t xml:space="preserve"> actual</t>
    </r>
  </si>
  <si>
    <t>Are there any obstacles within the sight triangles that affect visibility? Comment.
Examples: Building(s), Rail/Road Alignment, Commercial Signing, Unattended Railway Equipment, Topography, Traffic Control Devices, Utilities, Vegetation</t>
  </si>
  <si>
    <t>GCS Section 8</t>
  </si>
  <si>
    <t>SSD restricted by end of road?</t>
  </si>
  <si>
    <t>N/W</t>
  </si>
  <si>
    <t>S/E</t>
  </si>
  <si>
    <t>Sheet 9</t>
  </si>
  <si>
    <t>SIGNS AND PAVEMENT MARKINGS</t>
  </si>
  <si>
    <t>Railway Crossing Sign</t>
  </si>
  <si>
    <t>Sect. 8.1
MUTCDC A2.2.7</t>
  </si>
  <si>
    <t>Are signs present?</t>
  </si>
  <si>
    <t>Sect. 4.1.2</t>
  </si>
  <si>
    <t>Are signs as shown in Figure 8-1(a)?</t>
  </si>
  <si>
    <t>Fig. 8-1</t>
  </si>
  <si>
    <t>Are 100 mm retroreflective strips applied on the back of each blade of the Railway Crossing Sign?</t>
  </si>
  <si>
    <t>Sect. 8.1.3</t>
  </si>
  <si>
    <t>Are 50 mm strips of silver white sheeting applied to the front and back of the supporting post?</t>
  </si>
  <si>
    <t>Sect. 8.1.4</t>
  </si>
  <si>
    <t>Front</t>
  </si>
  <si>
    <t>Back</t>
  </si>
  <si>
    <t>Location from railway (min 3.0 m from the nearest rail)</t>
  </si>
  <si>
    <t>Sect. 8.1.5(b)</t>
  </si>
  <si>
    <t>Location from roadway (0.3m to 2.0m from curb or outer edge of shoulder, or 2.0m to 4.5m from edge of travelled way)</t>
  </si>
  <si>
    <t>Sect. 8.1.5(a)</t>
  </si>
  <si>
    <t>Height (2.0m to 3.0m)</t>
  </si>
  <si>
    <t>Fig 8-3(c)</t>
  </si>
  <si>
    <t>Distance to centreline of nearest sidewalk, path or trail</t>
  </si>
  <si>
    <t>Sect. 8.1.6</t>
  </si>
  <si>
    <t>Are separate Railway Crossing Signs required?</t>
  </si>
  <si>
    <t>Number of Tracks Sign</t>
  </si>
  <si>
    <t>Sect 4.1</t>
  </si>
  <si>
    <t>Are signs required?</t>
  </si>
  <si>
    <t>Are signs as shown in Figure 8-1(b)?</t>
  </si>
  <si>
    <t>Are signs installed on the supporting post of each railway crossing sign as shown in Figure 8-3(c)?</t>
  </si>
  <si>
    <t>Fig. 8-3</t>
  </si>
  <si>
    <t>Sheet 10</t>
  </si>
  <si>
    <t>Railway Crossing Ahead Sign (WA-18, 19 &amp; 20)</t>
  </si>
  <si>
    <t>Sect. 8.2
MUTCDC 3.4.2</t>
  </si>
  <si>
    <t>GCR Sect. 66</t>
  </si>
  <si>
    <t>Do signs have the appropriate orientation?</t>
  </si>
  <si>
    <t>MUTCDC Fig. C1-6</t>
  </si>
  <si>
    <t>Distance to nearest rail:</t>
  </si>
  <si>
    <t>MUTCDC A3.1.4</t>
  </si>
  <si>
    <t>Lateral Placement:</t>
  </si>
  <si>
    <t>MUTCDC A1.7.2</t>
  </si>
  <si>
    <t>Height:</t>
  </si>
  <si>
    <t>Advisory Speed Tab Sign (WA-7S)</t>
  </si>
  <si>
    <t>Sect. 8.2
MUTCDC 3.2.5</t>
  </si>
  <si>
    <t>Are signs mounted on the same post as the Railway Crossing Ahead Sign?</t>
  </si>
  <si>
    <t>MUTCDC A3.2.5</t>
  </si>
  <si>
    <t>Posted speed limit?</t>
  </si>
  <si>
    <t>Speed</t>
  </si>
  <si>
    <t>Curb (N/W)</t>
  </si>
  <si>
    <t>Curb (S/E)</t>
  </si>
  <si>
    <t>Urban/Rural</t>
  </si>
  <si>
    <t>Sheet 11</t>
  </si>
  <si>
    <t>min (N/W)</t>
  </si>
  <si>
    <t>max (N/W)</t>
  </si>
  <si>
    <t>min (S/E)</t>
  </si>
  <si>
    <t>max (S/E)</t>
  </si>
  <si>
    <t>Stop Sign Ahead (WB-1)</t>
  </si>
  <si>
    <t>Sect. 8.3
MUTCDC 3.6.1</t>
  </si>
  <si>
    <t>GCR Sect. 65</t>
  </si>
  <si>
    <t>Stop Sign (RA-1)</t>
  </si>
  <si>
    <t>Sect. 8.4
MUTCDC 3.2.5</t>
  </si>
  <si>
    <t>GCR Sect. 64</t>
  </si>
  <si>
    <t>Are signs mounted on the same post as the Railway Crossing Sign?</t>
  </si>
  <si>
    <t>Sect. 8.4.2
MUTCDC A3.2.5</t>
  </si>
  <si>
    <t>Are signs installed as per Figure 8-4?</t>
  </si>
  <si>
    <t>Distance to nearest rail (min. 3m, max. 15m):</t>
  </si>
  <si>
    <t>MUTCDC A2.2.1
Figure 8-3</t>
  </si>
  <si>
    <t>MUTCDC A1.7.2
Figure 8-4</t>
  </si>
  <si>
    <t>Sheet 12</t>
  </si>
  <si>
    <t>Emergency Notification Sign</t>
  </si>
  <si>
    <t>Sect. 8.5</t>
  </si>
  <si>
    <t>GCR Sect. 63</t>
  </si>
  <si>
    <t>Yes</t>
  </si>
  <si>
    <t>Are signs oriented to face traffic approaching the grade crossing or parallel to the road?</t>
  </si>
  <si>
    <t>Sect. 8.5.1</t>
  </si>
  <si>
    <t>Are signs legible to road vehicles?</t>
  </si>
  <si>
    <t>Sect. 8.5.2</t>
  </si>
  <si>
    <t>What is the condition of the sign?</t>
  </si>
  <si>
    <t>Pavement Markings</t>
  </si>
  <si>
    <t>Are pavement markings consistent with those from the MUTCDC Manual?</t>
  </si>
  <si>
    <t>Are there directional dividing lines for at least 30 m on both road approaches?</t>
  </si>
  <si>
    <t>MUTCDC C2.1</t>
  </si>
  <si>
    <t>Are there lines to delineate sidewalks, paths and trails?</t>
  </si>
  <si>
    <t>General Comments Regarding Signs &amp; Pavement Markings:</t>
  </si>
  <si>
    <t>GCS Section 9</t>
  </si>
  <si>
    <t>GRADE CROSSING WARNING SYSTEM WARRANTS</t>
  </si>
  <si>
    <t>Warrants for a Warning System Without Gates (Public Crossings)</t>
  </si>
  <si>
    <t>Sect. 9.1</t>
  </si>
  <si>
    <t>If any of A through E below are met, then a warning system without gates is required</t>
  </si>
  <si>
    <t>A.</t>
  </si>
  <si>
    <t>Where the forecast cross-product is 2,000 or more;</t>
  </si>
  <si>
    <t>Sect. 9.1.a</t>
  </si>
  <si>
    <t>AADT</t>
  </si>
  <si>
    <t>Daily Train Movements</t>
  </si>
  <si>
    <t>trains per day</t>
  </si>
  <si>
    <t>Cross-Product</t>
  </si>
  <si>
    <t>(2,000 min.)</t>
  </si>
  <si>
    <t>B.</t>
  </si>
  <si>
    <t>Where there is no sidewalk, path or trail and the railway design speed is more than 129 km/hr (80 mph);</t>
  </si>
  <si>
    <t>Sect. 9.1.b</t>
  </si>
  <si>
    <t>Is there a sidewalk, path or trail?</t>
  </si>
  <si>
    <t>Railway Design Speed</t>
  </si>
  <si>
    <t>C.</t>
  </si>
  <si>
    <t>Where there is a sidewalk, path or trail and the railway design speed is more than 81 km/hr (50 mph);</t>
  </si>
  <si>
    <t>Sect. 9.1.c</t>
  </si>
  <si>
    <t>D.</t>
  </si>
  <si>
    <t>Where the railway design speed is more than 25 km/hr (15 mph) but less than the railway design speed referred to in (b) or (c), and</t>
  </si>
  <si>
    <t>Sect. 9.1.d.i</t>
  </si>
  <si>
    <t>i.</t>
  </si>
  <si>
    <t>Where there are two or more lines of railway where railway equipment may pass each other</t>
  </si>
  <si>
    <t>Is the railway design speed &gt; 15 mph?</t>
  </si>
  <si>
    <t>Are there 2+ railway lines where trains may pass each other?</t>
  </si>
  <si>
    <t>ii.</t>
  </si>
  <si>
    <t>The distance as shown in Figure 9-1(a) between a Stop sign at an intersection and the nearest rail in the crossing surface is less than 30m;</t>
  </si>
  <si>
    <t>Sect. 9.1.d.ii</t>
  </si>
  <si>
    <t>Is D &lt; 30 m to a Stop Sign at an intersection?</t>
  </si>
  <si>
    <t>iii.</t>
  </si>
  <si>
    <t>In the case of an intersection with a traffic signal, the distance between the stop line of the intersection and the nearest rail in the crossing surface, as shown in Figure 9-1(b), is less than 60m, or where there is no stop line, the distance between the travelled way and the nearest rail in the crossing surface is less than 60m.</t>
  </si>
  <si>
    <t>Sect. 9.1.d.iii</t>
  </si>
  <si>
    <t>Is D &lt; 60 m to a signalized intersection?</t>
  </si>
  <si>
    <t>Warrants for a Warning System Without Gates (Private Crossings)</t>
  </si>
  <si>
    <t>Sect. 9.3</t>
  </si>
  <si>
    <t>Sect. 9.3.1</t>
  </si>
  <si>
    <t>Where the railway design speed is more than 25 km/hr (15mph), and;</t>
  </si>
  <si>
    <t>The forecast cross-product is 100 or more and there are two or more lines of railway where railway equipment may pass each other;</t>
  </si>
  <si>
    <t>Sect. 9.3.2.a</t>
  </si>
  <si>
    <t>Is the forecast cross-product greater than 100?</t>
  </si>
  <si>
    <t>Are there two or more lines of railway where trains may pass each other?</t>
  </si>
  <si>
    <t>The forecast cross-product is 100 or more and grade crossing does not include a sidewalk, path or trail and the railway design speed is more than 129 km/hr (80mph);</t>
  </si>
  <si>
    <t>Sect. 9.3.2.b</t>
  </si>
  <si>
    <t>Is the railway design speed &gt; 80 mph?</t>
  </si>
  <si>
    <t>The grade crossing does includes a sidewalk, path or trail and the railway design speed is more than 81 km/hr (50mph);</t>
  </si>
  <si>
    <t>Sect. 9.3.2.c</t>
  </si>
  <si>
    <t>Is the railway design speed &gt; 50 mph?</t>
  </si>
  <si>
    <t>Warrants for a Warning System Without Gates (Grade Crossings for a Sidewalk, Path, or Trail)</t>
  </si>
  <si>
    <t>Sect. 9.5</t>
  </si>
  <si>
    <t>If A below is met, then a warning system without gates is required</t>
  </si>
  <si>
    <t>The sidewalk, path or trail is outside the island circuit of an adjacent warning system and the railway design speed is more than 81 km/hr (50mph)</t>
  </si>
  <si>
    <t>Is the sidewalk, path or trail outside the island circuit of an adjacent warning system?</t>
  </si>
  <si>
    <t>Is the railway design speed greater than 81 km/h (50 mph)?</t>
  </si>
  <si>
    <t>Warrants for a Warning System With Gates (Public Crossings)</t>
  </si>
  <si>
    <t>Sect. 9.2</t>
  </si>
  <si>
    <t>If a warning system is warranted, and any of A through E are met, then gates are also required</t>
  </si>
  <si>
    <t>a warning system is required under 9.1, and;</t>
  </si>
  <si>
    <t>Sect. 9.2.1</t>
  </si>
  <si>
    <t>The forecast cross-product is 50,000 or more;</t>
  </si>
  <si>
    <t>Sect. 9.2.1.a</t>
  </si>
  <si>
    <t>a warning system is required under 9.1</t>
  </si>
  <si>
    <t>(50,000 min.)</t>
  </si>
  <si>
    <t>There are two or more lines of railway where railway equipment may pass each other;</t>
  </si>
  <si>
    <t>Sect. 9.2.1.b</t>
  </si>
  <si>
    <t>The railway design speed is more than 81 km/hr (50mph);</t>
  </si>
  <si>
    <t>Sect. 9.2.1.c</t>
  </si>
  <si>
    <t>Sect. 9.2.1.d</t>
  </si>
  <si>
    <t>E</t>
  </si>
  <si>
    <t>Sect. 9.2.1.e</t>
  </si>
  <si>
    <t>Warrants for a Warning System With Gates (Private Crossings)</t>
  </si>
  <si>
    <t>Sect. 9.4</t>
  </si>
  <si>
    <t>If a warning system is warranted, and any of A through C are met, then gates are also required</t>
  </si>
  <si>
    <t>A warning system is required under article 9.3, and;</t>
  </si>
  <si>
    <t>Sect. 9.4.1</t>
  </si>
  <si>
    <t>The forecasted cross-product is 50,000 or more;</t>
  </si>
  <si>
    <t>Sect. 9.4.1.a</t>
  </si>
  <si>
    <t>a warning system is required under 9.3</t>
  </si>
  <si>
    <t>Sect. 9.4.1.b</t>
  </si>
  <si>
    <t>Sect. 9.4.1.c</t>
  </si>
  <si>
    <t>Warrants for a Warning System With Gates (Grade Crossings for a Sidewalk, Path, or Trail)</t>
  </si>
  <si>
    <t>Sect. 9.6</t>
  </si>
  <si>
    <r>
      <t xml:space="preserve">If all of A through C below are </t>
    </r>
    <r>
      <rPr>
        <b/>
        <u/>
        <sz val="9"/>
        <color theme="1"/>
        <rFont val="Times New Roman"/>
        <family val="1"/>
      </rPr>
      <t>all</t>
    </r>
    <r>
      <rPr>
        <sz val="9"/>
        <color theme="1"/>
        <rFont val="Times New Roman"/>
        <family val="1"/>
      </rPr>
      <t xml:space="preserve"> met, then a warning system with gates is required</t>
    </r>
  </si>
  <si>
    <t>Warranted?</t>
  </si>
  <si>
    <t>Sect. 9.6.a</t>
  </si>
  <si>
    <t>Is the railway design speed greater than 21 km/h (15 mph)?</t>
  </si>
  <si>
    <t>Sect. 9.6.b</t>
  </si>
  <si>
    <t>Are there two or more lines of railway?</t>
  </si>
  <si>
    <t>Sect. 9.6.c</t>
  </si>
  <si>
    <t>Sheet 13</t>
  </si>
  <si>
    <t>GRADE CROSSING WARNING SYSTEMS</t>
  </si>
  <si>
    <t>GCS Section 12-16</t>
  </si>
  <si>
    <t>Design Approach Warning Time:</t>
  </si>
  <si>
    <t>Sect. 16.1.1</t>
  </si>
  <si>
    <t>Should be greatest of:</t>
  </si>
  <si>
    <t>a) 20s, unless cd &gt; 11 m, increase the 20s by one second for each additional 3 m</t>
  </si>
  <si>
    <r>
      <t>b) T</t>
    </r>
    <r>
      <rPr>
        <vertAlign val="subscript"/>
        <sz val="9"/>
        <color theme="1"/>
        <rFont val="Times New Roman"/>
        <family val="1"/>
      </rPr>
      <t>D</t>
    </r>
  </si>
  <si>
    <r>
      <t>c) T</t>
    </r>
    <r>
      <rPr>
        <vertAlign val="subscript"/>
        <sz val="9"/>
        <color theme="1"/>
        <rFont val="Times New Roman"/>
        <family val="1"/>
      </rPr>
      <t>P</t>
    </r>
  </si>
  <si>
    <r>
      <t>d) T</t>
    </r>
    <r>
      <rPr>
        <vertAlign val="subscript"/>
        <sz val="9"/>
        <color theme="1"/>
        <rFont val="Times New Roman"/>
        <family val="1"/>
      </rPr>
      <t>G</t>
    </r>
    <r>
      <rPr>
        <sz val="9"/>
        <color theme="1"/>
        <rFont val="Times New Roman"/>
        <family val="1"/>
      </rPr>
      <t xml:space="preserve"> + gate arm descent time + 5s</t>
    </r>
  </si>
  <si>
    <t>e) Minimum warning time required for traffic signal pre-emption</t>
  </si>
  <si>
    <r>
      <t>f) T</t>
    </r>
    <r>
      <rPr>
        <vertAlign val="subscript"/>
        <sz val="11"/>
        <color theme="1"/>
        <rFont val="Calibri"/>
        <family val="2"/>
        <scheme val="minor"/>
      </rPr>
      <t>SSD</t>
    </r>
  </si>
  <si>
    <t>g) Adjacent Track Interconnected Highway-Rail Grade Crossing (add to (a), - (e))</t>
  </si>
  <si>
    <t>AREMA C&amp;S Manual Part 3.1.36 C.6.</t>
  </si>
  <si>
    <t>Actual Approach Warning Time:</t>
  </si>
  <si>
    <t>Sect. 16.1</t>
  </si>
  <si>
    <t>Warning Systems Clearance Distance from Railway</t>
  </si>
  <si>
    <t>Min. 3.66 m (12 ft) for signal mast or 3.05 m (10 ft) for end of gate arm; from centreline of track</t>
  </si>
  <si>
    <t>Warning System Clearance Distance from Roadway</t>
  </si>
  <si>
    <t>Sect. 12.1.a,b</t>
  </si>
  <si>
    <t>Min. 625 mm from curb; or 1.875 m from travelled way and 625 mm from shoulder</t>
  </si>
  <si>
    <t>Distance between top of foundation and surrounding ground level (max. 100 mm (4 in))</t>
  </si>
  <si>
    <t>Sect. 12.1.c</t>
  </si>
  <si>
    <t>Is the slope of surrounding ground from foundation towards the travelled way less than 25% (4:1)?</t>
  </si>
  <si>
    <t>Light units:</t>
  </si>
  <si>
    <t>Sect. 13, 14</t>
  </si>
  <si>
    <t>Condition:</t>
  </si>
  <si>
    <t>Bells:</t>
  </si>
  <si>
    <t>Sect. 15.1</t>
  </si>
  <si>
    <t>If there is only one sidewalk, is a bell located on the adjacent assembly?</t>
  </si>
  <si>
    <t>Sect. 15.1.2</t>
  </si>
  <si>
    <t>Gates:</t>
  </si>
  <si>
    <t>Sect. 15.2</t>
  </si>
  <si>
    <t>Cantilever Lights:</t>
  </si>
  <si>
    <t>Sect. 13.3</t>
  </si>
  <si>
    <t>Is crossing warning system equipped with monitoring devices that gather and retain the data and time of information (per 12.2) for a min. of 30 days?</t>
  </si>
  <si>
    <t>Sect. 12.2</t>
  </si>
  <si>
    <t>Does crossing warning system provide consitent warning times for railway equipment regularly operating over the grade crossing?</t>
  </si>
  <si>
    <t>Sect. 16.2.1</t>
  </si>
  <si>
    <t>Where Railway Design Speed has been reduced, other than TSO, does actual Crossing Warning Time exceed 13s compared with design?</t>
  </si>
  <si>
    <t>Sect. 16.2.2</t>
  </si>
  <si>
    <t>Where railway eqipment regularly stops, left standing or turnout present within limits of warning systems, are Cut-Out Circuits in place?</t>
  </si>
  <si>
    <t>Sect. 16.3.1</t>
  </si>
  <si>
    <t>If Directional Stick Circuits present, are requirments of GCS 16.4 met?</t>
  </si>
  <si>
    <t>Sect. 16.4</t>
  </si>
  <si>
    <r>
      <t xml:space="preserve">Limited Use Warning System </t>
    </r>
    <r>
      <rPr>
        <b/>
        <u/>
        <sz val="9"/>
        <color theme="1"/>
        <rFont val="Times New Roman"/>
        <family val="1"/>
      </rPr>
      <t>without</t>
    </r>
    <r>
      <rPr>
        <sz val="9"/>
        <color theme="1"/>
        <rFont val="Times New Roman"/>
        <family val="1"/>
      </rPr>
      <t xml:space="preserve"> Walk Light Assembly (Y/N)?
(For Private Crossing with fewer than 3 residential dwellings only)</t>
    </r>
  </si>
  <si>
    <t>Appendix B</t>
  </si>
  <si>
    <r>
      <t xml:space="preserve">Limited Use Warning System </t>
    </r>
    <r>
      <rPr>
        <b/>
        <u/>
        <sz val="9"/>
        <color theme="1"/>
        <rFont val="Times New Roman"/>
        <family val="1"/>
      </rPr>
      <t>with</t>
    </r>
    <r>
      <rPr>
        <sz val="9"/>
        <color theme="1"/>
        <rFont val="Times New Roman"/>
        <family val="1"/>
      </rPr>
      <t xml:space="preserve"> Walk Light Assembly (Y/N)?
(For Private Crossing and restricted access only)</t>
    </r>
  </si>
  <si>
    <t>Appendix C</t>
  </si>
  <si>
    <t>Clearance to nearest track (N/W)</t>
  </si>
  <si>
    <t>Clearance to nearest track (S/E)</t>
  </si>
  <si>
    <t>Curbed? (N/W)</t>
  </si>
  <si>
    <t>Curbed? (S/E)</t>
  </si>
  <si>
    <t>Clearance (mast, N/W)</t>
  </si>
  <si>
    <t>GCS Section 12</t>
  </si>
  <si>
    <t>Clearance (mast, S/E)</t>
  </si>
  <si>
    <t>Clearance to Shoulder</t>
  </si>
  <si>
    <t>Required Clearance (N/W)</t>
  </si>
  <si>
    <t>Required Clearance (S/E)</t>
  </si>
  <si>
    <t>Sheet 14</t>
  </si>
  <si>
    <t>FLASHING LIGHT UNITS</t>
  </si>
  <si>
    <t>GCS Section 13, 14</t>
  </si>
  <si>
    <t>Front and Back Lights for Vehicles</t>
  </si>
  <si>
    <t>Are signal assemblies as shown in Figure 12-1?</t>
  </si>
  <si>
    <t>Sect. 12.1</t>
  </si>
  <si>
    <t>Alignment Height:</t>
  </si>
  <si>
    <t>Fig. 12-1</t>
  </si>
  <si>
    <t>Are primary light units visible for at least the minimum SSD?</t>
  </si>
  <si>
    <t>Sect. 14.3.1.a</t>
  </si>
  <si>
    <t>Are additional light units required to cover intermediate areas of the road approaches?</t>
  </si>
  <si>
    <t>Sect. 14.4.1</t>
  </si>
  <si>
    <t>Are back light units visible by stopped vehicles at least 15 m?</t>
  </si>
  <si>
    <t>Sect. 14.5.1</t>
  </si>
  <si>
    <t>Are lights installed exclusively for sidewalks, paths or trails visible for at least 30 m?</t>
  </si>
  <si>
    <t>Sect. 14.6.1</t>
  </si>
  <si>
    <t>Additional Lights for Sidewalks, Paths, Trails, etc.</t>
  </si>
  <si>
    <t>Distance from path centreline to signal mast (max 3.6m)</t>
  </si>
  <si>
    <t>Fig. 13-2</t>
  </si>
  <si>
    <t>Are separate flashing light units required for pedestrians?</t>
  </si>
  <si>
    <t>Sect. 13.4.1</t>
  </si>
  <si>
    <t>Cantilever Light Units</t>
  </si>
  <si>
    <t>Are cantilevers as shown in Figure 12-3?</t>
  </si>
  <si>
    <t>Distance from nearest rail:</t>
  </si>
  <si>
    <t>Distance from travelled way:</t>
  </si>
  <si>
    <t>Fig 13-1</t>
  </si>
  <si>
    <r>
      <t>D</t>
    </r>
    <r>
      <rPr>
        <vertAlign val="subscript"/>
        <sz val="9"/>
        <color theme="1"/>
        <rFont val="Times New Roman"/>
        <family val="1"/>
      </rPr>
      <t>R</t>
    </r>
    <r>
      <rPr>
        <sz val="9"/>
        <color theme="1"/>
        <rFont val="Times New Roman"/>
        <family val="1"/>
      </rPr>
      <t>:</t>
    </r>
  </si>
  <si>
    <t>Fig. 13-1(a),(b)</t>
  </si>
  <si>
    <r>
      <t>D</t>
    </r>
    <r>
      <rPr>
        <vertAlign val="subscript"/>
        <sz val="9"/>
        <color theme="1"/>
        <rFont val="Times New Roman"/>
        <family val="1"/>
      </rPr>
      <t>L</t>
    </r>
    <r>
      <rPr>
        <sz val="9"/>
        <color theme="1"/>
        <rFont val="Times New Roman"/>
        <family val="1"/>
      </rPr>
      <t>:</t>
    </r>
  </si>
  <si>
    <t>Fig. 13-1(b)</t>
  </si>
  <si>
    <t>Are Cantilever lights required?</t>
  </si>
  <si>
    <t>Sect. 13.3.1</t>
  </si>
  <si>
    <t>Sheet 15</t>
  </si>
  <si>
    <t>GATES FOR GRADE CROSSING WARNING SYSTEMS</t>
  </si>
  <si>
    <t>GCS Section 10, 12, 15</t>
  </si>
  <si>
    <t>Design:</t>
  </si>
  <si>
    <t>Gate Arm Clearance Time for Vehicles</t>
  </si>
  <si>
    <t>Sect. 10.4.1</t>
  </si>
  <si>
    <r>
      <t>T</t>
    </r>
    <r>
      <rPr>
        <vertAlign val="subscript"/>
        <sz val="9"/>
        <color theme="1"/>
        <rFont val="Times New Roman"/>
        <family val="1"/>
      </rPr>
      <t xml:space="preserve">G </t>
    </r>
    <r>
      <rPr>
        <sz val="9"/>
        <color theme="1"/>
        <rFont val="Times New Roman"/>
        <family val="1"/>
      </rPr>
      <t>= greater of T</t>
    </r>
    <r>
      <rPr>
        <vertAlign val="subscript"/>
        <sz val="9"/>
        <color theme="1"/>
        <rFont val="Times New Roman"/>
        <family val="1"/>
      </rPr>
      <t>G,SSD</t>
    </r>
    <r>
      <rPr>
        <sz val="9"/>
        <color theme="1"/>
        <rFont val="Times New Roman"/>
        <family val="1"/>
      </rPr>
      <t xml:space="preserve"> or T</t>
    </r>
    <r>
      <rPr>
        <vertAlign val="subscript"/>
        <sz val="9"/>
        <color theme="1"/>
        <rFont val="Times New Roman"/>
        <family val="1"/>
      </rPr>
      <t>G,STOP</t>
    </r>
  </si>
  <si>
    <r>
      <t>T</t>
    </r>
    <r>
      <rPr>
        <vertAlign val="subscript"/>
        <sz val="9"/>
        <color theme="1"/>
        <rFont val="Times New Roman"/>
        <family val="1"/>
      </rPr>
      <t>G,SSD</t>
    </r>
  </si>
  <si>
    <t>Gate Arm Clearance Distance from SSD / Road Speed in m/s</t>
  </si>
  <si>
    <t>(SSD + 2m + L) / 0.278V</t>
  </si>
  <si>
    <r>
      <t>T</t>
    </r>
    <r>
      <rPr>
        <vertAlign val="subscript"/>
        <sz val="9"/>
        <color theme="1"/>
        <rFont val="Times New Roman"/>
        <family val="1"/>
      </rPr>
      <t>G,STOP</t>
    </r>
  </si>
  <si>
    <t>Gate Arm Clearance from Stop</t>
  </si>
  <si>
    <r>
      <t>J + (t</t>
    </r>
    <r>
      <rPr>
        <vertAlign val="subscript"/>
        <sz val="9"/>
        <color theme="1"/>
        <rFont val="Times New Roman"/>
        <family val="1"/>
      </rPr>
      <t>G</t>
    </r>
    <r>
      <rPr>
        <sz val="9"/>
        <color theme="1"/>
        <rFont val="Times New Roman"/>
        <family val="1"/>
      </rPr>
      <t xml:space="preserve"> x G)</t>
    </r>
  </si>
  <si>
    <r>
      <t>t</t>
    </r>
    <r>
      <rPr>
        <vertAlign val="subscript"/>
        <sz val="11"/>
        <color theme="1"/>
        <rFont val="Calibri"/>
        <family val="2"/>
        <scheme val="minor"/>
      </rPr>
      <t>G</t>
    </r>
  </si>
  <si>
    <r>
      <t>T</t>
    </r>
    <r>
      <rPr>
        <vertAlign val="subscript"/>
        <sz val="9"/>
        <color theme="1"/>
        <rFont val="Times New Roman"/>
        <family val="1"/>
      </rPr>
      <t>G</t>
    </r>
    <r>
      <rPr>
        <sz val="9"/>
        <color theme="1"/>
        <rFont val="Times New Roman"/>
        <family val="1"/>
      </rPr>
      <t/>
    </r>
  </si>
  <si>
    <t>Inner Gate Arm Delay Time for Adjacent Track Interconnected Highway-Rail Grade Crossing (s)</t>
  </si>
  <si>
    <t>AREMA</t>
  </si>
  <si>
    <t>Railway</t>
  </si>
  <si>
    <t>Gate arm delay (from Plans) (s):</t>
  </si>
  <si>
    <t>Sect. 15.2.3</t>
  </si>
  <si>
    <t>Actual Inner Gate Arm Delay Time for Adjacent Track Interconnected Highway-Rail Grade Crossing (from Plans) (s)</t>
  </si>
  <si>
    <t>Gate arm descent time (from Plans):</t>
  </si>
  <si>
    <t>Field Visit:</t>
  </si>
  <si>
    <t>Are gates as shown in Figure 12-2?</t>
  </si>
  <si>
    <t>Are strips on the gate arm 406 mm (16 in.) wide and aligned vertically?</t>
  </si>
  <si>
    <t>Sect. 12.1.d.i</t>
  </si>
  <si>
    <t>Distance between the end of the gate arm and the longitudinal axis of the road approach</t>
  </si>
  <si>
    <t>Sect. 12.1.e</t>
  </si>
  <si>
    <t>Gate arm descent time:</t>
  </si>
  <si>
    <t>Gate arm ascent time:</t>
  </si>
  <si>
    <t>Sect. 15.2.2</t>
  </si>
  <si>
    <t>Check Gate Descent Time (10 to 15 sec)</t>
  </si>
  <si>
    <t>Check Gate Ascent Time (6 to 12 sec)</t>
  </si>
  <si>
    <t>Does gate arm come to rest in the horizontal position not less than 5s before the arrival at the crossing of railway equipment?</t>
  </si>
  <si>
    <r>
      <t>cd</t>
    </r>
    <r>
      <rPr>
        <vertAlign val="subscript"/>
        <sz val="9"/>
        <color theme="1"/>
        <rFont val="Times New Roman"/>
        <family val="1"/>
      </rPr>
      <t>G STOP</t>
    </r>
  </si>
  <si>
    <t>Sheet 16</t>
  </si>
  <si>
    <t>PREPARE TO STOP AT RAILWAY CROSSING SIGN</t>
  </si>
  <si>
    <t>GCS Section 18</t>
  </si>
  <si>
    <r>
      <t>t</t>
    </r>
    <r>
      <rPr>
        <vertAlign val="subscript"/>
        <sz val="9"/>
        <color theme="1"/>
        <rFont val="Times New Roman"/>
        <family val="1"/>
      </rPr>
      <t>G trailer</t>
    </r>
  </si>
  <si>
    <r>
      <t>t</t>
    </r>
    <r>
      <rPr>
        <vertAlign val="subscript"/>
        <sz val="9"/>
        <color theme="1"/>
        <rFont val="Times New Roman"/>
        <family val="1"/>
      </rPr>
      <t>G truck</t>
    </r>
  </si>
  <si>
    <r>
      <t>t</t>
    </r>
    <r>
      <rPr>
        <vertAlign val="subscript"/>
        <sz val="9"/>
        <color theme="1"/>
        <rFont val="Times New Roman"/>
        <family val="1"/>
      </rPr>
      <t>G car</t>
    </r>
  </si>
  <si>
    <t>Are Prepare to Stop at Railway Crossing Sign present?</t>
  </si>
  <si>
    <t>N / E Approach:</t>
  </si>
  <si>
    <t>S / W Approach:</t>
  </si>
  <si>
    <t>Warrants for a Prepare to Stop at Railway Crossing Sign</t>
  </si>
  <si>
    <t>GCR Sect. 67</t>
  </si>
  <si>
    <t>If any of A through C below are met, then a Prepare to Stop at Railway Crossing sign is required</t>
  </si>
  <si>
    <r>
      <t>t</t>
    </r>
    <r>
      <rPr>
        <vertAlign val="subscript"/>
        <sz val="9"/>
        <color theme="1"/>
        <rFont val="Times New Roman"/>
        <family val="1"/>
      </rPr>
      <t>G</t>
    </r>
  </si>
  <si>
    <t>Is the roadway classified as an expressway?</t>
  </si>
  <si>
    <t>GCR Sect. 67(a)</t>
  </si>
  <si>
    <t>Is at least one set of front lights on the warning system not clearly visible within the stopping sight distance of at least one of the lanes of the road approach?</t>
  </si>
  <si>
    <t>GCR Sect. 67(b)</t>
  </si>
  <si>
    <t>Do weather conditions at the grade crossing repeatedly obscure the visibility of the warning system?</t>
  </si>
  <si>
    <t>GCR Sect. 67(c)</t>
  </si>
  <si>
    <t>Is a Prepare to Stop at Railway Crossing Sign required?</t>
  </si>
  <si>
    <t>Sect. 18
MUTCDC A3.6.6</t>
  </si>
  <si>
    <t>If any of D through E below are met, then a Prepare to Stop at Railway Crossing sign may be required</t>
  </si>
  <si>
    <t>Is the speed limit of the travelled way greater than 90 km/h?</t>
  </si>
  <si>
    <t>MUTCDC A3.6.6</t>
  </si>
  <si>
    <t>E.</t>
  </si>
  <si>
    <t>Is the crossing at the bottom of a hill or downgrade of considerable length?</t>
  </si>
  <si>
    <t>Calculated Distance of Light Units</t>
  </si>
  <si>
    <t>Advance Warning Flashers: Guidelines for Application and Installation (TAC 2005)</t>
  </si>
  <si>
    <t>(See Advance Warning Flashers: Guidelines for Application and Installation (TAC 2005))</t>
  </si>
  <si>
    <t>D</t>
  </si>
  <si>
    <r>
      <t>(Vt</t>
    </r>
    <r>
      <rPr>
        <vertAlign val="subscript"/>
        <sz val="9"/>
        <color theme="1"/>
        <rFont val="Times New Roman"/>
        <family val="1"/>
      </rPr>
      <t>pr</t>
    </r>
    <r>
      <rPr>
        <sz val="9"/>
        <color theme="1"/>
        <rFont val="Times New Roman"/>
        <family val="1"/>
      </rPr>
      <t xml:space="preserve"> / 3.6) + (V</t>
    </r>
    <r>
      <rPr>
        <vertAlign val="superscript"/>
        <sz val="9"/>
        <color theme="1"/>
        <rFont val="Times New Roman"/>
        <family val="1"/>
      </rPr>
      <t>2</t>
    </r>
    <r>
      <rPr>
        <sz val="9"/>
        <color theme="1"/>
        <rFont val="Times New Roman"/>
        <family val="1"/>
      </rPr>
      <t xml:space="preserve"> / [25.92 x (a + Gg)])</t>
    </r>
  </si>
  <si>
    <t>V</t>
  </si>
  <si>
    <t>(posted speed limit)</t>
  </si>
  <si>
    <r>
      <t>t</t>
    </r>
    <r>
      <rPr>
        <vertAlign val="subscript"/>
        <sz val="9"/>
        <color theme="1"/>
        <rFont val="Times New Roman"/>
        <family val="1"/>
      </rPr>
      <t>pr</t>
    </r>
  </si>
  <si>
    <t>s</t>
  </si>
  <si>
    <t>(perception/reaction time)</t>
  </si>
  <si>
    <t>a</t>
  </si>
  <si>
    <r>
      <t>m/s</t>
    </r>
    <r>
      <rPr>
        <vertAlign val="superscript"/>
        <sz val="9"/>
        <color theme="1"/>
        <rFont val="Times New Roman"/>
        <family val="1"/>
      </rPr>
      <t>2</t>
    </r>
  </si>
  <si>
    <r>
      <t>(deceleration rate; typically 2.6m/s</t>
    </r>
    <r>
      <rPr>
        <vertAlign val="superscript"/>
        <sz val="9"/>
        <color theme="1"/>
        <rFont val="Times New Roman"/>
        <family val="1"/>
      </rPr>
      <t>2</t>
    </r>
    <r>
      <rPr>
        <sz val="9"/>
        <color theme="1"/>
        <rFont val="Times New Roman"/>
        <family val="1"/>
      </rPr>
      <t>)</t>
    </r>
  </si>
  <si>
    <t>m/100m</t>
  </si>
  <si>
    <t>(grade on North road approach)</t>
  </si>
  <si>
    <t>(grade on South road approach)</t>
  </si>
  <si>
    <t>g</t>
  </si>
  <si>
    <r>
      <t>(gravitational acceleration; 9.81m/s</t>
    </r>
    <r>
      <rPr>
        <vertAlign val="superscript"/>
        <sz val="9"/>
        <color theme="1"/>
        <rFont val="Times New Roman"/>
        <family val="1"/>
      </rPr>
      <t>2</t>
    </r>
    <r>
      <rPr>
        <sz val="9"/>
        <color theme="1"/>
        <rFont val="Times New Roman"/>
        <family val="1"/>
      </rPr>
      <t>)</t>
    </r>
  </si>
  <si>
    <t>Recommended minimum Advance Warning Flasher Distance from Railway</t>
  </si>
  <si>
    <t>Actual Advance Warning Flasher Distance from Railway</t>
  </si>
  <si>
    <t>Considering maximum prevailing speeds, geoemetry and traffic composition, check:</t>
  </si>
  <si>
    <t>Calculate</t>
  </si>
  <si>
    <t>Design AAWD Advance Activation Time (s):</t>
  </si>
  <si>
    <t>Sect. 18.1</t>
  </si>
  <si>
    <t>Rail/Road</t>
  </si>
  <si>
    <t>Actual AAWD Advance Activation Time (s):</t>
  </si>
  <si>
    <t>Does the advance activation time provide sufficient time for a vehicle to:</t>
  </si>
  <si>
    <t>Sect. 18.2</t>
  </si>
  <si>
    <t>a) clear the grade crossing before the arrival of railway equipment at the crossing surface (FLB)</t>
  </si>
  <si>
    <t>b) clear the grade crossing before gate arms start to descend (FLBG)</t>
  </si>
  <si>
    <t>Sheet 17</t>
  </si>
  <si>
    <t>INTERCONNECTION OF TRAFFIC SIGNALS</t>
  </si>
  <si>
    <t>GCS Section 19</t>
  </si>
  <si>
    <t>Warrants for an Interconnected Traffic Signal</t>
  </si>
  <si>
    <t>Sect. 19</t>
  </si>
  <si>
    <t>Is the railway design speed greater than 15 mph?</t>
  </si>
  <si>
    <t>Sect. 19.1</t>
  </si>
  <si>
    <t>Is there less than 30m between the nearest rail of a grade crossing and the travelled way of an intersection with traffic signals?</t>
  </si>
  <si>
    <t>Is an Interconnected Traffic Signal required?</t>
  </si>
  <si>
    <t>Other Queuing Condition(s)</t>
  </si>
  <si>
    <t>Is "D" insufficient such that road vehicles might queue onto the rail tracks? (I.E. less than 60 m for traffic signals; 30 m or more for a Stop sign (or 60 m or more for traffic signals) with queued traffic encroaching within 2.4 m of the nearest rail; a situation causing vehicles to routinely queue closer than 2.4 m to the nearest rail in the crossing (Example(s): Yield sign, a roundabout, a pedestrian crossing, a bikeway, or a stopped vehicle waiting to make left turn))</t>
  </si>
  <si>
    <t>Are adjacent traffic signals interconnected with a grade crossing warning system?</t>
  </si>
  <si>
    <t>Design Preemption activation warning time required for traffic signal preemption (s):</t>
  </si>
  <si>
    <t>Actual Preemption activation warning time required for traffic signal preemption (s):</t>
  </si>
  <si>
    <t>Field checks:</t>
  </si>
  <si>
    <t>Date of last pre-emption check?</t>
  </si>
  <si>
    <t>Does interconnection provide adequate time to clear traffic from the grade crossing before the arrival of railway equipment?</t>
  </si>
  <si>
    <t>Sect. 19.3.a</t>
  </si>
  <si>
    <t>Does interconnection prohibit road traffic from moving from the street intersection towards the grade crossing</t>
  </si>
  <si>
    <t>Sect. 19.3.b</t>
  </si>
  <si>
    <t>Are there known queuing issues at the tracks?</t>
  </si>
  <si>
    <t>Are pedestrians accommodated during the pre-emption?</t>
  </si>
  <si>
    <t>Have longer/slower vehicles been considered (compared to Design Vehicle)?</t>
  </si>
  <si>
    <t>Are supplemental signs needed for motorists (no right turn on red light, etc)?</t>
  </si>
  <si>
    <t>GCS Appendix D</t>
  </si>
  <si>
    <t>Sheet 18</t>
  </si>
  <si>
    <t>WHISTLE CESSATION</t>
  </si>
  <si>
    <t>Is train whistling prohibited at this crossing?</t>
  </si>
  <si>
    <t>24 hours per day?</t>
  </si>
  <si>
    <t>Requirements</t>
  </si>
  <si>
    <t>Is there evidence of routine unauthorized access (trespassing) on the rail line in the area of the crossing? Comment below.</t>
  </si>
  <si>
    <t>GCR 104 ©</t>
  </si>
  <si>
    <t>What is the required type of warning system as per Table D-1?</t>
  </si>
  <si>
    <t>Are the requirements of Table D-1 met?</t>
  </si>
  <si>
    <t>GCR 104 (a)(i)</t>
  </si>
  <si>
    <t>Further to Column A of Table D-1, is a crossing warning system with gates installed per GCS 9.2?</t>
  </si>
  <si>
    <t>GCR 105</t>
  </si>
  <si>
    <t>Does crossing warning system meet requirements of GCS 12-16?</t>
  </si>
  <si>
    <t>GCR 105 and 106</t>
  </si>
  <si>
    <t>If Stop and Proceed, is crossing equipped with FLB meeting GCS 12-16 or manually protected?</t>
  </si>
  <si>
    <t>GCR 107</t>
  </si>
  <si>
    <t>Additional Prompt Lists</t>
  </si>
  <si>
    <t>Human Factors</t>
  </si>
  <si>
    <t>•</t>
  </si>
  <si>
    <t>Control device visibility / background visual clutter</t>
  </si>
  <si>
    <t>Driver workload through this area (i.e., are there numerous factors that simultaneously require the driver's attention, such as</t>
  </si>
  <si>
    <t>traffic lights, pedestrian activity, merging/entering traffic, commercial signing, etc.).</t>
  </si>
  <si>
    <t xml:space="preserve">Driver expectancy of the environment (i.e., are the control measures in keeping with the design levels of the road system and </t>
  </si>
  <si>
    <t>adjacent environment).</t>
  </si>
  <si>
    <t>Need for positive guidance.</t>
  </si>
  <si>
    <t>Conflicts between road and railway signs and signals.</t>
  </si>
  <si>
    <t>Environmental Factors</t>
  </si>
  <si>
    <t>Extreme weather conditions.</t>
  </si>
  <si>
    <t>Lighting issues (night, dawn/dusk, tunnels, adjacent facilities, headlight or sunlight glare, etc.).</t>
  </si>
  <si>
    <t>Landscaping or vegetation.</t>
  </si>
  <si>
    <t>Integration with surrounding land uses (e.g., parked vehicles blocking sightlines, merging traffic lanes, etc.).</t>
  </si>
  <si>
    <t>All Road Users</t>
  </si>
  <si>
    <t>Have needs of the following been met:</t>
  </si>
  <si>
    <t>pedestrians (including strollers, baby carriages, and blind persons)</t>
  </si>
  <si>
    <t>children</t>
  </si>
  <si>
    <t>elderly</t>
  </si>
  <si>
    <t>bicyclists</t>
  </si>
  <si>
    <t>motorcyclists</t>
  </si>
  <si>
    <t>over-sized trucks</t>
  </si>
  <si>
    <t>buses</t>
  </si>
  <si>
    <t>recreational vehicles</t>
  </si>
  <si>
    <t>wheelchairs, scooters, walkers, etc.</t>
  </si>
  <si>
    <t>rollerblades</t>
  </si>
  <si>
    <t>SCENE PHOTOGRAPHS</t>
  </si>
  <si>
    <t>North / East Road Approach</t>
  </si>
  <si>
    <t>South or West Road Approach</t>
  </si>
  <si>
    <t>North / East Rail Approach</t>
  </si>
  <si>
    <t>South or West Rail Approach</t>
  </si>
  <si>
    <t>North / East Road Approach, Looking Left</t>
  </si>
  <si>
    <t>North / East Road Approach, Looking Right</t>
  </si>
  <si>
    <t>South or West Road Approach, Looking Left</t>
  </si>
  <si>
    <t>South or West Road Approach, Looking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</si>
</sst>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09]mmmm\ d\,\ yyyy;@"/>
    <numFmt numFmtId="165" formatCode="0.0"/>
    <numFmt numFmtId="166" formatCode="0.0%"/>
  </numFmts>
  <fonts count="28" x14ac:knownFonts="1">
    <font>
      <sz val="11"/>
      <color theme="1"/>
      <name val="Calibri"/>
      <family val="2"/>
      <scheme val="minor"/>
    </font>
    <font>
      <sz val="11"/>
      <color theme="1"/>
      <name val="Calibri"/>
      <family val="2"/>
      <scheme val="minor"/>
    </font>
    <font>
      <b/>
      <sz val="11"/>
      <color theme="1"/>
      <name val="Calibri"/>
      <family val="2"/>
      <scheme val="minor"/>
    </font>
    <font>
      <sz val="9"/>
      <color theme="1"/>
      <name val="Arial Black"/>
      <family val="2"/>
    </font>
    <font>
      <sz val="9"/>
      <color theme="1"/>
      <name val="Times New Roman"/>
      <family val="1"/>
    </font>
    <font>
      <sz val="10"/>
      <name val="Arial"/>
      <family val="2"/>
    </font>
    <font>
      <b/>
      <sz val="14"/>
      <name val="Arial"/>
      <family val="2"/>
    </font>
    <font>
      <b/>
      <sz val="12"/>
      <name val="Arial"/>
      <family val="2"/>
    </font>
    <font>
      <b/>
      <i/>
      <sz val="12"/>
      <name val="Arial"/>
      <family val="2"/>
    </font>
    <font>
      <b/>
      <sz val="10"/>
      <name val="Times New Roman"/>
      <family val="1"/>
    </font>
    <font>
      <b/>
      <sz val="10"/>
      <color theme="1"/>
      <name val="Times New Roman"/>
      <family val="1"/>
    </font>
    <font>
      <b/>
      <sz val="9"/>
      <color theme="1"/>
      <name val="Times New Roman"/>
      <family val="1"/>
    </font>
    <font>
      <b/>
      <sz val="9"/>
      <name val="Times New Roman"/>
      <family val="1"/>
    </font>
    <font>
      <sz val="9"/>
      <name val="Times New Roman"/>
      <family val="1"/>
    </font>
    <font>
      <sz val="9"/>
      <color theme="1"/>
      <name val="Calibri"/>
      <family val="2"/>
      <scheme val="minor"/>
    </font>
    <font>
      <vertAlign val="subscript"/>
      <sz val="9"/>
      <color theme="1"/>
      <name val="Times New Roman"/>
      <family val="1"/>
    </font>
    <font>
      <b/>
      <sz val="9"/>
      <color theme="1"/>
      <name val="Arial"/>
      <family val="2"/>
    </font>
    <font>
      <sz val="9"/>
      <color theme="1"/>
      <name val="Times"/>
      <family val="1"/>
    </font>
    <font>
      <i/>
      <sz val="9"/>
      <color theme="1"/>
      <name val="Times New Roman"/>
      <family val="1"/>
    </font>
    <font>
      <b/>
      <vertAlign val="subscript"/>
      <sz val="9"/>
      <color theme="1"/>
      <name val="Times New Roman"/>
      <family val="1"/>
    </font>
    <font>
      <b/>
      <sz val="9"/>
      <color theme="1"/>
      <name val="Arial Black"/>
      <family val="2"/>
    </font>
    <font>
      <sz val="9"/>
      <name val="Arial Black"/>
      <family val="2"/>
    </font>
    <font>
      <vertAlign val="superscript"/>
      <sz val="9"/>
      <color theme="1"/>
      <name val="Times New Roman"/>
      <family val="1"/>
    </font>
    <font>
      <b/>
      <u/>
      <sz val="9"/>
      <color theme="1"/>
      <name val="Times New Roman"/>
      <family val="1"/>
    </font>
    <font>
      <vertAlign val="subscript"/>
      <sz val="11"/>
      <color theme="1"/>
      <name val="Calibri"/>
      <family val="2"/>
      <scheme val="minor"/>
    </font>
    <font>
      <b/>
      <u/>
      <sz val="10"/>
      <name val="Times New Roman"/>
      <family val="1"/>
    </font>
    <font>
      <b/>
      <sz val="9"/>
      <color indexed="81"/>
      <name val="Tahoma"/>
      <family val="2"/>
    </font>
    <font>
      <sz val="9"/>
      <color indexed="81"/>
      <name val="Tahoma"/>
      <family val="2"/>
    </font>
  </fonts>
  <fills count="9">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0000"/>
        <bgColor indexed="64"/>
      </patternFill>
    </fill>
  </fills>
  <borders count="53">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right style="thin">
        <color indexed="64"/>
      </right>
      <top/>
      <bottom style="double">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style="thin">
        <color indexed="64"/>
      </top>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top style="thin">
        <color indexed="64"/>
      </top>
      <bottom style="thin">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6">
    <xf numFmtId="0" fontId="0" fillId="0" borderId="0"/>
    <xf numFmtId="9" fontId="1" fillId="0" borderId="0" applyFont="0" applyFill="0" applyBorder="0" applyAlignment="0" applyProtection="0"/>
    <xf numFmtId="0" fontId="5" fillId="0" borderId="0"/>
    <xf numFmtId="0" fontId="5" fillId="0" borderId="0"/>
    <xf numFmtId="0" fontId="1" fillId="0" borderId="0"/>
    <xf numFmtId="0" fontId="5" fillId="0" borderId="0"/>
  </cellStyleXfs>
  <cellXfs count="718">
    <xf numFmtId="0" fontId="0" fillId="0" borderId="0" xfId="0"/>
    <xf numFmtId="0" fontId="0" fillId="0" borderId="0" xfId="0" applyAlignment="1">
      <alignment vertical="center"/>
    </xf>
    <xf numFmtId="0" fontId="3" fillId="2" borderId="0" xfId="0" applyFont="1" applyFill="1" applyAlignment="1">
      <alignment horizontal="center" vertical="center"/>
    </xf>
    <xf numFmtId="0" fontId="0" fillId="0" borderId="0" xfId="0" applyAlignment="1">
      <alignment horizontal="right" vertical="center"/>
    </xf>
    <xf numFmtId="0" fontId="3" fillId="0" borderId="0" xfId="0" applyFont="1" applyAlignment="1">
      <alignment horizontal="center"/>
    </xf>
    <xf numFmtId="0" fontId="3" fillId="0" borderId="0" xfId="0" applyFont="1" applyAlignment="1">
      <alignment horizontal="center"/>
    </xf>
    <xf numFmtId="0" fontId="4" fillId="0" borderId="0" xfId="0" applyFont="1" applyAlignment="1">
      <alignment vertical="center"/>
    </xf>
    <xf numFmtId="0" fontId="4" fillId="0" borderId="0" xfId="0" quotePrefix="1" applyFont="1" applyAlignment="1">
      <alignment vertical="center"/>
    </xf>
    <xf numFmtId="0" fontId="6" fillId="0" borderId="0" xfId="2" applyFont="1" applyAlignment="1">
      <alignment horizontal="center" vertical="center"/>
    </xf>
    <xf numFmtId="0" fontId="8" fillId="3" borderId="0" xfId="3" applyFont="1" applyFill="1" applyAlignment="1">
      <alignment horizontal="center" vertical="center"/>
    </xf>
    <xf numFmtId="0" fontId="5" fillId="0" borderId="0" xfId="3" applyAlignment="1">
      <alignment vertical="center" wrapText="1"/>
    </xf>
    <xf numFmtId="0" fontId="3" fillId="4" borderId="0" xfId="0" applyFont="1" applyFill="1" applyAlignment="1">
      <alignment horizontal="center" vertical="center" wrapText="1"/>
    </xf>
    <xf numFmtId="0" fontId="5" fillId="0" borderId="0" xfId="3" applyAlignment="1">
      <alignment horizontal="left" vertical="center" wrapText="1"/>
    </xf>
    <xf numFmtId="9" fontId="4" fillId="0" borderId="0" xfId="1" applyFont="1" applyAlignment="1">
      <alignment vertical="center"/>
    </xf>
    <xf numFmtId="0" fontId="9" fillId="0" borderId="1" xfId="3" applyFont="1" applyBorder="1" applyAlignment="1">
      <alignment horizontal="left" vertical="center"/>
    </xf>
    <xf numFmtId="0" fontId="9" fillId="0" borderId="1" xfId="3" applyFont="1" applyBorder="1" applyAlignment="1">
      <alignment horizontal="center" vertical="center"/>
    </xf>
    <xf numFmtId="0" fontId="10" fillId="3" borderId="1" xfId="0" applyFont="1" applyFill="1" applyBorder="1" applyAlignment="1">
      <alignment horizontal="righ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11" fillId="0" borderId="5" xfId="0" applyFont="1" applyBorder="1" applyAlignment="1">
      <alignment horizontal="left" vertical="center"/>
    </xf>
    <xf numFmtId="0" fontId="11" fillId="0" borderId="0" xfId="0" applyFont="1" applyAlignment="1">
      <alignment horizontal="left" vertical="center"/>
    </xf>
    <xf numFmtId="164" fontId="3" fillId="2" borderId="0" xfId="0" applyNumberFormat="1" applyFont="1" applyFill="1" applyAlignment="1">
      <alignment horizontal="center" vertical="center"/>
    </xf>
    <xf numFmtId="164" fontId="3" fillId="2" borderId="6" xfId="0" applyNumberFormat="1" applyFont="1" applyFill="1" applyBorder="1" applyAlignment="1">
      <alignment horizontal="center" vertical="center"/>
    </xf>
    <xf numFmtId="0" fontId="0" fillId="0" borderId="5" xfId="0" applyBorder="1" applyAlignment="1">
      <alignment vertical="center"/>
    </xf>
    <xf numFmtId="0" fontId="0" fillId="0" borderId="6" xfId="0" applyBorder="1" applyAlignment="1">
      <alignment vertical="center"/>
    </xf>
    <xf numFmtId="0" fontId="3" fillId="2" borderId="0" xfId="0" applyFont="1" applyFill="1" applyAlignment="1">
      <alignment horizontal="center" vertical="top" wrapText="1"/>
    </xf>
    <xf numFmtId="0" fontId="3" fillId="2" borderId="6" xfId="0" applyFont="1" applyFill="1" applyBorder="1" applyAlignment="1">
      <alignment horizontal="center" vertical="top" wrapText="1"/>
    </xf>
    <xf numFmtId="0" fontId="11" fillId="0" borderId="5" xfId="0" applyFont="1" applyBorder="1" applyAlignment="1">
      <alignment vertical="center"/>
    </xf>
    <xf numFmtId="0" fontId="3" fillId="2" borderId="0" xfId="0" applyFont="1" applyFill="1" applyAlignment="1">
      <alignment horizontal="center" vertical="center" wrapText="1"/>
    </xf>
    <xf numFmtId="0" fontId="3" fillId="2" borderId="6" xfId="0" applyFont="1" applyFill="1" applyBorder="1" applyAlignment="1">
      <alignment horizontal="center" vertical="center" wrapText="1"/>
    </xf>
    <xf numFmtId="0" fontId="11" fillId="0" borderId="2" xfId="0" applyFont="1" applyBorder="1" applyAlignment="1">
      <alignment horizontal="left" vertical="center"/>
    </xf>
    <xf numFmtId="0" fontId="11" fillId="0" borderId="3" xfId="0" applyFont="1" applyBorder="1" applyAlignment="1">
      <alignment horizontal="left" vertic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12" fillId="0" borderId="5" xfId="0" applyFont="1" applyBorder="1" applyAlignment="1">
      <alignment horizontal="left" vertical="center"/>
    </xf>
    <xf numFmtId="0" fontId="12" fillId="0" borderId="0" xfId="0" applyFont="1" applyAlignment="1">
      <alignment horizontal="left" vertical="center"/>
    </xf>
    <xf numFmtId="0" fontId="11" fillId="0" borderId="5" xfId="0" applyFont="1" applyBorder="1" applyAlignment="1">
      <alignment horizontal="left" vertical="center"/>
    </xf>
    <xf numFmtId="0" fontId="11" fillId="0" borderId="0" xfId="0" applyFont="1" applyAlignment="1">
      <alignment horizontal="left" vertical="center"/>
    </xf>
    <xf numFmtId="0" fontId="3" fillId="2" borderId="6" xfId="0" applyFont="1" applyFill="1" applyBorder="1" applyAlignment="1">
      <alignment horizontal="center" vertical="center"/>
    </xf>
    <xf numFmtId="0" fontId="3" fillId="0" borderId="0" xfId="0" applyFont="1" applyAlignment="1">
      <alignment vertical="center"/>
    </xf>
    <xf numFmtId="0" fontId="11" fillId="0" borderId="0" xfId="0" applyFont="1" applyAlignment="1">
      <alignment horizontal="center" vertical="center"/>
    </xf>
    <xf numFmtId="2" fontId="3" fillId="2" borderId="0" xfId="0" applyNumberFormat="1" applyFont="1" applyFill="1" applyAlignment="1">
      <alignment horizontal="center" vertical="center"/>
    </xf>
    <xf numFmtId="2" fontId="3" fillId="2" borderId="6" xfId="0" applyNumberFormat="1" applyFont="1" applyFill="1" applyBorder="1" applyAlignment="1">
      <alignment horizontal="center" vertical="center"/>
    </xf>
    <xf numFmtId="0" fontId="3" fillId="2" borderId="0" xfId="0" applyFont="1" applyFill="1" applyAlignment="1">
      <alignment horizontal="center" vertical="top"/>
    </xf>
    <xf numFmtId="0" fontId="3" fillId="2" borderId="6" xfId="0" applyFont="1" applyFill="1" applyBorder="1" applyAlignment="1">
      <alignment horizontal="center" vertical="top"/>
    </xf>
    <xf numFmtId="0" fontId="11" fillId="0" borderId="7" xfId="0" applyFont="1" applyBorder="1" applyAlignment="1">
      <alignment horizontal="left" vertical="center"/>
    </xf>
    <xf numFmtId="0" fontId="11" fillId="0" borderId="1" xfId="0" applyFont="1" applyBorder="1" applyAlignment="1">
      <alignment horizontal="left" vertical="center"/>
    </xf>
    <xf numFmtId="0" fontId="3" fillId="2" borderId="1" xfId="0" applyFont="1" applyFill="1" applyBorder="1" applyAlignment="1">
      <alignment horizontal="center" vertical="center"/>
    </xf>
    <xf numFmtId="0" fontId="3" fillId="2" borderId="8" xfId="0" applyFont="1" applyFill="1" applyBorder="1" applyAlignment="1">
      <alignment horizontal="center" vertical="center"/>
    </xf>
    <xf numFmtId="0" fontId="11" fillId="0" borderId="2" xfId="0" applyFont="1" applyBorder="1" applyAlignment="1">
      <alignment vertical="center"/>
    </xf>
    <xf numFmtId="0" fontId="11" fillId="0" borderId="0" xfId="0" applyFont="1" applyAlignment="1">
      <alignment horizontal="right" vertical="center"/>
    </xf>
    <xf numFmtId="0" fontId="3" fillId="2" borderId="9" xfId="0" applyFont="1" applyFill="1" applyBorder="1" applyAlignment="1">
      <alignment horizontal="center" vertical="center"/>
    </xf>
    <xf numFmtId="0" fontId="3" fillId="4" borderId="9" xfId="0" applyFont="1" applyFill="1" applyBorder="1" applyAlignment="1">
      <alignment horizontal="center" vertical="center"/>
    </xf>
    <xf numFmtId="0" fontId="11" fillId="0" borderId="10" xfId="0" applyFont="1" applyBorder="1" applyAlignment="1">
      <alignment horizontal="left" vertical="center"/>
    </xf>
    <xf numFmtId="0" fontId="11" fillId="0" borderId="9" xfId="0" applyFont="1" applyBorder="1" applyAlignment="1">
      <alignment horizontal="left" vertical="center"/>
    </xf>
    <xf numFmtId="0" fontId="11" fillId="0" borderId="11" xfId="0" applyFont="1" applyBorder="1" applyAlignment="1">
      <alignment horizontal="left" vertical="center"/>
    </xf>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3" fillId="0" borderId="5" xfId="0" applyFont="1" applyBorder="1" applyAlignment="1">
      <alignment horizontal="center" vertical="top" wrapText="1"/>
    </xf>
    <xf numFmtId="0" fontId="3" fillId="0" borderId="0" xfId="0" applyFont="1" applyAlignment="1">
      <alignment horizontal="center" vertical="top" wrapText="1"/>
    </xf>
    <xf numFmtId="0" fontId="3" fillId="0" borderId="6" xfId="0" applyFont="1" applyBorder="1" applyAlignment="1">
      <alignment horizontal="center" vertical="top" wrapText="1"/>
    </xf>
    <xf numFmtId="0" fontId="3" fillId="0" borderId="7" xfId="0" applyFont="1" applyBorder="1" applyAlignment="1">
      <alignment horizontal="center" vertical="top" wrapText="1"/>
    </xf>
    <xf numFmtId="0" fontId="3" fillId="0" borderId="1" xfId="0" applyFont="1" applyBorder="1" applyAlignment="1">
      <alignment horizontal="center" vertical="top" wrapText="1"/>
    </xf>
    <xf numFmtId="0" fontId="3" fillId="0" borderId="8" xfId="0" applyFont="1" applyBorder="1" applyAlignment="1">
      <alignment horizontal="center" vertical="top" wrapText="1"/>
    </xf>
    <xf numFmtId="0" fontId="10" fillId="0" borderId="1" xfId="0" applyFont="1" applyBorder="1" applyAlignment="1">
      <alignment horizontal="right" vertical="center"/>
    </xf>
    <xf numFmtId="0" fontId="2" fillId="0" borderId="0" xfId="4" applyFont="1"/>
    <xf numFmtId="0" fontId="12" fillId="0" borderId="0" xfId="3" applyFont="1" applyAlignment="1">
      <alignment vertic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1" xfId="0" applyBorder="1" applyAlignment="1">
      <alignment horizontal="left" vertical="top"/>
    </xf>
    <xf numFmtId="0" fontId="0" fillId="0" borderId="8" xfId="0" applyBorder="1" applyAlignment="1">
      <alignment horizontal="left" vertical="top"/>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14" xfId="0" applyFont="1" applyBorder="1" applyAlignment="1">
      <alignment horizontal="center" vertical="center"/>
    </xf>
    <xf numFmtId="0" fontId="14" fillId="0" borderId="15" xfId="0" applyFont="1" applyBorder="1" applyAlignment="1">
      <alignment horizontal="center" vertical="center"/>
    </xf>
    <xf numFmtId="0" fontId="14" fillId="0" borderId="16" xfId="0" applyFont="1" applyBorder="1" applyAlignment="1">
      <alignment horizontal="center" vertical="center"/>
    </xf>
    <xf numFmtId="0" fontId="14" fillId="0" borderId="17" xfId="0" applyFont="1" applyBorder="1" applyAlignment="1">
      <alignment horizontal="center" vertical="center"/>
    </xf>
    <xf numFmtId="0" fontId="11" fillId="5" borderId="2" xfId="0" applyFont="1" applyFill="1" applyBorder="1" applyAlignment="1">
      <alignment horizontal="left" vertical="center"/>
    </xf>
    <xf numFmtId="0" fontId="11" fillId="5" borderId="3" xfId="0" applyFont="1" applyFill="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11" fillId="0" borderId="3" xfId="0" applyFont="1" applyBorder="1" applyAlignment="1">
      <alignment horizontal="right" vertical="center"/>
    </xf>
    <xf numFmtId="0" fontId="3" fillId="2" borderId="3" xfId="0" applyFont="1" applyFill="1" applyBorder="1" applyAlignment="1">
      <alignment horizontal="center" vertical="center"/>
    </xf>
    <xf numFmtId="0" fontId="4" fillId="0" borderId="3" xfId="0" applyFont="1" applyBorder="1" applyAlignment="1">
      <alignment vertical="center"/>
    </xf>
    <xf numFmtId="1" fontId="3" fillId="4" borderId="0" xfId="0" applyNumberFormat="1" applyFont="1" applyFill="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1" fillId="5" borderId="5" xfId="0" applyFont="1" applyFill="1" applyBorder="1" applyAlignment="1">
      <alignment horizontal="left" vertical="center"/>
    </xf>
    <xf numFmtId="0" fontId="11" fillId="5" borderId="0" xfId="0" applyFont="1" applyFill="1" applyAlignment="1">
      <alignment horizontal="left" vertical="center"/>
    </xf>
    <xf numFmtId="0" fontId="4" fillId="0" borderId="5" xfId="0" applyFont="1" applyBorder="1" applyAlignment="1">
      <alignment horizontal="left" vertical="center"/>
    </xf>
    <xf numFmtId="0" fontId="4" fillId="0" borderId="0" xfId="0" applyFont="1" applyAlignment="1">
      <alignment horizontal="left" vertical="center"/>
    </xf>
    <xf numFmtId="1" fontId="3" fillId="0" borderId="0" xfId="0" applyNumberFormat="1" applyFont="1" applyAlignment="1">
      <alignment horizontal="center" vertical="center"/>
    </xf>
    <xf numFmtId="0" fontId="11" fillId="0" borderId="0" xfId="0" applyFont="1" applyAlignment="1">
      <alignment horizontal="center" vertical="center"/>
    </xf>
    <xf numFmtId="0" fontId="11" fillId="0" borderId="6" xfId="0" applyFont="1" applyBorder="1" applyAlignment="1">
      <alignment horizontal="center" vertical="center"/>
    </xf>
    <xf numFmtId="0" fontId="11" fillId="5" borderId="7" xfId="0" applyFont="1" applyFill="1" applyBorder="1" applyAlignment="1">
      <alignment horizontal="left" vertical="center"/>
    </xf>
    <xf numFmtId="0" fontId="11" fillId="5" borderId="1" xfId="0" applyFont="1" applyFill="1" applyBorder="1" applyAlignment="1">
      <alignment horizontal="left" vertical="center"/>
    </xf>
    <xf numFmtId="0" fontId="11" fillId="0" borderId="1" xfId="0" applyFont="1" applyBorder="1" applyAlignment="1">
      <alignment horizontal="center" vertical="center"/>
    </xf>
    <xf numFmtId="0" fontId="11" fillId="0" borderId="8" xfId="0" applyFont="1" applyBorder="1" applyAlignment="1">
      <alignment horizontal="center" vertical="center"/>
    </xf>
    <xf numFmtId="0" fontId="11" fillId="5" borderId="4" xfId="0" applyFont="1" applyFill="1" applyBorder="1" applyAlignment="1">
      <alignment horizontal="left" vertical="center"/>
    </xf>
    <xf numFmtId="0" fontId="11" fillId="0" borderId="3" xfId="0" applyFont="1" applyBorder="1" applyAlignment="1">
      <alignment vertical="center"/>
    </xf>
    <xf numFmtId="0" fontId="11" fillId="5" borderId="6" xfId="0" applyFont="1" applyFill="1" applyBorder="1" applyAlignment="1">
      <alignment horizontal="left" vertical="center"/>
    </xf>
    <xf numFmtId="0" fontId="11" fillId="5" borderId="8" xfId="0" applyFont="1" applyFill="1" applyBorder="1" applyAlignment="1">
      <alignment horizontal="left" vertical="center"/>
    </xf>
    <xf numFmtId="0" fontId="0" fillId="0" borderId="7" xfId="0" applyBorder="1" applyAlignment="1">
      <alignment vertical="center"/>
    </xf>
    <xf numFmtId="0" fontId="0" fillId="0" borderId="1" xfId="0" applyBorder="1" applyAlignment="1">
      <alignment vertical="center"/>
    </xf>
    <xf numFmtId="0" fontId="4" fillId="0" borderId="1" xfId="0" applyFont="1" applyBorder="1" applyAlignment="1">
      <alignment horizontal="left" vertical="center"/>
    </xf>
    <xf numFmtId="0" fontId="3" fillId="4" borderId="1" xfId="0" applyFont="1" applyFill="1" applyBorder="1" applyAlignment="1">
      <alignment horizontal="center" vertical="center"/>
    </xf>
    <xf numFmtId="0" fontId="0" fillId="0" borderId="8" xfId="0" applyBorder="1" applyAlignment="1">
      <alignment vertical="center"/>
    </xf>
    <xf numFmtId="0" fontId="11" fillId="5" borderId="10" xfId="0" applyFont="1" applyFill="1" applyBorder="1" applyAlignment="1">
      <alignment horizontal="left" vertical="center"/>
    </xf>
    <xf numFmtId="0" fontId="11" fillId="5" borderId="9" xfId="0" applyFont="1" applyFill="1" applyBorder="1" applyAlignment="1">
      <alignment horizontal="left" vertical="center"/>
    </xf>
    <xf numFmtId="0" fontId="4" fillId="0" borderId="10" xfId="0" applyFont="1" applyBorder="1" applyAlignment="1">
      <alignment horizontal="left" vertical="center"/>
    </xf>
    <xf numFmtId="0" fontId="4" fillId="0" borderId="9" xfId="0" applyFont="1" applyBorder="1" applyAlignment="1">
      <alignment horizontal="left" vertical="center"/>
    </xf>
    <xf numFmtId="0" fontId="0" fillId="0" borderId="9" xfId="0" applyBorder="1" applyAlignment="1">
      <alignment vertical="center"/>
    </xf>
    <xf numFmtId="0" fontId="0" fillId="0" borderId="11" xfId="0" applyBorder="1" applyAlignment="1">
      <alignment vertical="center"/>
    </xf>
    <xf numFmtId="0" fontId="11" fillId="0" borderId="1" xfId="0" applyFont="1" applyBorder="1" applyAlignment="1">
      <alignment horizontal="center" vertical="center"/>
    </xf>
    <xf numFmtId="0" fontId="11" fillId="0" borderId="8" xfId="0" applyFont="1" applyBorder="1" applyAlignment="1">
      <alignment horizontal="center" vertical="center"/>
    </xf>
    <xf numFmtId="0" fontId="4" fillId="0" borderId="10" xfId="4" applyFont="1" applyBorder="1" applyAlignment="1">
      <alignment horizontal="left" vertical="center"/>
    </xf>
    <xf numFmtId="0" fontId="4" fillId="0" borderId="9" xfId="4" applyFont="1" applyBorder="1" applyAlignment="1">
      <alignment horizontal="left" vertical="center"/>
    </xf>
    <xf numFmtId="0" fontId="4" fillId="0" borderId="9" xfId="0" applyFont="1" applyBorder="1" applyAlignment="1">
      <alignment vertical="center"/>
    </xf>
    <xf numFmtId="0" fontId="3" fillId="0" borderId="8" xfId="0" applyFont="1" applyBorder="1" applyAlignment="1">
      <alignment vertical="center"/>
    </xf>
    <xf numFmtId="0" fontId="11" fillId="0" borderId="9" xfId="0" applyFont="1" applyBorder="1" applyAlignment="1">
      <alignment horizontal="center" vertical="center"/>
    </xf>
    <xf numFmtId="0" fontId="11" fillId="0" borderId="11" xfId="0" applyFont="1" applyBorder="1" applyAlignment="1">
      <alignment horizontal="center" vertical="center"/>
    </xf>
    <xf numFmtId="0" fontId="14" fillId="0" borderId="10" xfId="0" applyFont="1" applyBorder="1" applyAlignment="1">
      <alignment horizontal="center" vertical="center"/>
    </xf>
    <xf numFmtId="0" fontId="14" fillId="0" borderId="9" xfId="0" applyFont="1" applyBorder="1" applyAlignment="1">
      <alignment horizontal="center" vertical="center"/>
    </xf>
    <xf numFmtId="0" fontId="14" fillId="0" borderId="11" xfId="0" applyFont="1" applyBorder="1" applyAlignment="1">
      <alignment horizontal="center" vertical="center"/>
    </xf>
    <xf numFmtId="0" fontId="11" fillId="3" borderId="10" xfId="0" applyFont="1" applyFill="1" applyBorder="1" applyAlignment="1">
      <alignment horizontal="left" vertical="center"/>
    </xf>
    <xf numFmtId="0" fontId="11" fillId="3" borderId="9" xfId="0" applyFont="1" applyFill="1" applyBorder="1" applyAlignment="1">
      <alignment horizontal="left" vertical="center"/>
    </xf>
    <xf numFmtId="0" fontId="11" fillId="3" borderId="11" xfId="0" applyFont="1" applyFill="1" applyBorder="1" applyAlignment="1">
      <alignment horizontal="left" vertical="center"/>
    </xf>
    <xf numFmtId="0" fontId="11" fillId="0" borderId="9" xfId="0" applyFont="1" applyBorder="1" applyAlignment="1">
      <alignment horizontal="right" vertical="center"/>
    </xf>
    <xf numFmtId="0" fontId="11" fillId="0" borderId="10" xfId="0" applyFont="1" applyBorder="1" applyAlignment="1">
      <alignment horizontal="center" vertical="center"/>
    </xf>
    <xf numFmtId="0" fontId="11" fillId="0" borderId="1" xfId="0" applyFont="1" applyBorder="1" applyAlignment="1">
      <alignment horizontal="right" vertical="center"/>
    </xf>
    <xf numFmtId="0" fontId="11" fillId="0" borderId="7" xfId="0" applyFont="1" applyBorder="1" applyAlignment="1">
      <alignment horizontal="center" vertical="center"/>
    </xf>
    <xf numFmtId="0" fontId="11" fillId="3" borderId="7" xfId="0" applyFont="1" applyFill="1" applyBorder="1" applyAlignment="1">
      <alignment horizontal="left" vertical="center"/>
    </xf>
    <xf numFmtId="0" fontId="11" fillId="3" borderId="1" xfId="0" applyFont="1" applyFill="1" applyBorder="1" applyAlignment="1">
      <alignment horizontal="left" vertical="center"/>
    </xf>
    <xf numFmtId="0" fontId="11" fillId="3" borderId="8" xfId="0" applyFont="1" applyFill="1" applyBorder="1" applyAlignment="1">
      <alignment horizontal="left" vertical="center"/>
    </xf>
    <xf numFmtId="3" fontId="3" fillId="2" borderId="9" xfId="0" applyNumberFormat="1" applyFont="1" applyFill="1" applyBorder="1" applyAlignment="1">
      <alignment horizontal="center" vertical="center"/>
    </xf>
    <xf numFmtId="0" fontId="4" fillId="0" borderId="1" xfId="0" applyFont="1" applyBorder="1" applyAlignment="1">
      <alignment vertical="center"/>
    </xf>
    <xf numFmtId="0" fontId="11" fillId="0" borderId="7" xfId="0" applyFont="1" applyBorder="1" applyAlignment="1">
      <alignment horizontal="center" vertical="center"/>
    </xf>
    <xf numFmtId="0" fontId="11" fillId="3" borderId="2" xfId="0" applyFont="1" applyFill="1" applyBorder="1" applyAlignment="1">
      <alignment horizontal="left" vertical="center"/>
    </xf>
    <xf numFmtId="0" fontId="11" fillId="3" borderId="3" xfId="0" applyFont="1" applyFill="1" applyBorder="1" applyAlignment="1">
      <alignment horizontal="left" vertical="center"/>
    </xf>
    <xf numFmtId="0" fontId="11" fillId="3" borderId="4" xfId="0" applyFont="1" applyFill="1" applyBorder="1" applyAlignment="1">
      <alignment horizontal="left"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1" fillId="3" borderId="5" xfId="0" applyFont="1" applyFill="1" applyBorder="1" applyAlignment="1">
      <alignment horizontal="left" vertical="center"/>
    </xf>
    <xf numFmtId="0" fontId="11" fillId="3" borderId="0" xfId="0" applyFont="1" applyFill="1" applyAlignment="1">
      <alignment horizontal="left" vertical="center"/>
    </xf>
    <xf numFmtId="0" fontId="11" fillId="3" borderId="6" xfId="0" applyFont="1" applyFill="1" applyBorder="1" applyAlignment="1">
      <alignment horizontal="left" vertical="center"/>
    </xf>
    <xf numFmtId="0" fontId="4" fillId="0" borderId="5" xfId="0" applyFont="1" applyBorder="1" applyAlignment="1">
      <alignment horizontal="center" vertical="center"/>
    </xf>
    <xf numFmtId="0" fontId="4" fillId="0" borderId="0" xfId="0" applyFont="1" applyAlignment="1">
      <alignment horizontal="center" vertical="center"/>
    </xf>
    <xf numFmtId="0" fontId="4" fillId="0" borderId="7" xfId="0" applyFont="1" applyBorder="1" applyAlignment="1">
      <alignment horizontal="center" vertical="center"/>
    </xf>
    <xf numFmtId="0" fontId="4" fillId="0" borderId="1" xfId="0" applyFont="1" applyBorder="1" applyAlignment="1">
      <alignment horizontal="center" vertical="center"/>
    </xf>
    <xf numFmtId="0" fontId="11" fillId="0" borderId="10" xfId="0" applyFont="1" applyBorder="1" applyAlignment="1">
      <alignment horizontal="center" vertical="center"/>
    </xf>
    <xf numFmtId="0" fontId="11" fillId="0" borderId="9" xfId="0" applyFont="1" applyBorder="1" applyAlignment="1">
      <alignment horizontal="center" vertical="center"/>
    </xf>
    <xf numFmtId="0" fontId="11" fillId="0" borderId="11" xfId="0" applyFont="1" applyBorder="1" applyAlignment="1">
      <alignment horizontal="center" vertical="center"/>
    </xf>
    <xf numFmtId="0" fontId="11" fillId="6" borderId="7" xfId="0" applyFont="1" applyFill="1" applyBorder="1" applyAlignment="1">
      <alignment horizontal="left" vertical="center"/>
    </xf>
    <xf numFmtId="0" fontId="11" fillId="6" borderId="1" xfId="0" applyFont="1" applyFill="1" applyBorder="1" applyAlignment="1">
      <alignment horizontal="left" vertical="center"/>
    </xf>
    <xf numFmtId="0" fontId="11" fillId="6" borderId="8" xfId="0" applyFont="1" applyFill="1" applyBorder="1" applyAlignment="1">
      <alignment horizontal="left" vertical="center"/>
    </xf>
    <xf numFmtId="0" fontId="3" fillId="4" borderId="0" xfId="0" applyFont="1" applyFill="1" applyAlignment="1">
      <alignment horizontal="center" vertical="center"/>
    </xf>
    <xf numFmtId="0" fontId="3" fillId="4" borderId="6" xfId="0" applyFont="1" applyFill="1" applyBorder="1" applyAlignment="1">
      <alignment horizontal="center" vertical="center"/>
    </xf>
    <xf numFmtId="0" fontId="11" fillId="6" borderId="2" xfId="0" applyFont="1" applyFill="1" applyBorder="1" applyAlignment="1">
      <alignment horizontal="left" vertical="center"/>
    </xf>
    <xf numFmtId="0" fontId="11" fillId="6" borderId="3" xfId="0" applyFont="1" applyFill="1" applyBorder="1" applyAlignment="1">
      <alignment horizontal="left" vertical="center"/>
    </xf>
    <xf numFmtId="0" fontId="11" fillId="6" borderId="4" xfId="0" applyFont="1" applyFill="1" applyBorder="1" applyAlignment="1">
      <alignment horizontal="left" vertical="center"/>
    </xf>
    <xf numFmtId="0" fontId="3" fillId="2" borderId="7" xfId="0" applyFont="1" applyFill="1" applyBorder="1" applyAlignment="1">
      <alignment horizontal="center" vertical="center"/>
    </xf>
    <xf numFmtId="0" fontId="11" fillId="6" borderId="10" xfId="0" applyFont="1" applyFill="1" applyBorder="1" applyAlignment="1">
      <alignment horizontal="left" vertical="center"/>
    </xf>
    <xf numFmtId="0" fontId="11" fillId="6" borderId="9" xfId="0" applyFont="1" applyFill="1" applyBorder="1" applyAlignment="1">
      <alignment horizontal="left" vertical="center"/>
    </xf>
    <xf numFmtId="0" fontId="11" fillId="6" borderId="11" xfId="0" applyFont="1" applyFill="1" applyBorder="1" applyAlignment="1">
      <alignment horizontal="left" vertical="center"/>
    </xf>
    <xf numFmtId="0" fontId="4" fillId="0" borderId="7" xfId="0" applyFont="1" applyBorder="1" applyAlignment="1">
      <alignment vertical="center"/>
    </xf>
    <xf numFmtId="0" fontId="4" fillId="0" borderId="8" xfId="0" applyFont="1" applyBorder="1" applyAlignment="1">
      <alignment vertical="center"/>
    </xf>
    <xf numFmtId="0" fontId="14" fillId="0" borderId="0" xfId="0" applyFont="1" applyAlignment="1">
      <alignment vertical="center"/>
    </xf>
    <xf numFmtId="0" fontId="13" fillId="0" borderId="0" xfId="3" applyFont="1" applyAlignment="1">
      <alignment vertical="center"/>
    </xf>
    <xf numFmtId="0" fontId="4" fillId="0" borderId="0" xfId="0" applyFont="1" applyAlignment="1">
      <alignment horizontal="left" vertical="center" wrapText="1"/>
    </xf>
    <xf numFmtId="0" fontId="16" fillId="0" borderId="10" xfId="0" applyFont="1" applyBorder="1" applyAlignment="1">
      <alignment horizontal="left" vertical="center"/>
    </xf>
    <xf numFmtId="0" fontId="16" fillId="0" borderId="9" xfId="0" applyFont="1" applyBorder="1" applyAlignment="1">
      <alignment horizontal="left" vertical="center"/>
    </xf>
    <xf numFmtId="0" fontId="16" fillId="0" borderId="11" xfId="0" applyFont="1" applyBorder="1" applyAlignment="1">
      <alignment horizontal="left" vertical="center"/>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14" fillId="0" borderId="7" xfId="0" applyFont="1" applyBorder="1" applyAlignment="1">
      <alignment horizontal="center" vertical="center"/>
    </xf>
    <xf numFmtId="0" fontId="14" fillId="0" borderId="1" xfId="0" applyFont="1" applyBorder="1" applyAlignment="1">
      <alignment horizontal="center" vertical="center"/>
    </xf>
    <xf numFmtId="0" fontId="14" fillId="0" borderId="8" xfId="0" applyFont="1" applyBorder="1" applyAlignment="1">
      <alignment horizontal="center" vertical="center"/>
    </xf>
    <xf numFmtId="0" fontId="11" fillId="0" borderId="18" xfId="0" applyFont="1" applyBorder="1" applyAlignment="1">
      <alignment horizontal="left" vertical="center"/>
    </xf>
    <xf numFmtId="0" fontId="11" fillId="0" borderId="19" xfId="0" applyFont="1" applyBorder="1" applyAlignment="1">
      <alignment horizontal="left" vertical="center"/>
    </xf>
    <xf numFmtId="0" fontId="11" fillId="0" borderId="20" xfId="0" applyFont="1" applyBorder="1" applyAlignment="1">
      <alignment horizontal="left" vertical="center"/>
    </xf>
    <xf numFmtId="0" fontId="4" fillId="0" borderId="8" xfId="0" applyFont="1" applyBorder="1" applyAlignment="1">
      <alignment horizontal="center" vertical="center"/>
    </xf>
    <xf numFmtId="0" fontId="11" fillId="7" borderId="10" xfId="0" applyFont="1" applyFill="1" applyBorder="1" applyAlignment="1">
      <alignment horizontal="left" vertical="center"/>
    </xf>
    <xf numFmtId="0" fontId="11" fillId="7" borderId="9" xfId="0" applyFont="1" applyFill="1" applyBorder="1" applyAlignment="1">
      <alignment horizontal="left" vertical="center"/>
    </xf>
    <xf numFmtId="0" fontId="11" fillId="7" borderId="11" xfId="0" applyFont="1" applyFill="1" applyBorder="1" applyAlignment="1">
      <alignment horizontal="left" vertical="center"/>
    </xf>
    <xf numFmtId="0" fontId="0" fillId="0" borderId="10" xfId="0" applyBorder="1" applyAlignment="1">
      <alignment vertical="center"/>
    </xf>
    <xf numFmtId="0" fontId="17" fillId="0" borderId="9" xfId="0" applyFont="1" applyBorder="1" applyAlignment="1">
      <alignment horizontal="left" vertical="center"/>
    </xf>
    <xf numFmtId="0" fontId="3" fillId="2" borderId="11" xfId="0" applyFont="1" applyFill="1" applyBorder="1" applyAlignment="1">
      <alignment horizontal="center" vertical="center"/>
    </xf>
    <xf numFmtId="0" fontId="4" fillId="0" borderId="4" xfId="0" applyFont="1" applyBorder="1" applyAlignment="1">
      <alignment horizontal="center" vertical="center"/>
    </xf>
    <xf numFmtId="0" fontId="18" fillId="0" borderId="10" xfId="0" applyFont="1" applyBorder="1" applyAlignment="1">
      <alignment horizontal="left" vertical="center"/>
    </xf>
    <xf numFmtId="0" fontId="4" fillId="0" borderId="11" xfId="0" applyFont="1" applyBorder="1" applyAlignment="1">
      <alignment horizontal="left" vertical="center"/>
    </xf>
    <xf numFmtId="0" fontId="0" fillId="0" borderId="9" xfId="0" applyBorder="1" applyAlignment="1">
      <alignment horizontal="left" vertical="center"/>
    </xf>
    <xf numFmtId="0" fontId="11" fillId="0" borderId="10" xfId="0" applyFont="1" applyBorder="1" applyAlignment="1">
      <alignment vertical="center"/>
    </xf>
    <xf numFmtId="0" fontId="3" fillId="4" borderId="1" xfId="0" quotePrefix="1" applyFont="1" applyFill="1" applyBorder="1" applyAlignment="1">
      <alignment horizontal="center" vertical="center"/>
    </xf>
    <xf numFmtId="165" fontId="3" fillId="4" borderId="9" xfId="0" applyNumberFormat="1" applyFont="1" applyFill="1" applyBorder="1" applyAlignment="1">
      <alignment horizontal="center" vertical="center"/>
    </xf>
    <xf numFmtId="0" fontId="11" fillId="0" borderId="9" xfId="0" applyFont="1" applyBorder="1" applyAlignment="1">
      <alignment vertical="center"/>
    </xf>
    <xf numFmtId="0" fontId="4" fillId="0" borderId="9" xfId="0" quotePrefix="1" applyFont="1" applyBorder="1" applyAlignment="1">
      <alignment horizontal="left" vertical="center"/>
    </xf>
    <xf numFmtId="165" fontId="3" fillId="4" borderId="0" xfId="0" applyNumberFormat="1" applyFont="1" applyFill="1" applyAlignment="1">
      <alignment horizontal="center" vertical="center"/>
    </xf>
    <xf numFmtId="0" fontId="4" fillId="0" borderId="10" xfId="0" applyFont="1" applyBorder="1" applyAlignment="1">
      <alignment vertical="center"/>
    </xf>
    <xf numFmtId="0" fontId="4" fillId="0" borderId="11" xfId="0" applyFont="1" applyBorder="1" applyAlignment="1">
      <alignment vertical="center"/>
    </xf>
    <xf numFmtId="9" fontId="3" fillId="4" borderId="0" xfId="1" applyFont="1" applyFill="1" applyBorder="1" applyAlignment="1">
      <alignment horizontal="center" vertical="center"/>
    </xf>
    <xf numFmtId="0" fontId="4" fillId="0" borderId="10" xfId="0" applyFont="1" applyBorder="1" applyAlignment="1">
      <alignment horizontal="center" vertical="center"/>
    </xf>
    <xf numFmtId="0" fontId="4" fillId="0" borderId="9" xfId="0" applyFont="1" applyBorder="1" applyAlignment="1">
      <alignment horizontal="center" vertical="center"/>
    </xf>
    <xf numFmtId="0" fontId="4" fillId="0" borderId="11" xfId="0" applyFont="1" applyBorder="1" applyAlignment="1">
      <alignment horizontal="center" vertical="center"/>
    </xf>
    <xf numFmtId="0" fontId="2" fillId="0" borderId="9" xfId="0" applyFont="1" applyBorder="1" applyAlignment="1">
      <alignment vertical="center"/>
    </xf>
    <xf numFmtId="2" fontId="3" fillId="4" borderId="1" xfId="0" applyNumberFormat="1" applyFont="1" applyFill="1" applyBorder="1" applyAlignment="1">
      <alignment horizontal="center" vertical="center"/>
    </xf>
    <xf numFmtId="0" fontId="3" fillId="2" borderId="9" xfId="0" applyFont="1" applyFill="1" applyBorder="1" applyAlignment="1">
      <alignment vertical="center"/>
    </xf>
    <xf numFmtId="0" fontId="11" fillId="0" borderId="10" xfId="0" applyFont="1" applyBorder="1" applyAlignment="1">
      <alignment horizontal="left" vertical="center"/>
    </xf>
    <xf numFmtId="0" fontId="11" fillId="0" borderId="9" xfId="0" applyFont="1" applyBorder="1" applyAlignment="1">
      <alignment horizontal="left" vertical="center"/>
    </xf>
    <xf numFmtId="0" fontId="4" fillId="0" borderId="9" xfId="0" applyFont="1" applyBorder="1" applyAlignment="1">
      <alignment horizontal="left" vertical="center"/>
    </xf>
    <xf numFmtId="0" fontId="4" fillId="0" borderId="9" xfId="0" applyFont="1" applyBorder="1" applyAlignment="1">
      <alignment horizontal="right" vertical="center"/>
    </xf>
    <xf numFmtId="0" fontId="11" fillId="0" borderId="11" xfId="0" applyFont="1" applyBorder="1" applyAlignment="1">
      <alignment horizontal="left" vertical="center"/>
    </xf>
    <xf numFmtId="0" fontId="4" fillId="0" borderId="7" xfId="0" applyFont="1" applyBorder="1" applyAlignment="1">
      <alignment horizontal="center" vertical="center"/>
    </xf>
    <xf numFmtId="0" fontId="4" fillId="0" borderId="1" xfId="0" applyFont="1" applyBorder="1" applyAlignment="1">
      <alignment horizontal="center" vertical="center"/>
    </xf>
    <xf numFmtId="0" fontId="4" fillId="0" borderId="8" xfId="0" applyFont="1" applyBorder="1" applyAlignment="1">
      <alignment horizontal="center" vertical="center"/>
    </xf>
    <xf numFmtId="0" fontId="11" fillId="0" borderId="1" xfId="0" applyFont="1" applyBorder="1" applyAlignment="1">
      <alignment vertical="center"/>
    </xf>
    <xf numFmtId="0" fontId="4" fillId="0" borderId="1" xfId="0" quotePrefix="1" applyFont="1" applyBorder="1" applyAlignment="1">
      <alignment vertical="center"/>
    </xf>
    <xf numFmtId="0" fontId="3" fillId="4" borderId="0" xfId="0" quotePrefix="1" applyFont="1" applyFill="1" applyAlignment="1">
      <alignment horizontal="center" vertical="center"/>
    </xf>
    <xf numFmtId="0" fontId="11" fillId="0" borderId="0" xfId="0" applyFont="1" applyAlignment="1">
      <alignment vertical="center"/>
    </xf>
    <xf numFmtId="0" fontId="3" fillId="4" borderId="0" xfId="0" applyFont="1" applyFill="1" applyAlignment="1">
      <alignment horizontal="center" vertical="center"/>
    </xf>
    <xf numFmtId="0" fontId="4" fillId="0" borderId="0" xfId="0" applyFont="1" applyAlignment="1">
      <alignment horizontal="center" vertical="center"/>
    </xf>
    <xf numFmtId="0" fontId="0" fillId="0" borderId="21" xfId="0" applyBorder="1" applyAlignment="1">
      <alignment horizontal="center" vertic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1" fillId="0" borderId="4" xfId="0" applyFont="1" applyBorder="1" applyAlignment="1">
      <alignment horizontal="lef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11" fillId="0" borderId="7" xfId="0" applyFont="1" applyBorder="1" applyAlignment="1">
      <alignment horizontal="left" vertical="center" wrapText="1"/>
    </xf>
    <xf numFmtId="0" fontId="11" fillId="0" borderId="1" xfId="0" applyFont="1" applyBorder="1" applyAlignment="1">
      <alignment horizontal="left" vertical="center" wrapText="1"/>
    </xf>
    <xf numFmtId="0" fontId="11" fillId="0" borderId="8" xfId="0" applyFont="1" applyBorder="1" applyAlignment="1">
      <alignment horizontal="left"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4" fillId="0" borderId="10" xfId="0" applyFont="1" applyBorder="1" applyAlignment="1">
      <alignment horizontal="left" vertical="center"/>
    </xf>
    <xf numFmtId="0" fontId="11" fillId="0" borderId="9" xfId="0" applyFont="1" applyBorder="1" applyAlignment="1">
      <alignment horizontal="left" vertical="center" wrapText="1"/>
    </xf>
    <xf numFmtId="0" fontId="20" fillId="2" borderId="9" xfId="0" applyFont="1" applyFill="1" applyBorder="1" applyAlignment="1">
      <alignment horizontal="center" vertical="center" wrapText="1"/>
    </xf>
    <xf numFmtId="0" fontId="4" fillId="0" borderId="9" xfId="0" applyFont="1" applyBorder="1" applyAlignment="1">
      <alignment horizontal="left" vertical="center" wrapText="1"/>
    </xf>
    <xf numFmtId="0" fontId="11" fillId="0" borderId="11" xfId="0" applyFont="1" applyBorder="1" applyAlignment="1">
      <alignment horizontal="left" vertical="center" wrapText="1"/>
    </xf>
    <xf numFmtId="0" fontId="11" fillId="0" borderId="21" xfId="0" applyFont="1" applyBorder="1" applyAlignment="1">
      <alignment horizontal="left" vertical="center"/>
    </xf>
    <xf numFmtId="0" fontId="0" fillId="0" borderId="7" xfId="0" applyBorder="1" applyAlignment="1">
      <alignment horizontal="center" vertical="center" wrapText="1"/>
    </xf>
    <xf numFmtId="0" fontId="0" fillId="0" borderId="1" xfId="0" applyBorder="1" applyAlignment="1">
      <alignment horizontal="center" vertical="center" wrapText="1"/>
    </xf>
    <xf numFmtId="0" fontId="0" fillId="0" borderId="8" xfId="0" applyBorder="1" applyAlignment="1">
      <alignment horizontal="center" vertical="center"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0" xfId="0" applyFont="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11" fillId="6" borderId="2" xfId="0" applyFont="1" applyFill="1" applyBorder="1" applyAlignment="1">
      <alignment horizontal="center" vertical="center"/>
    </xf>
    <xf numFmtId="0" fontId="11" fillId="6" borderId="3" xfId="0" applyFont="1" applyFill="1" applyBorder="1" applyAlignment="1">
      <alignment horizontal="center" vertical="center"/>
    </xf>
    <xf numFmtId="0" fontId="11" fillId="6" borderId="4" xfId="0" applyFont="1" applyFill="1" applyBorder="1" applyAlignment="1">
      <alignment horizontal="center" vertical="center"/>
    </xf>
    <xf numFmtId="0" fontId="4" fillId="0" borderId="4" xfId="0" applyFont="1" applyBorder="1" applyAlignment="1">
      <alignment horizontal="left" vertical="center"/>
    </xf>
    <xf numFmtId="0" fontId="4" fillId="0" borderId="2" xfId="0" applyFont="1" applyBorder="1" applyAlignment="1">
      <alignment horizontal="center" vertical="center" wrapText="1"/>
    </xf>
    <xf numFmtId="0" fontId="11" fillId="6" borderId="5" xfId="0" applyFont="1" applyFill="1" applyBorder="1" applyAlignment="1">
      <alignment horizontal="center" vertical="center"/>
    </xf>
    <xf numFmtId="0" fontId="11" fillId="6" borderId="0" xfId="0" applyFont="1" applyFill="1" applyAlignment="1">
      <alignment horizontal="center" vertical="center"/>
    </xf>
    <xf numFmtId="0" fontId="11" fillId="6" borderId="6" xfId="0" applyFont="1" applyFill="1" applyBorder="1" applyAlignment="1">
      <alignment horizontal="center" vertical="center"/>
    </xf>
    <xf numFmtId="0" fontId="21" fillId="2" borderId="0" xfId="0" applyFont="1" applyFill="1" applyAlignment="1">
      <alignment horizontal="center" vertical="center"/>
    </xf>
    <xf numFmtId="0" fontId="4" fillId="0" borderId="6" xfId="0" applyFont="1" applyBorder="1" applyAlignment="1">
      <alignment horizontal="left" vertical="center"/>
    </xf>
    <xf numFmtId="0" fontId="4" fillId="0" borderId="6" xfId="0" applyFont="1" applyBorder="1" applyAlignment="1">
      <alignment horizontal="center" vertical="center"/>
    </xf>
    <xf numFmtId="0" fontId="11" fillId="6" borderId="7" xfId="0" applyFont="1" applyFill="1" applyBorder="1" applyAlignment="1">
      <alignment horizontal="center" vertical="center"/>
    </xf>
    <xf numFmtId="0" fontId="11" fillId="6" borderId="1" xfId="0" applyFont="1" applyFill="1" applyBorder="1" applyAlignment="1">
      <alignment horizontal="center" vertical="center"/>
    </xf>
    <xf numFmtId="0" fontId="11" fillId="6" borderId="8" xfId="0" applyFont="1" applyFill="1" applyBorder="1" applyAlignment="1">
      <alignment horizontal="center" vertical="center"/>
    </xf>
    <xf numFmtId="0" fontId="4" fillId="0" borderId="7" xfId="0" applyFont="1" applyBorder="1" applyAlignment="1">
      <alignment horizontal="left" vertical="center"/>
    </xf>
    <xf numFmtId="0" fontId="21" fillId="2" borderId="1" xfId="0" applyFont="1" applyFill="1" applyBorder="1" applyAlignment="1">
      <alignment horizontal="center" vertical="center"/>
    </xf>
    <xf numFmtId="0" fontId="4" fillId="0" borderId="8" xfId="0" applyFont="1" applyBorder="1" applyAlignment="1">
      <alignment horizontal="left" vertical="center"/>
    </xf>
    <xf numFmtId="0" fontId="4" fillId="0" borderId="5" xfId="0"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7" xfId="0" applyFont="1" applyBorder="1" applyAlignment="1">
      <alignment horizontal="left" vertical="center" wrapText="1"/>
    </xf>
    <xf numFmtId="0" fontId="4" fillId="0" borderId="1" xfId="0" applyFont="1" applyBorder="1" applyAlignment="1">
      <alignment horizontal="left" vertical="center" wrapText="1"/>
    </xf>
    <xf numFmtId="0" fontId="4" fillId="0" borderId="15" xfId="0" applyFont="1" applyBorder="1" applyAlignment="1">
      <alignment horizontal="left" vertical="center" wrapText="1"/>
    </xf>
    <xf numFmtId="0" fontId="4" fillId="0" borderId="16" xfId="0" applyFont="1" applyBorder="1" applyAlignment="1">
      <alignment horizontal="left" vertical="center" wrapText="1"/>
    </xf>
    <xf numFmtId="0" fontId="3" fillId="2" borderId="16" xfId="0" applyFont="1" applyFill="1" applyBorder="1" applyAlignment="1">
      <alignment horizontal="center" vertical="center"/>
    </xf>
    <xf numFmtId="0" fontId="4" fillId="0" borderId="6" xfId="0" applyFont="1" applyBorder="1" applyAlignment="1">
      <alignment vertical="center"/>
    </xf>
    <xf numFmtId="0" fontId="3" fillId="2" borderId="4" xfId="0" applyFont="1" applyFill="1" applyBorder="1" applyAlignment="1">
      <alignment horizontal="center" vertical="center"/>
    </xf>
    <xf numFmtId="0" fontId="11" fillId="6" borderId="2" xfId="0" applyFont="1" applyFill="1" applyBorder="1" applyAlignment="1">
      <alignment vertical="center"/>
    </xf>
    <xf numFmtId="0" fontId="11" fillId="6" borderId="3" xfId="0" applyFont="1" applyFill="1" applyBorder="1" applyAlignment="1">
      <alignment vertical="center"/>
    </xf>
    <xf numFmtId="0" fontId="11" fillId="6" borderId="4" xfId="0" applyFont="1" applyFill="1" applyBorder="1" applyAlignment="1">
      <alignment vertical="center"/>
    </xf>
    <xf numFmtId="0" fontId="11" fillId="6" borderId="5" xfId="0" applyFont="1" applyFill="1" applyBorder="1" applyAlignment="1">
      <alignment vertical="center"/>
    </xf>
    <xf numFmtId="0" fontId="11" fillId="6" borderId="0" xfId="0" applyFont="1" applyFill="1" applyAlignment="1">
      <alignment vertical="center"/>
    </xf>
    <xf numFmtId="0" fontId="11" fillId="6" borderId="6" xfId="0" applyFont="1" applyFill="1" applyBorder="1" applyAlignment="1">
      <alignment vertical="center"/>
    </xf>
    <xf numFmtId="2" fontId="3" fillId="2" borderId="3" xfId="0" applyNumberFormat="1" applyFont="1" applyFill="1" applyBorder="1" applyAlignment="1">
      <alignment horizontal="center" vertical="center"/>
    </xf>
    <xf numFmtId="0" fontId="11" fillId="6" borderId="5" xfId="0" applyFont="1" applyFill="1" applyBorder="1" applyAlignment="1">
      <alignment horizontal="left" vertical="center"/>
    </xf>
    <xf numFmtId="0" fontId="11" fillId="6" borderId="0" xfId="0" applyFont="1" applyFill="1" applyAlignment="1">
      <alignment horizontal="left" vertical="center"/>
    </xf>
    <xf numFmtId="0" fontId="11" fillId="6" borderId="6" xfId="0" applyFont="1" applyFill="1" applyBorder="1" applyAlignment="1">
      <alignment horizontal="left" vertical="center"/>
    </xf>
    <xf numFmtId="0" fontId="4" fillId="0" borderId="5" xfId="0" applyFont="1" applyBorder="1" applyAlignment="1">
      <alignment vertical="center"/>
    </xf>
    <xf numFmtId="2" fontId="3" fillId="2" borderId="1" xfId="0" applyNumberFormat="1" applyFont="1" applyFill="1" applyBorder="1" applyAlignment="1">
      <alignment horizontal="center" vertical="center"/>
    </xf>
    <xf numFmtId="0" fontId="11" fillId="7" borderId="2" xfId="0" applyFont="1" applyFill="1" applyBorder="1" applyAlignment="1">
      <alignment horizontal="left" vertical="center"/>
    </xf>
    <xf numFmtId="0" fontId="11" fillId="7" borderId="3" xfId="0" applyFont="1" applyFill="1" applyBorder="1" applyAlignment="1">
      <alignment horizontal="left" vertical="center"/>
    </xf>
    <xf numFmtId="0" fontId="11" fillId="7" borderId="4" xfId="0" applyFont="1" applyFill="1" applyBorder="1" applyAlignment="1">
      <alignment horizontal="left" vertical="center"/>
    </xf>
    <xf numFmtId="0" fontId="4" fillId="0" borderId="15" xfId="0" applyFont="1" applyBorder="1" applyAlignment="1">
      <alignment horizontal="left" vertical="center"/>
    </xf>
    <xf numFmtId="0" fontId="4" fillId="0" borderId="16" xfId="0" applyFont="1" applyBorder="1" applyAlignment="1">
      <alignment horizontal="left" vertical="center"/>
    </xf>
    <xf numFmtId="0" fontId="0" fillId="0" borderId="16" xfId="0" applyBorder="1" applyAlignment="1">
      <alignment vertical="center"/>
    </xf>
    <xf numFmtId="0" fontId="0" fillId="0" borderId="17" xfId="0" applyBorder="1" applyAlignment="1">
      <alignment vertical="center"/>
    </xf>
    <xf numFmtId="0" fontId="4" fillId="0" borderId="22" xfId="0" applyFont="1" applyBorder="1" applyAlignment="1">
      <alignment horizontal="left" vertical="center"/>
    </xf>
    <xf numFmtId="0" fontId="4" fillId="0" borderId="23" xfId="0" applyFont="1" applyBorder="1" applyAlignment="1">
      <alignment horizontal="left" vertical="center"/>
    </xf>
    <xf numFmtId="0" fontId="3" fillId="2" borderId="23" xfId="0" applyFont="1" applyFill="1" applyBorder="1" applyAlignment="1">
      <alignment horizontal="center" vertical="center"/>
    </xf>
    <xf numFmtId="0" fontId="4" fillId="0" borderId="18" xfId="0" applyFont="1" applyBorder="1" applyAlignment="1">
      <alignment horizontal="left" vertical="center"/>
    </xf>
    <xf numFmtId="0" fontId="4" fillId="0" borderId="19" xfId="0" applyFont="1" applyBorder="1" applyAlignment="1">
      <alignment horizontal="left" vertical="center"/>
    </xf>
    <xf numFmtId="0" fontId="4" fillId="0" borderId="20" xfId="0" applyFont="1" applyBorder="1" applyAlignment="1">
      <alignment horizontal="left" vertical="center"/>
    </xf>
    <xf numFmtId="0" fontId="11" fillId="0" borderId="15" xfId="0" applyFont="1" applyBorder="1" applyAlignment="1">
      <alignment horizontal="left" vertical="center"/>
    </xf>
    <xf numFmtId="0" fontId="11" fillId="0" borderId="16" xfId="0" applyFont="1" applyBorder="1" applyAlignment="1">
      <alignment horizontal="left" vertical="center"/>
    </xf>
    <xf numFmtId="0" fontId="11" fillId="0" borderId="17" xfId="0" applyFont="1" applyBorder="1" applyAlignment="1">
      <alignment horizontal="left"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166" fontId="3" fillId="2" borderId="0" xfId="1" applyNumberFormat="1" applyFont="1" applyFill="1" applyBorder="1" applyAlignment="1">
      <alignment horizontal="center" vertical="center"/>
    </xf>
    <xf numFmtId="166" fontId="3" fillId="2" borderId="1" xfId="1" applyNumberFormat="1" applyFont="1" applyFill="1" applyBorder="1" applyAlignment="1">
      <alignment horizontal="center" vertical="center"/>
    </xf>
    <xf numFmtId="9" fontId="3" fillId="2" borderId="1" xfId="1" applyFont="1" applyFill="1" applyBorder="1" applyAlignment="1">
      <alignment horizontal="center" vertical="center"/>
    </xf>
    <xf numFmtId="0" fontId="18" fillId="0" borderId="2" xfId="0" applyFont="1" applyBorder="1" applyAlignment="1">
      <alignment horizontal="left" vertical="center"/>
    </xf>
    <xf numFmtId="0" fontId="18" fillId="0" borderId="3" xfId="0" applyFont="1" applyBorder="1" applyAlignment="1">
      <alignment horizontal="left" vertical="center"/>
    </xf>
    <xf numFmtId="0" fontId="18" fillId="0" borderId="4" xfId="0" applyFont="1" applyBorder="1" applyAlignment="1">
      <alignment horizontal="left"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1" fillId="0" borderId="6" xfId="0" applyFont="1" applyBorder="1" applyAlignment="1">
      <alignment horizontal="left" vertical="center"/>
    </xf>
    <xf numFmtId="166" fontId="3" fillId="4" borderId="1" xfId="1" applyNumberFormat="1" applyFont="1" applyFill="1" applyBorder="1" applyAlignment="1">
      <alignment horizontal="center" vertical="center"/>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166" fontId="3" fillId="4" borderId="3" xfId="1" applyNumberFormat="1" applyFont="1" applyFill="1" applyBorder="1" applyAlignment="1">
      <alignment horizontal="center" vertical="center"/>
    </xf>
    <xf numFmtId="166" fontId="3" fillId="2" borderId="1" xfId="0" applyNumberFormat="1" applyFont="1" applyFill="1" applyBorder="1" applyAlignment="1">
      <alignment horizontal="center" vertical="center"/>
    </xf>
    <xf numFmtId="0" fontId="4" fillId="0" borderId="4" xfId="0" applyFont="1" applyBorder="1" applyAlignment="1">
      <alignment horizontal="left" vertical="center" wrapText="1"/>
    </xf>
    <xf numFmtId="0" fontId="4" fillId="0" borderId="6" xfId="0" applyFont="1" applyBorder="1" applyAlignment="1">
      <alignment horizontal="left" vertical="center" wrapText="1"/>
    </xf>
    <xf numFmtId="0" fontId="4" fillId="0" borderId="7" xfId="0" applyFont="1" applyBorder="1" applyAlignment="1">
      <alignment horizontal="center" vertical="center" wrapText="1"/>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xf numFmtId="0" fontId="11" fillId="7" borderId="7" xfId="0" applyFont="1" applyFill="1" applyBorder="1" applyAlignment="1">
      <alignment horizontal="left" vertical="center"/>
    </xf>
    <xf numFmtId="0" fontId="11" fillId="7" borderId="1" xfId="0" applyFont="1" applyFill="1" applyBorder="1" applyAlignment="1">
      <alignment horizontal="left" vertical="center"/>
    </xf>
    <xf numFmtId="0" fontId="11" fillId="7" borderId="8" xfId="0" applyFont="1" applyFill="1" applyBorder="1" applyAlignment="1">
      <alignment horizontal="left" vertical="center"/>
    </xf>
    <xf numFmtId="165" fontId="4" fillId="0" borderId="0" xfId="0" applyNumberFormat="1" applyFont="1" applyAlignment="1">
      <alignment vertical="center"/>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4" xfId="0" applyFont="1" applyBorder="1" applyAlignment="1">
      <alignment vertical="center"/>
    </xf>
    <xf numFmtId="0" fontId="4" fillId="0" borderId="0" xfId="0" applyFont="1" applyAlignment="1">
      <alignment horizontal="right" vertical="center"/>
    </xf>
    <xf numFmtId="0" fontId="4" fillId="0" borderId="1" xfId="0" applyFont="1" applyBorder="1" applyAlignment="1">
      <alignment horizontal="right" vertical="center"/>
    </xf>
    <xf numFmtId="0" fontId="11" fillId="0" borderId="24" xfId="0" applyFont="1" applyBorder="1" applyAlignment="1">
      <alignment horizontal="center" vertical="center"/>
    </xf>
    <xf numFmtId="0" fontId="11" fillId="0" borderId="25" xfId="0" applyFont="1" applyBorder="1" applyAlignment="1">
      <alignment horizontal="center" vertical="center"/>
    </xf>
    <xf numFmtId="0" fontId="11" fillId="0" borderId="26" xfId="0" applyFont="1" applyBorder="1" applyAlignment="1">
      <alignment horizontal="center" vertical="center"/>
    </xf>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11" fillId="0" borderId="27" xfId="0" applyFon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18" fillId="0" borderId="15" xfId="0" applyFont="1" applyBorder="1" applyAlignment="1">
      <alignment horizontal="left" vertical="center"/>
    </xf>
    <xf numFmtId="0" fontId="18" fillId="0" borderId="16" xfId="0" applyFont="1" applyBorder="1" applyAlignment="1">
      <alignment horizontal="left" vertical="center"/>
    </xf>
    <xf numFmtId="0" fontId="18" fillId="0" borderId="17" xfId="0" applyFont="1" applyBorder="1" applyAlignment="1">
      <alignment horizontal="left"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18" fillId="0" borderId="5" xfId="0" applyFont="1" applyBorder="1" applyAlignment="1">
      <alignment horizontal="left" vertical="center"/>
    </xf>
    <xf numFmtId="0" fontId="18" fillId="0" borderId="0" xfId="0" applyFont="1" applyAlignment="1">
      <alignment horizontal="left" vertical="center"/>
    </xf>
    <xf numFmtId="0" fontId="18" fillId="0" borderId="6" xfId="0" applyFont="1" applyBorder="1" applyAlignment="1">
      <alignment horizontal="left" vertical="center"/>
    </xf>
    <xf numFmtId="0" fontId="18" fillId="0" borderId="7" xfId="0" applyFont="1" applyBorder="1" applyAlignment="1">
      <alignment horizontal="left" vertical="center"/>
    </xf>
    <xf numFmtId="0" fontId="18" fillId="0" borderId="1" xfId="0" applyFont="1" applyBorder="1" applyAlignment="1">
      <alignment horizontal="left" vertical="center"/>
    </xf>
    <xf numFmtId="0" fontId="18" fillId="0" borderId="8" xfId="0" applyFont="1" applyBorder="1" applyAlignment="1">
      <alignment horizontal="left" vertical="center"/>
    </xf>
    <xf numFmtId="0" fontId="3" fillId="4" borderId="8" xfId="0" applyFont="1" applyFill="1" applyBorder="1" applyAlignment="1">
      <alignment horizontal="center" vertical="center"/>
    </xf>
    <xf numFmtId="0" fontId="18" fillId="0" borderId="9" xfId="0" applyFont="1" applyBorder="1" applyAlignment="1">
      <alignment horizontal="left" vertical="center"/>
    </xf>
    <xf numFmtId="0" fontId="18" fillId="0" borderId="11" xfId="0" applyFont="1" applyBorder="1" applyAlignment="1">
      <alignment horizontal="left" vertical="center"/>
    </xf>
    <xf numFmtId="1" fontId="3" fillId="4" borderId="0" xfId="0" quotePrefix="1" applyNumberFormat="1" applyFont="1" applyFill="1" applyAlignment="1">
      <alignment horizontal="center" vertical="center"/>
    </xf>
    <xf numFmtId="0" fontId="4" fillId="0" borderId="1" xfId="0" applyFont="1" applyBorder="1" applyAlignment="1">
      <alignment horizontal="left" vertical="center" wrapText="1"/>
    </xf>
    <xf numFmtId="0" fontId="3" fillId="0" borderId="1" xfId="0" applyFont="1" applyBorder="1" applyAlignment="1">
      <alignment horizontal="center" vertical="center"/>
    </xf>
    <xf numFmtId="0" fontId="11" fillId="0" borderId="4" xfId="0" applyFont="1" applyBorder="1" applyAlignment="1">
      <alignment horizontal="left" vertical="center"/>
    </xf>
    <xf numFmtId="0" fontId="17" fillId="0" borderId="3" xfId="0" applyFont="1" applyBorder="1" applyAlignment="1">
      <alignment vertical="center"/>
    </xf>
    <xf numFmtId="0" fontId="17" fillId="0" borderId="0" xfId="0" applyFont="1" applyAlignment="1">
      <alignment vertical="center"/>
    </xf>
    <xf numFmtId="0" fontId="11" fillId="0" borderId="8" xfId="0" applyFont="1" applyBorder="1" applyAlignment="1">
      <alignment horizontal="left"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0" xfId="0" applyFont="1" applyFill="1" applyAlignment="1">
      <alignment horizontal="center" vertical="center"/>
    </xf>
    <xf numFmtId="0" fontId="4" fillId="3" borderId="6" xfId="0" applyFont="1" applyFill="1" applyBorder="1" applyAlignment="1">
      <alignment horizontal="center" vertical="center"/>
    </xf>
    <xf numFmtId="165" fontId="3" fillId="2" borderId="0" xfId="0" applyNumberFormat="1" applyFont="1" applyFill="1" applyAlignment="1">
      <alignment horizontal="center" vertical="center"/>
    </xf>
    <xf numFmtId="0" fontId="11" fillId="0" borderId="2" xfId="0" applyFont="1" applyBorder="1" applyAlignment="1">
      <alignment horizontal="center" vertical="center"/>
    </xf>
    <xf numFmtId="0" fontId="11" fillId="0" borderId="5" xfId="0" applyFont="1" applyBorder="1" applyAlignment="1">
      <alignment horizontal="center" vertical="center"/>
    </xf>
    <xf numFmtId="0" fontId="4" fillId="3" borderId="0" xfId="0" applyFont="1" applyFill="1" applyAlignment="1">
      <alignment horizontal="left" vertical="center"/>
    </xf>
    <xf numFmtId="0" fontId="4" fillId="0" borderId="5" xfId="0" applyFont="1" applyBorder="1" applyAlignment="1">
      <alignment horizontal="left" vertical="center"/>
    </xf>
    <xf numFmtId="0" fontId="3" fillId="0" borderId="0" xfId="0" applyFont="1" applyAlignment="1">
      <alignment horizontal="left" vertical="top"/>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8" xfId="0" applyFont="1" applyFill="1" applyBorder="1" applyAlignment="1">
      <alignment horizontal="center" vertical="center" wrapText="1"/>
    </xf>
    <xf numFmtId="165" fontId="3" fillId="2" borderId="1" xfId="0" applyNumberFormat="1" applyFont="1" applyFill="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9" fillId="0" borderId="1" xfId="5" applyFont="1" applyBorder="1" applyAlignment="1">
      <alignment horizontal="left" vertical="center"/>
    </xf>
    <xf numFmtId="0" fontId="9" fillId="0" borderId="1" xfId="5" applyFont="1" applyBorder="1" applyAlignment="1">
      <alignment horizontal="center" vertical="center"/>
    </xf>
    <xf numFmtId="0" fontId="16" fillId="0" borderId="2" xfId="0" applyFont="1" applyBorder="1" applyAlignment="1">
      <alignment horizontal="left" vertical="center"/>
    </xf>
    <xf numFmtId="0" fontId="16" fillId="0" borderId="3" xfId="0" applyFont="1" applyBorder="1" applyAlignment="1">
      <alignment horizontal="left" vertical="center"/>
    </xf>
    <xf numFmtId="0" fontId="16" fillId="0" borderId="4" xfId="0" applyFont="1" applyBorder="1" applyAlignment="1">
      <alignment horizontal="left" vertical="center"/>
    </xf>
    <xf numFmtId="0" fontId="16" fillId="8" borderId="2" xfId="0" applyFont="1" applyFill="1" applyBorder="1" applyAlignment="1">
      <alignment horizontal="left" vertical="center"/>
    </xf>
    <xf numFmtId="0" fontId="16" fillId="8" borderId="3" xfId="0" applyFont="1" applyFill="1" applyBorder="1" applyAlignment="1">
      <alignment horizontal="left" vertical="center"/>
    </xf>
    <xf numFmtId="0" fontId="16" fillId="8" borderId="4" xfId="0" applyFont="1" applyFill="1" applyBorder="1" applyAlignment="1">
      <alignment horizontal="left" vertical="center"/>
    </xf>
    <xf numFmtId="0" fontId="3" fillId="8" borderId="5" xfId="0" applyFont="1" applyFill="1" applyBorder="1" applyAlignment="1">
      <alignment horizontal="left" vertical="top" wrapText="1"/>
    </xf>
    <xf numFmtId="0" fontId="3" fillId="8" borderId="0" xfId="0" applyFont="1" applyFill="1" applyAlignment="1">
      <alignment horizontal="left" vertical="top" wrapText="1"/>
    </xf>
    <xf numFmtId="0" fontId="3" fillId="8" borderId="6" xfId="0" applyFont="1" applyFill="1" applyBorder="1" applyAlignment="1">
      <alignment horizontal="left" vertical="top" wrapText="1"/>
    </xf>
    <xf numFmtId="0" fontId="3" fillId="8" borderId="7" xfId="0" applyFont="1" applyFill="1" applyBorder="1" applyAlignment="1">
      <alignment horizontal="left" vertical="top" wrapText="1"/>
    </xf>
    <xf numFmtId="0" fontId="3" fillId="8" borderId="1" xfId="0" applyFont="1" applyFill="1" applyBorder="1" applyAlignment="1">
      <alignment horizontal="left" vertical="top" wrapText="1"/>
    </xf>
    <xf numFmtId="0" fontId="3" fillId="8" borderId="8" xfId="0" applyFont="1" applyFill="1" applyBorder="1" applyAlignment="1">
      <alignment horizontal="left" vertical="top" wrapText="1"/>
    </xf>
    <xf numFmtId="0" fontId="11" fillId="0" borderId="28" xfId="0" applyFont="1" applyBorder="1" applyAlignment="1">
      <alignment horizontal="left" vertical="center"/>
    </xf>
    <xf numFmtId="0" fontId="11" fillId="0" borderId="29" xfId="0" applyFont="1" applyBorder="1" applyAlignment="1">
      <alignment horizontal="left" vertical="center"/>
    </xf>
    <xf numFmtId="0" fontId="11" fillId="0" borderId="30" xfId="0" applyFont="1" applyBorder="1" applyAlignment="1">
      <alignment horizontal="left" vertical="center"/>
    </xf>
    <xf numFmtId="0" fontId="11" fillId="0" borderId="31" xfId="0" applyFont="1" applyBorder="1" applyAlignment="1">
      <alignment horizontal="left" vertical="center"/>
    </xf>
    <xf numFmtId="0" fontId="0" fillId="0" borderId="29" xfId="0" applyBorder="1" applyAlignment="1">
      <alignment vertical="center"/>
    </xf>
    <xf numFmtId="0" fontId="0" fillId="0" borderId="30" xfId="0" applyBorder="1" applyAlignment="1">
      <alignment vertical="center"/>
    </xf>
    <xf numFmtId="0" fontId="4" fillId="0" borderId="31" xfId="0" applyFont="1" applyBorder="1" applyAlignment="1">
      <alignment horizontal="center" vertical="center"/>
    </xf>
    <xf numFmtId="0" fontId="4" fillId="0" borderId="29" xfId="0" applyFont="1" applyBorder="1" applyAlignment="1">
      <alignment horizontal="center" vertical="center"/>
    </xf>
    <xf numFmtId="0" fontId="4" fillId="0" borderId="32" xfId="0" applyFont="1" applyBorder="1" applyAlignment="1">
      <alignment horizontal="center" vertical="center"/>
    </xf>
    <xf numFmtId="0" fontId="11" fillId="0" borderId="33" xfId="0" applyFont="1" applyBorder="1" applyAlignment="1">
      <alignment horizontal="left" vertical="center"/>
    </xf>
    <xf numFmtId="0" fontId="4" fillId="0" borderId="34" xfId="0" applyFont="1" applyBorder="1" applyAlignment="1">
      <alignment horizontal="center" vertical="center"/>
    </xf>
    <xf numFmtId="0" fontId="18" fillId="0" borderId="35" xfId="0" applyFont="1" applyBorder="1" applyAlignment="1">
      <alignment horizontal="center" vertical="center"/>
    </xf>
    <xf numFmtId="0" fontId="18" fillId="0" borderId="3" xfId="0" applyFont="1" applyBorder="1" applyAlignment="1">
      <alignment horizontal="center" vertical="center"/>
    </xf>
    <xf numFmtId="0" fontId="18" fillId="0" borderId="4" xfId="0" applyFont="1" applyBorder="1" applyAlignment="1">
      <alignment horizontal="center" vertical="center"/>
    </xf>
    <xf numFmtId="0" fontId="11" fillId="0" borderId="2" xfId="0" applyFont="1" applyBorder="1" applyAlignment="1">
      <alignment horizontal="left" vertical="center"/>
    </xf>
    <xf numFmtId="0" fontId="4" fillId="0" borderId="3" xfId="0" applyFont="1" applyBorder="1" applyAlignment="1">
      <alignment horizontal="left" vertical="center"/>
    </xf>
    <xf numFmtId="0" fontId="3" fillId="4" borderId="21" xfId="0" applyFont="1" applyFill="1" applyBorder="1" applyAlignment="1">
      <alignment horizontal="center" vertical="center"/>
    </xf>
    <xf numFmtId="0" fontId="4" fillId="0" borderId="36" xfId="0" applyFont="1" applyBorder="1" applyAlignment="1">
      <alignment horizontal="center" vertical="center"/>
    </xf>
    <xf numFmtId="0" fontId="18" fillId="0" borderId="37" xfId="0" applyFont="1" applyBorder="1" applyAlignment="1">
      <alignment horizontal="center" vertical="center"/>
    </xf>
    <xf numFmtId="0" fontId="18" fillId="0" borderId="0" xfId="0" applyFont="1" applyAlignment="1">
      <alignment horizontal="center" vertical="center"/>
    </xf>
    <xf numFmtId="0" fontId="18" fillId="0" borderId="6" xfId="0" applyFont="1" applyBorder="1" applyAlignment="1">
      <alignment horizontal="center" vertical="center"/>
    </xf>
    <xf numFmtId="0" fontId="4" fillId="0" borderId="0" xfId="0" applyFont="1" applyAlignment="1">
      <alignment horizontal="left" vertical="center"/>
    </xf>
    <xf numFmtId="0" fontId="3" fillId="0" borderId="0" xfId="0" applyFont="1" applyAlignment="1">
      <alignment horizontal="center" vertical="center"/>
    </xf>
    <xf numFmtId="0" fontId="3" fillId="0" borderId="6" xfId="0" applyFont="1" applyBorder="1" applyAlignment="1">
      <alignment horizontal="center" vertical="center"/>
    </xf>
    <xf numFmtId="0" fontId="4" fillId="0" borderId="38" xfId="0" applyFont="1" applyBorder="1" applyAlignment="1">
      <alignment horizontal="center" vertical="center"/>
    </xf>
    <xf numFmtId="3" fontId="3" fillId="4" borderId="21" xfId="0" applyNumberFormat="1" applyFont="1" applyFill="1" applyBorder="1" applyAlignment="1">
      <alignment horizontal="center" vertical="center"/>
    </xf>
    <xf numFmtId="0" fontId="4" fillId="0" borderId="39" xfId="0" applyFont="1" applyBorder="1" applyAlignment="1">
      <alignment horizontal="center" vertical="center"/>
    </xf>
    <xf numFmtId="1" fontId="3" fillId="4" borderId="21" xfId="0" applyNumberFormat="1" applyFont="1" applyFill="1" applyBorder="1" applyAlignment="1">
      <alignment horizontal="center" vertical="center"/>
    </xf>
    <xf numFmtId="0" fontId="18" fillId="0" borderId="33" xfId="0" applyFont="1" applyBorder="1" applyAlignment="1">
      <alignment horizontal="center" vertical="center"/>
    </xf>
    <xf numFmtId="0" fontId="18" fillId="0" borderId="1" xfId="0" applyFont="1" applyBorder="1" applyAlignment="1">
      <alignment horizontal="center" vertical="center"/>
    </xf>
    <xf numFmtId="0" fontId="18" fillId="0" borderId="8" xfId="0" applyFont="1" applyBorder="1" applyAlignment="1">
      <alignment horizontal="center" vertical="center"/>
    </xf>
    <xf numFmtId="3" fontId="3" fillId="4" borderId="40" xfId="0" applyNumberFormat="1" applyFont="1" applyFill="1" applyBorder="1" applyAlignment="1">
      <alignment horizontal="center" vertical="center"/>
    </xf>
    <xf numFmtId="3" fontId="3" fillId="0" borderId="3" xfId="0" applyNumberFormat="1" applyFont="1" applyBorder="1" applyAlignment="1">
      <alignment horizontal="center" vertical="center"/>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7" xfId="0" applyFont="1" applyFill="1" applyBorder="1" applyAlignment="1">
      <alignment horizontal="center" vertical="center"/>
    </xf>
    <xf numFmtId="0" fontId="0" fillId="0" borderId="0" xfId="0" applyAlignment="1">
      <alignment horizontal="left" vertical="center" wrapText="1"/>
    </xf>
    <xf numFmtId="0" fontId="11" fillId="0" borderId="7" xfId="0" applyFont="1" applyBorder="1" applyAlignment="1">
      <alignment vertical="center"/>
    </xf>
    <xf numFmtId="0" fontId="18" fillId="0" borderId="35" xfId="0" applyFont="1" applyBorder="1" applyAlignment="1">
      <alignment vertical="center"/>
    </xf>
    <xf numFmtId="0" fontId="18" fillId="0" borderId="3" xfId="0" applyFont="1" applyBorder="1" applyAlignment="1">
      <alignment vertical="center"/>
    </xf>
    <xf numFmtId="0" fontId="18" fillId="0" borderId="2" xfId="0" applyFont="1" applyBorder="1" applyAlignment="1">
      <alignment horizontal="center" vertical="center"/>
    </xf>
    <xf numFmtId="0" fontId="18" fillId="0" borderId="5" xfId="0" applyFont="1" applyBorder="1" applyAlignment="1">
      <alignment horizontal="center" vertical="center"/>
    </xf>
    <xf numFmtId="0" fontId="18" fillId="0" borderId="7" xfId="0" applyFont="1" applyBorder="1" applyAlignment="1">
      <alignment horizontal="center" vertical="center"/>
    </xf>
    <xf numFmtId="0" fontId="4" fillId="0" borderId="0" xfId="0" applyFont="1" applyAlignment="1">
      <alignment horizontal="left" vertical="center" wrapText="1"/>
    </xf>
    <xf numFmtId="0" fontId="3" fillId="4" borderId="41" xfId="0" applyFont="1" applyFill="1" applyBorder="1" applyAlignment="1">
      <alignment horizontal="center" vertical="center"/>
    </xf>
    <xf numFmtId="0" fontId="11" fillId="3" borderId="28" xfId="0" applyFont="1" applyFill="1" applyBorder="1" applyAlignment="1">
      <alignment horizontal="left" vertical="center"/>
    </xf>
    <xf numFmtId="0" fontId="11" fillId="3" borderId="29" xfId="0" applyFont="1" applyFill="1" applyBorder="1" applyAlignment="1">
      <alignment horizontal="left" vertical="center"/>
    </xf>
    <xf numFmtId="0" fontId="11" fillId="3" borderId="30" xfId="0" applyFont="1" applyFill="1" applyBorder="1" applyAlignment="1">
      <alignment horizontal="left" vertical="center"/>
    </xf>
    <xf numFmtId="0" fontId="11" fillId="0" borderId="31" xfId="0" applyFont="1" applyBorder="1" applyAlignment="1">
      <alignment vertical="center"/>
    </xf>
    <xf numFmtId="0" fontId="11" fillId="3" borderId="33" xfId="0" applyFont="1" applyFill="1" applyBorder="1" applyAlignment="1">
      <alignment horizontal="left" vertical="center"/>
    </xf>
    <xf numFmtId="0" fontId="18" fillId="3" borderId="3" xfId="0" applyFont="1" applyFill="1" applyBorder="1" applyAlignment="1">
      <alignment horizontal="center" vertical="center"/>
    </xf>
    <xf numFmtId="0" fontId="18" fillId="3" borderId="4" xfId="0" applyFont="1" applyFill="1" applyBorder="1" applyAlignment="1">
      <alignment horizontal="center" vertical="center"/>
    </xf>
    <xf numFmtId="0" fontId="18" fillId="3" borderId="0" xfId="0" applyFont="1" applyFill="1" applyAlignment="1">
      <alignment horizontal="center" vertical="center"/>
    </xf>
    <xf numFmtId="0" fontId="18" fillId="3" borderId="6" xfId="0" applyFont="1" applyFill="1" applyBorder="1" applyAlignment="1">
      <alignment horizontal="center" vertical="center"/>
    </xf>
    <xf numFmtId="3" fontId="3" fillId="4" borderId="0" xfId="0" applyNumberFormat="1" applyFont="1" applyFill="1" applyAlignment="1">
      <alignment horizontal="center" vertical="center"/>
    </xf>
    <xf numFmtId="2" fontId="3" fillId="4" borderId="0" xfId="0" applyNumberFormat="1" applyFont="1" applyFill="1" applyAlignment="1">
      <alignment horizontal="center" vertical="center"/>
    </xf>
    <xf numFmtId="2" fontId="3" fillId="0" borderId="0" xfId="0" applyNumberFormat="1" applyFont="1" applyAlignment="1">
      <alignment horizontal="center" vertical="center"/>
    </xf>
    <xf numFmtId="0" fontId="18" fillId="3" borderId="1" xfId="0" applyFont="1" applyFill="1" applyBorder="1" applyAlignment="1">
      <alignment horizontal="center" vertical="center"/>
    </xf>
    <xf numFmtId="0" fontId="18" fillId="3" borderId="8" xfId="0" applyFont="1" applyFill="1" applyBorder="1" applyAlignment="1">
      <alignment horizontal="center" vertical="center"/>
    </xf>
    <xf numFmtId="3" fontId="3" fillId="4" borderId="1" xfId="0" applyNumberFormat="1" applyFont="1" applyFill="1" applyBorder="1" applyAlignment="1">
      <alignment horizontal="center" vertical="center"/>
    </xf>
    <xf numFmtId="0" fontId="18" fillId="3" borderId="0" xfId="0" applyFont="1" applyFill="1" applyAlignment="1">
      <alignment horizontal="center" vertical="center"/>
    </xf>
    <xf numFmtId="0" fontId="18" fillId="3" borderId="6" xfId="0" applyFont="1" applyFill="1" applyBorder="1" applyAlignment="1">
      <alignment horizontal="center" vertical="center"/>
    </xf>
    <xf numFmtId="3" fontId="3" fillId="0" borderId="0" xfId="0" applyNumberFormat="1" applyFont="1" applyAlignment="1">
      <alignment horizontal="center" vertical="center"/>
    </xf>
    <xf numFmtId="0" fontId="4" fillId="0" borderId="5" xfId="0" applyFont="1" applyBorder="1" applyAlignment="1">
      <alignment horizontal="center" vertical="center"/>
    </xf>
    <xf numFmtId="0" fontId="18" fillId="3" borderId="2" xfId="0" applyFont="1" applyFill="1" applyBorder="1" applyAlignment="1">
      <alignment horizontal="center" vertical="center"/>
    </xf>
    <xf numFmtId="0" fontId="18" fillId="3" borderId="5" xfId="0" applyFont="1" applyFill="1" applyBorder="1" applyAlignment="1">
      <alignment horizontal="center" vertical="center"/>
    </xf>
    <xf numFmtId="0" fontId="0" fillId="0" borderId="0" xfId="0" applyAlignment="1">
      <alignment horizontal="right" vertical="center"/>
    </xf>
    <xf numFmtId="0" fontId="18" fillId="3" borderId="7" xfId="0" applyFont="1" applyFill="1" applyBorder="1" applyAlignment="1">
      <alignment horizontal="center" vertical="center"/>
    </xf>
    <xf numFmtId="0" fontId="0" fillId="0" borderId="1" xfId="0" applyBorder="1" applyAlignment="1">
      <alignment horizontal="right" vertical="center"/>
    </xf>
    <xf numFmtId="0" fontId="4" fillId="0" borderId="0" xfId="0" applyFont="1" applyAlignment="1">
      <alignment horizontal="right" vertical="center" wrapText="1"/>
    </xf>
    <xf numFmtId="0" fontId="18" fillId="3" borderId="35" xfId="0" applyFont="1" applyFill="1" applyBorder="1" applyAlignment="1">
      <alignment horizontal="center" vertical="center"/>
    </xf>
    <xf numFmtId="0" fontId="18" fillId="3" borderId="37" xfId="0" applyFont="1" applyFill="1" applyBorder="1" applyAlignment="1">
      <alignment horizontal="center" vertical="center"/>
    </xf>
    <xf numFmtId="0" fontId="18" fillId="3" borderId="42" xfId="0" applyFont="1" applyFill="1" applyBorder="1" applyAlignment="1">
      <alignment horizontal="center" vertical="center"/>
    </xf>
    <xf numFmtId="0" fontId="18" fillId="3" borderId="43" xfId="0" applyFont="1" applyFill="1" applyBorder="1" applyAlignment="1">
      <alignment horizontal="center" vertical="center"/>
    </xf>
    <xf numFmtId="0" fontId="18" fillId="3" borderId="44" xfId="0" applyFont="1" applyFill="1" applyBorder="1" applyAlignment="1">
      <alignment horizontal="center" vertical="center"/>
    </xf>
    <xf numFmtId="0" fontId="11" fillId="0" borderId="43" xfId="0" applyFont="1" applyBorder="1" applyAlignment="1">
      <alignment vertical="center"/>
    </xf>
    <xf numFmtId="0" fontId="0" fillId="0" borderId="43" xfId="0" applyBorder="1" applyAlignment="1">
      <alignment vertical="center"/>
    </xf>
    <xf numFmtId="0" fontId="11" fillId="0" borderId="35" xfId="0" applyFont="1" applyBorder="1" applyAlignment="1">
      <alignment horizontal="center" vertical="center"/>
    </xf>
    <xf numFmtId="0" fontId="11" fillId="0" borderId="33" xfId="0" applyFont="1" applyBorder="1" applyAlignment="1">
      <alignment horizontal="center" vertical="center"/>
    </xf>
    <xf numFmtId="0" fontId="11" fillId="0" borderId="45" xfId="0" applyFont="1" applyBorder="1" applyAlignment="1">
      <alignment horizontal="center" vertical="center"/>
    </xf>
    <xf numFmtId="0" fontId="11" fillId="7" borderId="35" xfId="0" applyFont="1" applyFill="1" applyBorder="1" applyAlignment="1">
      <alignment horizontal="center" vertical="center"/>
    </xf>
    <xf numFmtId="0" fontId="11" fillId="7" borderId="3" xfId="0" applyFont="1" applyFill="1" applyBorder="1" applyAlignment="1">
      <alignment horizontal="center" vertical="center"/>
    </xf>
    <xf numFmtId="0" fontId="11" fillId="7" borderId="4" xfId="0" applyFont="1" applyFill="1" applyBorder="1" applyAlignment="1">
      <alignment horizontal="center" vertical="center"/>
    </xf>
    <xf numFmtId="0" fontId="4" fillId="0" borderId="0" xfId="0" applyFont="1" applyAlignment="1">
      <alignment vertical="center"/>
    </xf>
    <xf numFmtId="0" fontId="3" fillId="2" borderId="10" xfId="0" applyFont="1" applyFill="1" applyBorder="1" applyAlignment="1">
      <alignment horizontal="center" vertical="center"/>
    </xf>
    <xf numFmtId="0" fontId="3" fillId="4" borderId="40" xfId="0" applyFont="1" applyFill="1" applyBorder="1" applyAlignment="1">
      <alignment horizontal="center" vertical="center"/>
    </xf>
    <xf numFmtId="0" fontId="18" fillId="0" borderId="37" xfId="0" applyFont="1" applyBorder="1" applyAlignment="1">
      <alignment horizontal="left" vertical="center"/>
    </xf>
    <xf numFmtId="3" fontId="3" fillId="4" borderId="10" xfId="0" applyNumberFormat="1" applyFont="1" applyFill="1" applyBorder="1" applyAlignment="1">
      <alignment horizontal="center" vertical="center"/>
    </xf>
    <xf numFmtId="3" fontId="3" fillId="4" borderId="9" xfId="0" applyNumberFormat="1" applyFont="1" applyFill="1" applyBorder="1" applyAlignment="1">
      <alignment horizontal="center" vertical="center"/>
    </xf>
    <xf numFmtId="3" fontId="3" fillId="4" borderId="11" xfId="0" applyNumberFormat="1" applyFont="1" applyFill="1" applyBorder="1" applyAlignment="1">
      <alignment horizontal="center" vertical="center"/>
    </xf>
    <xf numFmtId="1" fontId="3" fillId="4" borderId="2" xfId="0" applyNumberFormat="1" applyFont="1" applyFill="1" applyBorder="1" applyAlignment="1">
      <alignment horizontal="center" vertical="center"/>
    </xf>
    <xf numFmtId="1" fontId="3" fillId="4" borderId="3" xfId="0" applyNumberFormat="1" applyFont="1" applyFill="1" applyBorder="1" applyAlignment="1">
      <alignment horizontal="center" vertical="center"/>
    </xf>
    <xf numFmtId="1" fontId="3" fillId="4" borderId="4" xfId="0" applyNumberFormat="1" applyFont="1" applyFill="1" applyBorder="1" applyAlignment="1">
      <alignment horizontal="center" vertical="center"/>
    </xf>
    <xf numFmtId="0" fontId="18" fillId="0" borderId="33" xfId="0" applyFont="1" applyBorder="1" applyAlignment="1">
      <alignment horizontal="left" vertical="center"/>
    </xf>
    <xf numFmtId="3" fontId="3" fillId="4" borderId="2" xfId="0" applyNumberFormat="1" applyFont="1" applyFill="1" applyBorder="1" applyAlignment="1">
      <alignment horizontal="center" vertical="center"/>
    </xf>
    <xf numFmtId="3" fontId="3" fillId="4" borderId="3" xfId="0" applyNumberFormat="1" applyFont="1" applyFill="1" applyBorder="1" applyAlignment="1">
      <alignment horizontal="center" vertical="center"/>
    </xf>
    <xf numFmtId="3" fontId="3" fillId="4" borderId="4" xfId="0" applyNumberFormat="1" applyFont="1" applyFill="1" applyBorder="1" applyAlignment="1">
      <alignment horizontal="center" vertical="center"/>
    </xf>
    <xf numFmtId="0" fontId="18" fillId="0" borderId="35" xfId="0" applyFont="1" applyBorder="1" applyAlignment="1">
      <alignment horizontal="left" vertical="center"/>
    </xf>
    <xf numFmtId="0" fontId="3" fillId="0" borderId="8" xfId="0" applyFont="1" applyBorder="1" applyAlignment="1">
      <alignment horizontal="center" vertical="center"/>
    </xf>
    <xf numFmtId="0" fontId="18" fillId="3" borderId="35" xfId="0" applyFont="1" applyFill="1" applyBorder="1" applyAlignment="1">
      <alignment horizontal="left" vertical="center"/>
    </xf>
    <xf numFmtId="0" fontId="18" fillId="3" borderId="3" xfId="0" applyFont="1" applyFill="1" applyBorder="1" applyAlignment="1">
      <alignment horizontal="left" vertical="center"/>
    </xf>
    <xf numFmtId="0" fontId="18" fillId="3" borderId="4" xfId="0" applyFont="1" applyFill="1" applyBorder="1" applyAlignment="1">
      <alignment horizontal="left" vertical="center"/>
    </xf>
    <xf numFmtId="0" fontId="18" fillId="3" borderId="37" xfId="0" applyFont="1" applyFill="1" applyBorder="1" applyAlignment="1">
      <alignment horizontal="left" vertical="center"/>
    </xf>
    <xf numFmtId="0" fontId="18" fillId="3" borderId="0" xfId="0" applyFont="1" applyFill="1" applyAlignment="1">
      <alignment horizontal="left" vertical="center"/>
    </xf>
    <xf numFmtId="0" fontId="18" fillId="3" borderId="6" xfId="0" applyFont="1" applyFill="1" applyBorder="1" applyAlignment="1">
      <alignment horizontal="left" vertical="center"/>
    </xf>
    <xf numFmtId="0" fontId="18" fillId="3" borderId="33" xfId="0" applyFont="1" applyFill="1" applyBorder="1" applyAlignment="1">
      <alignment horizontal="left" vertical="center"/>
    </xf>
    <xf numFmtId="0" fontId="18" fillId="3" borderId="1" xfId="0" applyFont="1" applyFill="1" applyBorder="1" applyAlignment="1">
      <alignment horizontal="left" vertical="center"/>
    </xf>
    <xf numFmtId="0" fontId="18" fillId="3" borderId="8" xfId="0" applyFont="1" applyFill="1" applyBorder="1" applyAlignment="1">
      <alignment horizontal="left" vertical="center"/>
    </xf>
    <xf numFmtId="0" fontId="11" fillId="0" borderId="46" xfId="0" applyFont="1" applyBorder="1" applyAlignment="1">
      <alignment vertical="center"/>
    </xf>
    <xf numFmtId="0" fontId="4" fillId="0" borderId="43" xfId="0" applyFont="1" applyBorder="1" applyAlignment="1">
      <alignment horizontal="left" vertical="center"/>
    </xf>
    <xf numFmtId="0" fontId="0" fillId="0" borderId="43" xfId="0" applyBorder="1" applyAlignment="1">
      <alignment horizontal="right" vertical="center"/>
    </xf>
    <xf numFmtId="0" fontId="4" fillId="0" borderId="46" xfId="0" applyFont="1" applyBorder="1" applyAlignment="1">
      <alignment horizontal="center" vertical="center"/>
    </xf>
    <xf numFmtId="0" fontId="4" fillId="0" borderId="43" xfId="0" applyFont="1" applyBorder="1" applyAlignment="1">
      <alignment horizontal="center" vertical="center"/>
    </xf>
    <xf numFmtId="0" fontId="4" fillId="0" borderId="47" xfId="0" applyFont="1" applyBorder="1" applyAlignment="1">
      <alignment horizontal="center" vertical="center"/>
    </xf>
    <xf numFmtId="0" fontId="18" fillId="0" borderId="21" xfId="0" applyFont="1" applyBorder="1" applyAlignment="1">
      <alignment horizontal="center" vertical="center"/>
    </xf>
    <xf numFmtId="0" fontId="18" fillId="0" borderId="21" xfId="0" applyFont="1" applyBorder="1" applyAlignment="1">
      <alignment horizontal="left" vertical="center"/>
    </xf>
    <xf numFmtId="3" fontId="3" fillId="0" borderId="0" xfId="0" applyNumberFormat="1" applyFont="1" applyAlignment="1">
      <alignment vertical="center"/>
    </xf>
    <xf numFmtId="0" fontId="11" fillId="0" borderId="37" xfId="0" applyFont="1" applyBorder="1" applyAlignment="1">
      <alignment horizontal="left" vertical="center"/>
    </xf>
    <xf numFmtId="0" fontId="11" fillId="7" borderId="45" xfId="0" applyFont="1" applyFill="1" applyBorder="1" applyAlignment="1">
      <alignment horizontal="center" vertical="center"/>
    </xf>
    <xf numFmtId="0" fontId="11" fillId="7" borderId="9" xfId="0" applyFont="1" applyFill="1" applyBorder="1" applyAlignment="1">
      <alignment horizontal="center" vertical="center"/>
    </xf>
    <xf numFmtId="0" fontId="11" fillId="7" borderId="48" xfId="0" applyFont="1" applyFill="1" applyBorder="1" applyAlignment="1">
      <alignment horizontal="center" vertical="center"/>
    </xf>
    <xf numFmtId="0" fontId="11" fillId="7" borderId="49" xfId="0" applyFont="1" applyFill="1" applyBorder="1" applyAlignment="1">
      <alignment horizontal="center" vertical="center"/>
    </xf>
    <xf numFmtId="0" fontId="3" fillId="4" borderId="43" xfId="0" applyFont="1" applyFill="1" applyBorder="1" applyAlignment="1">
      <alignment horizontal="center" vertical="center"/>
    </xf>
    <xf numFmtId="0" fontId="0" fillId="0" borderId="49" xfId="0" applyBorder="1" applyAlignment="1">
      <alignment vertical="center"/>
    </xf>
    <xf numFmtId="0" fontId="0" fillId="0" borderId="50" xfId="0" applyBorder="1" applyAlignment="1">
      <alignment vertical="center"/>
    </xf>
    <xf numFmtId="0" fontId="4" fillId="0" borderId="51" xfId="0" applyFont="1" applyBorder="1" applyAlignment="1">
      <alignment horizontal="center" vertical="center"/>
    </xf>
    <xf numFmtId="0" fontId="4" fillId="0" borderId="49" xfId="0" applyFont="1" applyBorder="1" applyAlignment="1">
      <alignment horizontal="center" vertical="center"/>
    </xf>
    <xf numFmtId="0" fontId="4" fillId="0" borderId="52" xfId="0" applyFont="1" applyBorder="1" applyAlignment="1">
      <alignment horizontal="center" vertical="center"/>
    </xf>
    <xf numFmtId="0" fontId="3" fillId="0" borderId="2" xfId="0" applyFont="1" applyBorder="1" applyAlignment="1">
      <alignment horizontal="center" vertical="top"/>
    </xf>
    <xf numFmtId="0" fontId="3" fillId="0" borderId="3" xfId="0" applyFont="1" applyBorder="1" applyAlignment="1">
      <alignment horizontal="center" vertical="top"/>
    </xf>
    <xf numFmtId="0" fontId="3" fillId="0" borderId="4" xfId="0" applyFont="1" applyBorder="1" applyAlignment="1">
      <alignment horizontal="center" vertical="top"/>
    </xf>
    <xf numFmtId="0" fontId="3" fillId="0" borderId="5" xfId="0" applyFont="1" applyBorder="1" applyAlignment="1">
      <alignment horizontal="center" vertical="top"/>
    </xf>
    <xf numFmtId="0" fontId="3" fillId="0" borderId="0" xfId="0" applyFont="1" applyAlignment="1">
      <alignment horizontal="center" vertical="top"/>
    </xf>
    <xf numFmtId="0" fontId="3" fillId="0" borderId="6" xfId="0" applyFont="1" applyBorder="1" applyAlignment="1">
      <alignment horizontal="center" vertical="top"/>
    </xf>
    <xf numFmtId="0" fontId="3" fillId="0" borderId="7" xfId="0" applyFont="1" applyBorder="1" applyAlignment="1">
      <alignment horizontal="center" vertical="top"/>
    </xf>
    <xf numFmtId="0" fontId="3" fillId="0" borderId="1" xfId="0" applyFont="1" applyBorder="1" applyAlignment="1">
      <alignment horizontal="center" vertical="top"/>
    </xf>
    <xf numFmtId="0" fontId="3" fillId="0" borderId="8" xfId="0" applyFont="1" applyBorder="1" applyAlignment="1">
      <alignment horizontal="center" vertical="top"/>
    </xf>
    <xf numFmtId="1" fontId="3" fillId="0" borderId="3" xfId="0" applyNumberFormat="1" applyFont="1" applyBorder="1" applyAlignment="1">
      <alignment vertical="center"/>
    </xf>
    <xf numFmtId="1" fontId="3" fillId="2" borderId="0" xfId="0" applyNumberFormat="1" applyFont="1" applyFill="1" applyAlignment="1">
      <alignment horizontal="center" vertical="center"/>
    </xf>
    <xf numFmtId="1" fontId="3" fillId="4" borderId="1" xfId="0" applyNumberFormat="1" applyFont="1" applyFill="1" applyBorder="1" applyAlignment="1">
      <alignment horizontal="center" vertical="center"/>
    </xf>
    <xf numFmtId="0" fontId="0" fillId="3" borderId="10" xfId="0" applyFill="1" applyBorder="1" applyAlignment="1">
      <alignment vertical="center"/>
    </xf>
    <xf numFmtId="0" fontId="4" fillId="3" borderId="9" xfId="0" applyFont="1" applyFill="1" applyBorder="1" applyAlignment="1">
      <alignment horizontal="left" vertical="center"/>
    </xf>
    <xf numFmtId="1" fontId="3" fillId="3" borderId="9" xfId="0" applyNumberFormat="1" applyFont="1" applyFill="1" applyBorder="1" applyAlignment="1">
      <alignment horizontal="center" vertical="center"/>
    </xf>
    <xf numFmtId="0" fontId="4" fillId="3" borderId="11" xfId="0" applyFont="1" applyFill="1" applyBorder="1" applyAlignment="1">
      <alignment vertical="center"/>
    </xf>
    <xf numFmtId="0" fontId="4" fillId="3" borderId="10"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1" xfId="0" applyFont="1" applyFill="1" applyBorder="1" applyAlignment="1">
      <alignment horizontal="center" vertical="center"/>
    </xf>
    <xf numFmtId="1" fontId="3" fillId="2" borderId="9" xfId="0" applyNumberFormat="1" applyFont="1" applyFill="1" applyBorder="1" applyAlignment="1">
      <alignment horizontal="center" vertical="center"/>
    </xf>
    <xf numFmtId="0" fontId="11" fillId="6" borderId="15" xfId="0" applyFont="1" applyFill="1" applyBorder="1" applyAlignment="1">
      <alignment horizontal="left" vertical="center"/>
    </xf>
    <xf numFmtId="0" fontId="11" fillId="6" borderId="16" xfId="0" applyFont="1" applyFill="1" applyBorder="1" applyAlignment="1">
      <alignment horizontal="left" vertical="center"/>
    </xf>
    <xf numFmtId="0" fontId="11" fillId="6" borderId="17" xfId="0" applyFont="1" applyFill="1" applyBorder="1" applyAlignment="1">
      <alignment horizontal="left" vertical="center"/>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1" fontId="3" fillId="2" borderId="1" xfId="0" applyNumberFormat="1" applyFont="1" applyFill="1" applyBorder="1" applyAlignment="1">
      <alignment horizontal="center" vertical="center"/>
    </xf>
    <xf numFmtId="0" fontId="11" fillId="7" borderId="2" xfId="0" applyFont="1" applyFill="1" applyBorder="1" applyAlignment="1">
      <alignment horizontal="center" vertical="center"/>
    </xf>
    <xf numFmtId="1" fontId="3" fillId="2" borderId="3" xfId="0" applyNumberFormat="1" applyFont="1" applyFill="1" applyBorder="1" applyAlignment="1">
      <alignment horizontal="center" vertical="center"/>
    </xf>
    <xf numFmtId="0" fontId="11" fillId="7" borderId="7" xfId="0" applyFont="1" applyFill="1" applyBorder="1" applyAlignment="1">
      <alignment horizontal="center" vertical="center"/>
    </xf>
    <xf numFmtId="0" fontId="11" fillId="7" borderId="1" xfId="0" applyFont="1" applyFill="1" applyBorder="1" applyAlignment="1">
      <alignment horizontal="center" vertical="center"/>
    </xf>
    <xf numFmtId="0" fontId="11" fillId="7" borderId="8" xfId="0" applyFont="1" applyFill="1" applyBorder="1" applyAlignment="1">
      <alignment horizontal="center" vertical="center"/>
    </xf>
    <xf numFmtId="1" fontId="21" fillId="2" borderId="3" xfId="0" applyNumberFormat="1" applyFont="1" applyFill="1" applyBorder="1" applyAlignment="1">
      <alignment horizontal="center" vertical="center"/>
    </xf>
    <xf numFmtId="1" fontId="21" fillId="2" borderId="1" xfId="0" applyNumberFormat="1" applyFont="1" applyFill="1" applyBorder="1" applyAlignment="1">
      <alignment horizontal="center" vertical="center"/>
    </xf>
    <xf numFmtId="0" fontId="11" fillId="6" borderId="21" xfId="0" applyFont="1" applyFill="1" applyBorder="1" applyAlignment="1">
      <alignment horizontal="left" vertical="center"/>
    </xf>
    <xf numFmtId="1" fontId="3" fillId="2" borderId="11" xfId="0" applyNumberFormat="1" applyFont="1" applyFill="1" applyBorder="1" applyAlignment="1">
      <alignment horizontal="center" vertical="center"/>
    </xf>
    <xf numFmtId="1" fontId="3" fillId="2" borderId="21" xfId="0" applyNumberFormat="1" applyFont="1" applyFill="1" applyBorder="1" applyAlignment="1">
      <alignment horizontal="center" vertical="center"/>
    </xf>
    <xf numFmtId="1" fontId="3" fillId="2" borderId="10" xfId="0" applyNumberFormat="1" applyFont="1" applyFill="1" applyBorder="1" applyAlignment="1">
      <alignment horizontal="center" vertical="center"/>
    </xf>
    <xf numFmtId="0" fontId="4" fillId="0" borderId="21" xfId="0" applyFont="1" applyBorder="1" applyAlignment="1">
      <alignment horizontal="center" vertical="center"/>
    </xf>
    <xf numFmtId="1" fontId="3" fillId="2" borderId="4" xfId="0" applyNumberFormat="1" applyFont="1" applyFill="1" applyBorder="1" applyAlignment="1">
      <alignment horizontal="center" vertical="center"/>
    </xf>
    <xf numFmtId="1" fontId="3" fillId="2" borderId="40" xfId="0" applyNumberFormat="1" applyFont="1" applyFill="1" applyBorder="1" applyAlignment="1">
      <alignment horizontal="center" vertical="center"/>
    </xf>
    <xf numFmtId="1" fontId="3" fillId="2" borderId="2" xfId="0" applyNumberFormat="1" applyFont="1" applyFill="1" applyBorder="1" applyAlignment="1">
      <alignment horizontal="center" vertical="center"/>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11" fillId="0" borderId="20" xfId="0" applyFont="1" applyBorder="1" applyAlignment="1">
      <alignment horizontal="center" vertical="center"/>
    </xf>
    <xf numFmtId="165" fontId="3" fillId="2" borderId="9" xfId="0" applyNumberFormat="1" applyFont="1" applyFill="1" applyBorder="1" applyAlignment="1">
      <alignment horizontal="center" vertical="center"/>
    </xf>
    <xf numFmtId="0" fontId="11" fillId="6" borderId="22" xfId="0" applyFont="1" applyFill="1" applyBorder="1" applyAlignment="1">
      <alignment horizontal="left" vertical="center"/>
    </xf>
    <xf numFmtId="0" fontId="11" fillId="6" borderId="23" xfId="0" applyFont="1" applyFill="1" applyBorder="1" applyAlignment="1">
      <alignment horizontal="left" vertical="center"/>
    </xf>
    <xf numFmtId="0" fontId="11" fillId="6" borderId="27" xfId="0" applyFont="1" applyFill="1" applyBorder="1" applyAlignment="1">
      <alignment horizontal="left" vertical="center"/>
    </xf>
    <xf numFmtId="0" fontId="4" fillId="0" borderId="23" xfId="0" applyFont="1" applyBorder="1" applyAlignment="1">
      <alignment horizontal="center" vertical="center"/>
    </xf>
    <xf numFmtId="0" fontId="4" fillId="0" borderId="22" xfId="0" applyFont="1" applyBorder="1" applyAlignment="1">
      <alignment horizontal="center" vertical="center"/>
    </xf>
    <xf numFmtId="0" fontId="4" fillId="0" borderId="27" xfId="0" applyFont="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18" fillId="0" borderId="22" xfId="0" applyFont="1" applyBorder="1" applyAlignment="1">
      <alignment horizontal="left" vertical="center"/>
    </xf>
    <xf numFmtId="0" fontId="18" fillId="0" borderId="23" xfId="0" applyFont="1" applyBorder="1" applyAlignment="1">
      <alignment horizontal="left" vertical="center"/>
    </xf>
    <xf numFmtId="0" fontId="18" fillId="0" borderId="27" xfId="0" applyFont="1" applyBorder="1" applyAlignment="1">
      <alignment horizontal="left" vertical="center"/>
    </xf>
    <xf numFmtId="0" fontId="3" fillId="4" borderId="23" xfId="0" applyFont="1" applyFill="1" applyBorder="1" applyAlignment="1">
      <alignment horizontal="center" vertical="center"/>
    </xf>
    <xf numFmtId="0" fontId="17" fillId="0" borderId="19" xfId="0" applyFont="1" applyBorder="1" applyAlignment="1">
      <alignment vertical="center"/>
    </xf>
    <xf numFmtId="0" fontId="9" fillId="0" borderId="0" xfId="3" applyFont="1" applyAlignment="1">
      <alignment vertical="center"/>
    </xf>
    <xf numFmtId="0" fontId="10" fillId="0" borderId="0" xfId="0" applyFont="1" applyAlignment="1">
      <alignment vertical="center"/>
    </xf>
    <xf numFmtId="0" fontId="10" fillId="0" borderId="1" xfId="0" applyFont="1" applyBorder="1" applyAlignment="1">
      <alignment horizontal="center" vertical="center"/>
    </xf>
    <xf numFmtId="0" fontId="11" fillId="0" borderId="6" xfId="0" applyFont="1" applyBorder="1" applyAlignment="1">
      <alignment horizontal="left" vertical="center"/>
    </xf>
    <xf numFmtId="0" fontId="23" fillId="0" borderId="18" xfId="0" applyFont="1" applyBorder="1" applyAlignment="1">
      <alignment horizontal="left" vertical="center"/>
    </xf>
    <xf numFmtId="0" fontId="23" fillId="0" borderId="19" xfId="0" applyFont="1" applyBorder="1" applyAlignment="1">
      <alignment horizontal="left" vertical="center"/>
    </xf>
    <xf numFmtId="0" fontId="23" fillId="0" borderId="20" xfId="0" applyFont="1" applyBorder="1" applyAlignment="1">
      <alignment horizontal="left" vertical="center"/>
    </xf>
    <xf numFmtId="0" fontId="4" fillId="0" borderId="6" xfId="0" applyFont="1" applyBorder="1" applyAlignment="1">
      <alignment horizontal="center" vertical="center"/>
    </xf>
    <xf numFmtId="0" fontId="4" fillId="0" borderId="0" xfId="0" quotePrefix="1" applyFont="1" applyAlignment="1">
      <alignment horizontal="right" vertical="center"/>
    </xf>
    <xf numFmtId="165" fontId="3" fillId="4" borderId="1" xfId="0" applyNumberFormat="1"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23" fillId="0" borderId="10" xfId="0" applyFont="1" applyBorder="1" applyAlignment="1">
      <alignment horizontal="left" vertical="center"/>
    </xf>
    <xf numFmtId="0" fontId="23" fillId="0" borderId="9" xfId="0" applyFont="1" applyBorder="1" applyAlignment="1">
      <alignment horizontal="left" vertical="center"/>
    </xf>
    <xf numFmtId="0" fontId="23" fillId="0" borderId="11" xfId="0" applyFont="1" applyBorder="1" applyAlignment="1">
      <alignment horizontal="left" vertical="center"/>
    </xf>
    <xf numFmtId="0" fontId="4" fillId="0" borderId="9" xfId="0" applyFont="1" applyBorder="1" applyAlignment="1">
      <alignment horizontal="center" vertical="center"/>
    </xf>
    <xf numFmtId="0" fontId="4" fillId="0" borderId="11" xfId="0" applyFont="1" applyBorder="1" applyAlignment="1">
      <alignment horizontal="center" vertical="center"/>
    </xf>
    <xf numFmtId="0" fontId="11" fillId="8" borderId="10" xfId="0" applyFont="1" applyFill="1" applyBorder="1" applyAlignment="1">
      <alignment horizontal="left" vertical="center"/>
    </xf>
    <xf numFmtId="0" fontId="11" fillId="8" borderId="9" xfId="0" applyFont="1" applyFill="1" applyBorder="1" applyAlignment="1">
      <alignment horizontal="left" vertical="center"/>
    </xf>
    <xf numFmtId="0" fontId="11" fillId="8" borderId="11" xfId="0" applyFont="1" applyFill="1" applyBorder="1" applyAlignment="1">
      <alignment horizontal="left" vertical="center"/>
    </xf>
    <xf numFmtId="0" fontId="4" fillId="8" borderId="10" xfId="0" applyFont="1" applyFill="1" applyBorder="1" applyAlignment="1">
      <alignment horizontal="left" vertical="center"/>
    </xf>
    <xf numFmtId="0" fontId="4" fillId="8" borderId="9" xfId="0" applyFont="1" applyFill="1" applyBorder="1" applyAlignment="1">
      <alignment horizontal="left" vertical="center"/>
    </xf>
    <xf numFmtId="0" fontId="3" fillId="8" borderId="9" xfId="0" applyFont="1" applyFill="1" applyBorder="1" applyAlignment="1">
      <alignment horizontal="center" vertical="center"/>
    </xf>
    <xf numFmtId="0" fontId="4" fillId="8" borderId="9" xfId="0" applyFont="1" applyFill="1" applyBorder="1" applyAlignment="1">
      <alignment vertical="center"/>
    </xf>
    <xf numFmtId="0" fontId="0" fillId="8" borderId="9" xfId="0" applyFill="1" applyBorder="1" applyAlignment="1">
      <alignment vertical="center"/>
    </xf>
    <xf numFmtId="0" fontId="0" fillId="8" borderId="11" xfId="0" applyFill="1" applyBorder="1" applyAlignment="1">
      <alignment vertical="center"/>
    </xf>
    <xf numFmtId="0" fontId="4" fillId="8" borderId="10" xfId="0" applyFont="1" applyFill="1" applyBorder="1" applyAlignment="1">
      <alignment horizontal="center" vertical="center"/>
    </xf>
    <xf numFmtId="0" fontId="4" fillId="8" borderId="9" xfId="0" applyFont="1" applyFill="1" applyBorder="1" applyAlignment="1">
      <alignment horizontal="center" vertical="center"/>
    </xf>
    <xf numFmtId="0" fontId="4" fillId="8" borderId="11" xfId="0" applyFont="1" applyFill="1" applyBorder="1" applyAlignment="1">
      <alignment horizontal="center" vertical="center"/>
    </xf>
    <xf numFmtId="0" fontId="4" fillId="8" borderId="0" xfId="0" applyFont="1" applyFill="1" applyAlignment="1">
      <alignment vertical="center"/>
    </xf>
    <xf numFmtId="0" fontId="0" fillId="8" borderId="0" xfId="0" applyFill="1" applyAlignment="1">
      <alignment vertical="center"/>
    </xf>
    <xf numFmtId="0" fontId="4" fillId="0" borderId="2" xfId="0" applyFont="1" applyBorder="1" applyAlignment="1">
      <alignment horizontal="left" vertical="center"/>
    </xf>
    <xf numFmtId="0" fontId="3" fillId="0" borderId="3" xfId="0" applyFont="1" applyBorder="1" applyAlignment="1">
      <alignment horizontal="center" vertical="center"/>
    </xf>
    <xf numFmtId="0" fontId="4" fillId="0" borderId="3" xfId="0" applyFont="1" applyBorder="1" applyAlignment="1">
      <alignment vertical="center" wrapText="1"/>
    </xf>
    <xf numFmtId="0" fontId="0" fillId="2" borderId="3" xfId="0" applyFill="1" applyBorder="1" applyAlignment="1">
      <alignment horizontal="center" vertical="center"/>
    </xf>
    <xf numFmtId="0" fontId="4" fillId="0" borderId="1" xfId="0" applyFont="1" applyBorder="1" applyAlignment="1">
      <alignment vertical="center" wrapText="1"/>
    </xf>
    <xf numFmtId="0" fontId="0" fillId="2" borderId="1" xfId="0" applyFill="1" applyBorder="1" applyAlignment="1">
      <alignment horizontal="center" vertical="center"/>
    </xf>
    <xf numFmtId="0" fontId="0" fillId="0" borderId="15" xfId="4" applyFont="1" applyBorder="1" applyAlignment="1">
      <alignment horizontal="left" vertical="center"/>
    </xf>
    <xf numFmtId="0" fontId="0" fillId="0" borderId="16" xfId="4" applyFont="1" applyBorder="1" applyAlignment="1">
      <alignment horizontal="left" vertical="center"/>
    </xf>
    <xf numFmtId="0" fontId="0" fillId="0" borderId="17" xfId="4" applyFont="1" applyBorder="1" applyAlignment="1">
      <alignment horizontal="left" vertical="center"/>
    </xf>
    <xf numFmtId="0" fontId="1" fillId="0" borderId="15" xfId="4" applyBorder="1" applyAlignment="1">
      <alignment horizontal="center" vertical="center"/>
    </xf>
    <xf numFmtId="0" fontId="1" fillId="0" borderId="16" xfId="4" applyBorder="1" applyAlignment="1">
      <alignment horizontal="center" vertical="center"/>
    </xf>
    <xf numFmtId="0" fontId="1" fillId="0" borderId="17" xfId="4" applyBorder="1" applyAlignment="1">
      <alignment horizontal="center" vertical="center"/>
    </xf>
    <xf numFmtId="0" fontId="1" fillId="2" borderId="24" xfId="4" applyFill="1" applyBorder="1" applyAlignment="1" applyProtection="1">
      <alignment horizontal="center" vertical="center"/>
      <protection locked="0"/>
    </xf>
    <xf numFmtId="0" fontId="1" fillId="2" borderId="25" xfId="4" applyFill="1" applyBorder="1" applyAlignment="1" applyProtection="1">
      <alignment horizontal="center" vertical="center"/>
      <protection locked="0"/>
    </xf>
    <xf numFmtId="0" fontId="1" fillId="2" borderId="26" xfId="4" applyFill="1" applyBorder="1" applyAlignment="1" applyProtection="1">
      <alignment horizontal="center" vertical="center"/>
      <protection locked="0"/>
    </xf>
    <xf numFmtId="0" fontId="0" fillId="0" borderId="22" xfId="4" applyFont="1" applyBorder="1" applyAlignment="1">
      <alignment horizontal="left" vertical="center"/>
    </xf>
    <xf numFmtId="0" fontId="0" fillId="0" borderId="23" xfId="4" applyFont="1" applyBorder="1" applyAlignment="1">
      <alignment horizontal="left" vertical="center"/>
    </xf>
    <xf numFmtId="0" fontId="0" fillId="0" borderId="27" xfId="4" applyFont="1" applyBorder="1" applyAlignment="1">
      <alignment horizontal="left" vertical="center"/>
    </xf>
    <xf numFmtId="0" fontId="1" fillId="0" borderId="22" xfId="4" applyBorder="1" applyAlignment="1">
      <alignment horizontal="center" vertical="center"/>
    </xf>
    <xf numFmtId="0" fontId="1" fillId="0" borderId="23" xfId="4" applyBorder="1" applyAlignment="1">
      <alignment horizontal="center" vertical="center"/>
    </xf>
    <xf numFmtId="0" fontId="1" fillId="0" borderId="27" xfId="4" applyBorder="1" applyAlignment="1">
      <alignment horizontal="center"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11" fillId="6" borderId="12" xfId="0" applyFont="1" applyFill="1" applyBorder="1" applyAlignment="1">
      <alignment horizontal="left" vertical="center"/>
    </xf>
    <xf numFmtId="0" fontId="11" fillId="6" borderId="13" xfId="0" applyFont="1" applyFill="1" applyBorder="1" applyAlignment="1">
      <alignment horizontal="left" vertical="center"/>
    </xf>
    <xf numFmtId="0" fontId="11" fillId="6" borderId="14" xfId="0" applyFont="1" applyFill="1" applyBorder="1" applyAlignment="1">
      <alignment horizontal="left" vertical="center"/>
    </xf>
    <xf numFmtId="0" fontId="4" fillId="0" borderId="13" xfId="0" applyFont="1" applyBorder="1" applyAlignment="1">
      <alignment horizontal="left" vertical="center"/>
    </xf>
    <xf numFmtId="0" fontId="3"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0" fillId="0" borderId="15" xfId="0" applyBorder="1" applyAlignment="1">
      <alignment vertical="center"/>
    </xf>
    <xf numFmtId="0" fontId="11" fillId="0" borderId="15" xfId="0" applyFont="1" applyBorder="1" applyAlignment="1">
      <alignment vertical="center"/>
    </xf>
    <xf numFmtId="0" fontId="18" fillId="0" borderId="5" xfId="0" applyFont="1" applyBorder="1" applyAlignment="1">
      <alignment vertical="center"/>
    </xf>
    <xf numFmtId="0" fontId="0" fillId="0" borderId="10"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11" fillId="5" borderId="11" xfId="0" applyFont="1" applyFill="1" applyBorder="1" applyAlignment="1">
      <alignment horizontal="left" vertical="center"/>
    </xf>
    <xf numFmtId="0" fontId="11" fillId="0" borderId="22" xfId="0" applyFont="1" applyBorder="1" applyAlignment="1">
      <alignment vertical="center"/>
    </xf>
    <xf numFmtId="0" fontId="4" fillId="0" borderId="23" xfId="0" applyFont="1" applyBorder="1" applyAlignment="1">
      <alignment vertical="center"/>
    </xf>
    <xf numFmtId="0" fontId="0" fillId="0" borderId="23" xfId="0" applyBorder="1" applyAlignment="1">
      <alignment vertical="center"/>
    </xf>
    <xf numFmtId="0" fontId="3" fillId="4" borderId="27" xfId="0" applyFont="1" applyFill="1" applyBorder="1" applyAlignment="1">
      <alignment horizontal="center" vertical="center"/>
    </xf>
    <xf numFmtId="0" fontId="18" fillId="0" borderId="5" xfId="0" applyFont="1" applyBorder="1" applyAlignment="1">
      <alignment horizontal="left" vertical="center"/>
    </xf>
    <xf numFmtId="0" fontId="18" fillId="0" borderId="0" xfId="0" applyFont="1" applyAlignment="1">
      <alignment horizontal="left" vertical="center"/>
    </xf>
    <xf numFmtId="0" fontId="18" fillId="0" borderId="6" xfId="0" applyFont="1" applyBorder="1" applyAlignment="1">
      <alignment horizontal="left" vertical="center"/>
    </xf>
    <xf numFmtId="0" fontId="18" fillId="0" borderId="22" xfId="0" applyFont="1" applyBorder="1" applyAlignment="1">
      <alignment horizontal="center" vertical="center"/>
    </xf>
    <xf numFmtId="0" fontId="18" fillId="0" borderId="23" xfId="0" applyFont="1" applyBorder="1" applyAlignment="1">
      <alignment horizontal="center" vertical="center"/>
    </xf>
    <xf numFmtId="0" fontId="18" fillId="0" borderId="27" xfId="0" applyFont="1" applyBorder="1" applyAlignment="1">
      <alignment horizontal="center" vertical="center"/>
    </xf>
    <xf numFmtId="0" fontId="4" fillId="0" borderId="22" xfId="0" applyFont="1" applyBorder="1" applyAlignment="1">
      <alignment horizontal="left" vertical="center" wrapText="1"/>
    </xf>
    <xf numFmtId="0" fontId="4" fillId="0" borderId="23" xfId="0" applyFont="1" applyBorder="1" applyAlignment="1">
      <alignment horizontal="left" vertical="center" wrapText="1"/>
    </xf>
    <xf numFmtId="0" fontId="11" fillId="3" borderId="15" xfId="0" applyFont="1" applyFill="1" applyBorder="1" applyAlignment="1">
      <alignment horizontal="left" vertical="center"/>
    </xf>
    <xf numFmtId="0" fontId="11" fillId="3" borderId="16" xfId="0" applyFont="1" applyFill="1" applyBorder="1" applyAlignment="1">
      <alignment horizontal="left" vertical="center"/>
    </xf>
    <xf numFmtId="0" fontId="11" fillId="3" borderId="17" xfId="0" applyFont="1" applyFill="1" applyBorder="1" applyAlignment="1">
      <alignment horizontal="left" vertical="center"/>
    </xf>
    <xf numFmtId="0" fontId="3" fillId="2" borderId="17" xfId="0" applyFont="1" applyFill="1" applyBorder="1" applyAlignment="1">
      <alignment horizontal="center" vertical="center"/>
    </xf>
    <xf numFmtId="14" fontId="3" fillId="2" borderId="9" xfId="0" applyNumberFormat="1" applyFont="1" applyFill="1" applyBorder="1" applyAlignment="1">
      <alignment horizontal="center" vertical="center"/>
    </xf>
    <xf numFmtId="0" fontId="11" fillId="7" borderId="15" xfId="0" applyFont="1" applyFill="1" applyBorder="1" applyAlignment="1">
      <alignment horizontal="left" vertical="center"/>
    </xf>
    <xf numFmtId="0" fontId="11" fillId="7" borderId="16" xfId="0" applyFont="1" applyFill="1" applyBorder="1" applyAlignment="1">
      <alignment horizontal="left" vertical="center"/>
    </xf>
    <xf numFmtId="0" fontId="11" fillId="7" borderId="17" xfId="0" applyFont="1" applyFill="1" applyBorder="1" applyAlignment="1">
      <alignment horizontal="left" vertical="center"/>
    </xf>
    <xf numFmtId="0" fontId="3" fillId="0" borderId="4" xfId="0" applyFont="1" applyBorder="1" applyAlignment="1">
      <alignment horizontal="center" vertical="center"/>
    </xf>
    <xf numFmtId="0" fontId="4" fillId="0" borderId="3" xfId="0" quotePrefix="1" applyFont="1" applyBorder="1" applyAlignment="1">
      <alignment horizontal="center" vertical="center"/>
    </xf>
    <xf numFmtId="0" fontId="18" fillId="0" borderId="0" xfId="0" applyFont="1" applyAlignment="1">
      <alignment vertical="center"/>
    </xf>
    <xf numFmtId="0" fontId="0" fillId="0" borderId="1" xfId="0" applyBorder="1" applyAlignment="1">
      <alignment horizontal="center" vertical="center"/>
    </xf>
    <xf numFmtId="0" fontId="25" fillId="0" borderId="0" xfId="3" applyFont="1" applyAlignment="1">
      <alignment horizontal="center" vertical="center"/>
    </xf>
    <xf numFmtId="0" fontId="3" fillId="0" borderId="7" xfId="0" applyFont="1" applyBorder="1" applyAlignment="1">
      <alignment vertical="top" wrapText="1"/>
    </xf>
    <xf numFmtId="0" fontId="3" fillId="0" borderId="1" xfId="0" applyFont="1" applyBorder="1" applyAlignment="1">
      <alignment vertical="top" wrapText="1"/>
    </xf>
    <xf numFmtId="0" fontId="3" fillId="0" borderId="8" xfId="0" applyFont="1" applyBorder="1" applyAlignment="1">
      <alignment vertical="top" wrapText="1"/>
    </xf>
    <xf numFmtId="0" fontId="2" fillId="0" borderId="0" xfId="4" applyFont="1" applyAlignment="1">
      <alignment horizontal="center"/>
    </xf>
  </cellXfs>
  <cellStyles count="6">
    <cellStyle name="Normal" xfId="0" builtinId="0"/>
    <cellStyle name="Normal 2" xfId="3" xr:uid="{495A8748-12E7-46C5-817E-BACFA7F74A37}"/>
    <cellStyle name="Normal 2 2" xfId="5" xr:uid="{A775AA74-97FF-4CC8-9E51-21EE8E98C349}"/>
    <cellStyle name="Normal 2 2 2 2" xfId="4" xr:uid="{D592EC79-A58D-45DC-BB88-EEFFC052315F}"/>
    <cellStyle name="Normal 4" xfId="2" xr:uid="{2D898B54-5B60-4FEC-A230-680F1D0295DC}"/>
    <cellStyle name="Percent" xfId="1" builtinId="5"/>
  </cellStyles>
  <dxfs count="176">
    <dxf>
      <font>
        <color rgb="FFFF0000"/>
      </font>
    </dxf>
    <dxf>
      <fill>
        <patternFill>
          <bgColor rgb="FFFF0000"/>
        </patternFill>
      </fill>
    </dxf>
    <dxf>
      <fill>
        <patternFill>
          <bgColor rgb="FFFF0000"/>
        </patternFill>
      </fill>
    </dxf>
    <dxf>
      <fill>
        <patternFill>
          <bgColor rgb="FFFF0000"/>
        </patternFill>
      </fill>
    </dxf>
    <dxf>
      <font>
        <color rgb="FFFF0000"/>
      </font>
    </dxf>
    <dxf>
      <font>
        <color rgb="FFFF0000"/>
      </font>
    </dxf>
    <dxf>
      <fill>
        <patternFill>
          <bgColor rgb="FFFF0000"/>
        </patternFill>
      </fill>
    </dxf>
    <dxf>
      <font>
        <color rgb="FFFF0000"/>
      </font>
    </dxf>
    <dxf>
      <font>
        <color rgb="FFFF0000"/>
      </font>
    </dxf>
    <dxf>
      <fill>
        <patternFill>
          <bgColor rgb="FFFF0000"/>
        </patternFill>
      </fill>
    </dxf>
    <dxf>
      <fill>
        <patternFill>
          <bgColor rgb="FFFF0000"/>
        </patternFill>
      </fill>
    </dxf>
    <dxf>
      <fill>
        <patternFill>
          <bgColor rgb="FFFF0000"/>
        </patternFill>
      </fill>
    </dxf>
    <dxf>
      <font>
        <color rgb="FFFF0000"/>
      </font>
    </dxf>
    <dxf>
      <font>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FF0000"/>
      </font>
    </dxf>
    <dxf>
      <font>
        <color rgb="FFFF0000"/>
      </font>
    </dxf>
    <dxf>
      <font>
        <color rgb="FFFF0000"/>
      </font>
    </dxf>
    <dxf>
      <font>
        <color rgb="FFFF0000"/>
      </font>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auto="1"/>
      </font>
      <fill>
        <patternFill>
          <bgColor rgb="FFFF0000"/>
        </patternFill>
      </fill>
    </dxf>
    <dxf>
      <font>
        <color auto="1"/>
      </font>
      <fill>
        <patternFill>
          <bgColor rgb="FFFF0000"/>
        </patternFill>
      </fill>
    </dxf>
    <dxf>
      <font>
        <color rgb="FFFF0000"/>
      </font>
      <fill>
        <patternFill>
          <bgColor rgb="FFFF0000"/>
        </patternFill>
      </fill>
    </dxf>
    <dxf>
      <font>
        <color auto="1"/>
      </font>
      <fill>
        <patternFill>
          <bgColor rgb="FFFF0000"/>
        </patternFill>
      </fill>
    </dxf>
    <dxf>
      <font>
        <color auto="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FF0000"/>
      </font>
    </dxf>
    <dxf>
      <font>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auto="1"/>
      </font>
      <fill>
        <patternFill>
          <bgColor rgb="FFFF0000"/>
        </patternFill>
      </fill>
    </dxf>
    <dxf>
      <font>
        <color rgb="FFFF0000"/>
      </font>
    </dxf>
    <dxf>
      <font>
        <color rgb="FFFF0000"/>
      </font>
    </dxf>
    <dxf>
      <font>
        <color auto="1"/>
      </font>
      <fill>
        <patternFill>
          <bgColor rgb="FFFF0000"/>
        </patternFill>
      </fill>
    </dxf>
    <dxf>
      <font>
        <color rgb="FFFF0000"/>
      </font>
    </dxf>
    <dxf>
      <font>
        <color rgb="FFFF0000"/>
      </font>
    </dxf>
    <dxf>
      <font>
        <color rgb="FFFF0000"/>
      </font>
    </dxf>
    <dxf>
      <font>
        <color rgb="FFFF0000"/>
      </font>
    </dxf>
    <dxf>
      <font>
        <color auto="1"/>
      </font>
      <fill>
        <patternFill>
          <bgColor rgb="FFFF0000"/>
        </patternFill>
      </fill>
    </dxf>
    <dxf>
      <font>
        <color auto="1"/>
      </font>
      <fill>
        <patternFill>
          <bgColor rgb="FFFF0000"/>
        </patternFill>
      </fill>
    </dxf>
    <dxf>
      <font>
        <color auto="1"/>
      </font>
      <fill>
        <patternFill>
          <bgColor rgb="FFFF0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auto="1"/>
      </font>
      <fill>
        <patternFill>
          <bgColor rgb="FFFF0000"/>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1</xdr:col>
      <xdr:colOff>0</xdr:colOff>
      <xdr:row>230</xdr:row>
      <xdr:rowOff>45719</xdr:rowOff>
    </xdr:from>
    <xdr:to>
      <xdr:col>16</xdr:col>
      <xdr:colOff>155658</xdr:colOff>
      <xdr:row>247</xdr:row>
      <xdr:rowOff>36835</xdr:rowOff>
    </xdr:to>
    <xdr:pic>
      <xdr:nvPicPr>
        <xdr:cNvPr id="2" name="Picture 1">
          <a:extLst>
            <a:ext uri="{FF2B5EF4-FFF2-40B4-BE49-F238E27FC236}">
              <a16:creationId xmlns:a16="http://schemas.microsoft.com/office/drawing/2014/main" id="{5C90622E-1FB5-4011-B0E4-33E436ECC9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1938" y="43860719"/>
          <a:ext cx="4084720" cy="3220091"/>
        </a:xfrm>
        <a:prstGeom prst="rect">
          <a:avLst/>
        </a:prstGeom>
      </xdr:spPr>
    </xdr:pic>
    <xdr:clientData/>
  </xdr:twoCellAnchor>
  <xdr:twoCellAnchor>
    <xdr:from>
      <xdr:col>17</xdr:col>
      <xdr:colOff>0</xdr:colOff>
      <xdr:row>230</xdr:row>
      <xdr:rowOff>45720</xdr:rowOff>
    </xdr:from>
    <xdr:to>
      <xdr:col>33</xdr:col>
      <xdr:colOff>93000</xdr:colOff>
      <xdr:row>252</xdr:row>
      <xdr:rowOff>100986</xdr:rowOff>
    </xdr:to>
    <xdr:pic>
      <xdr:nvPicPr>
        <xdr:cNvPr id="3" name="Picture 2">
          <a:extLst>
            <a:ext uri="{FF2B5EF4-FFF2-40B4-BE49-F238E27FC236}">
              <a16:creationId xmlns:a16="http://schemas.microsoft.com/office/drawing/2014/main" id="{96A6CB8F-749A-446C-98AA-44D308311A9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52938" y="43860720"/>
          <a:ext cx="4284000" cy="4236741"/>
        </a:xfrm>
        <a:prstGeom prst="rect">
          <a:avLst/>
        </a:prstGeom>
      </xdr:spPr>
    </xdr:pic>
    <xdr:clientData/>
  </xdr:twoCellAnchor>
  <xdr:twoCellAnchor>
    <xdr:from>
      <xdr:col>17</xdr:col>
      <xdr:colOff>0</xdr:colOff>
      <xdr:row>253</xdr:row>
      <xdr:rowOff>45720</xdr:rowOff>
    </xdr:from>
    <xdr:to>
      <xdr:col>32</xdr:col>
      <xdr:colOff>103073</xdr:colOff>
      <xdr:row>258</xdr:row>
      <xdr:rowOff>131779</xdr:rowOff>
    </xdr:to>
    <xdr:pic>
      <xdr:nvPicPr>
        <xdr:cNvPr id="4" name="Picture 3">
          <a:extLst>
            <a:ext uri="{FF2B5EF4-FFF2-40B4-BE49-F238E27FC236}">
              <a16:creationId xmlns:a16="http://schemas.microsoft.com/office/drawing/2014/main" id="{0FF43987-38D3-47E4-B555-0ABCF143149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452938" y="48232695"/>
          <a:ext cx="4032135" cy="1038559"/>
        </a:xfrm>
        <a:prstGeom prst="rect">
          <a:avLst/>
        </a:prstGeom>
      </xdr:spPr>
    </xdr:pic>
    <xdr:clientData/>
  </xdr:twoCellAnchor>
  <xdr:twoCellAnchor>
    <xdr:from>
      <xdr:col>1</xdr:col>
      <xdr:colOff>0</xdr:colOff>
      <xdr:row>332</xdr:row>
      <xdr:rowOff>0</xdr:rowOff>
    </xdr:from>
    <xdr:to>
      <xdr:col>34</xdr:col>
      <xdr:colOff>9900</xdr:colOff>
      <xdr:row>354</xdr:row>
      <xdr:rowOff>161174</xdr:rowOff>
    </xdr:to>
    <xdr:pic>
      <xdr:nvPicPr>
        <xdr:cNvPr id="5" name="Picture 4">
          <a:extLst>
            <a:ext uri="{FF2B5EF4-FFF2-40B4-BE49-F238E27FC236}">
              <a16:creationId xmlns:a16="http://schemas.microsoft.com/office/drawing/2014/main" id="{347BDF8A-A67E-447B-AABA-539CB79F572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1938" y="63236475"/>
          <a:ext cx="8653837" cy="4352174"/>
        </a:xfrm>
        <a:prstGeom prst="rect">
          <a:avLst/>
        </a:prstGeom>
      </xdr:spPr>
    </xdr:pic>
    <xdr:clientData/>
  </xdr:twoCellAnchor>
  <xdr:twoCellAnchor>
    <xdr:from>
      <xdr:col>10</xdr:col>
      <xdr:colOff>9526</xdr:colOff>
      <xdr:row>438</xdr:row>
      <xdr:rowOff>1</xdr:rowOff>
    </xdr:from>
    <xdr:to>
      <xdr:col>27</xdr:col>
      <xdr:colOff>59873</xdr:colOff>
      <xdr:row>455</xdr:row>
      <xdr:rowOff>181834</xdr:rowOff>
    </xdr:to>
    <xdr:pic>
      <xdr:nvPicPr>
        <xdr:cNvPr id="6" name="Picture 5">
          <a:extLst>
            <a:ext uri="{FF2B5EF4-FFF2-40B4-BE49-F238E27FC236}">
              <a16:creationId xmlns:a16="http://schemas.microsoft.com/office/drawing/2014/main" id="{6AE18863-8FC1-4700-BB00-BD0651F79D0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628901" y="83429476"/>
          <a:ext cx="4503285" cy="3420333"/>
        </a:xfrm>
        <a:prstGeom prst="rect">
          <a:avLst/>
        </a:prstGeom>
      </xdr:spPr>
    </xdr:pic>
    <xdr:clientData/>
  </xdr:twoCellAnchor>
  <xdr:twoCellAnchor>
    <xdr:from>
      <xdr:col>18</xdr:col>
      <xdr:colOff>1</xdr:colOff>
      <xdr:row>458</xdr:row>
      <xdr:rowOff>9526</xdr:rowOff>
    </xdr:from>
    <xdr:to>
      <xdr:col>33</xdr:col>
      <xdr:colOff>76972</xdr:colOff>
      <xdr:row>476</xdr:row>
      <xdr:rowOff>63733</xdr:rowOff>
    </xdr:to>
    <xdr:pic>
      <xdr:nvPicPr>
        <xdr:cNvPr id="7" name="Picture 6">
          <a:extLst>
            <a:ext uri="{FF2B5EF4-FFF2-40B4-BE49-F238E27FC236}">
              <a16:creationId xmlns:a16="http://schemas.microsoft.com/office/drawing/2014/main" id="{83FD8C5D-3E99-4DCA-9DFA-8E985098333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714876" y="87249001"/>
          <a:ext cx="4006034" cy="3483207"/>
        </a:xfrm>
        <a:prstGeom prst="rect">
          <a:avLst/>
        </a:prstGeom>
      </xdr:spPr>
    </xdr:pic>
    <xdr:clientData/>
  </xdr:twoCellAnchor>
  <xdr:twoCellAnchor>
    <xdr:from>
      <xdr:col>1</xdr:col>
      <xdr:colOff>1</xdr:colOff>
      <xdr:row>458</xdr:row>
      <xdr:rowOff>1</xdr:rowOff>
    </xdr:from>
    <xdr:to>
      <xdr:col>18</xdr:col>
      <xdr:colOff>4241</xdr:colOff>
      <xdr:row>473</xdr:row>
      <xdr:rowOff>126910</xdr:rowOff>
    </xdr:to>
    <xdr:pic>
      <xdr:nvPicPr>
        <xdr:cNvPr id="8" name="Picture 7">
          <a:extLst>
            <a:ext uri="{FF2B5EF4-FFF2-40B4-BE49-F238E27FC236}">
              <a16:creationId xmlns:a16="http://schemas.microsoft.com/office/drawing/2014/main" id="{AC2E8A02-159F-4719-B3A4-B0055D0AB6B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1939" y="87239476"/>
          <a:ext cx="4457177" cy="2984409"/>
        </a:xfrm>
        <a:prstGeom prst="rect">
          <a:avLst/>
        </a:prstGeom>
      </xdr:spPr>
    </xdr:pic>
    <xdr:clientData/>
  </xdr:twoCellAnchor>
  <xdr:twoCellAnchor>
    <xdr:from>
      <xdr:col>1</xdr:col>
      <xdr:colOff>0</xdr:colOff>
      <xdr:row>585</xdr:row>
      <xdr:rowOff>0</xdr:rowOff>
    </xdr:from>
    <xdr:to>
      <xdr:col>34</xdr:col>
      <xdr:colOff>9900</xdr:colOff>
      <xdr:row>608</xdr:row>
      <xdr:rowOff>32599</xdr:rowOff>
    </xdr:to>
    <xdr:pic>
      <xdr:nvPicPr>
        <xdr:cNvPr id="9" name="Picture 8">
          <a:extLst>
            <a:ext uri="{FF2B5EF4-FFF2-40B4-BE49-F238E27FC236}">
              <a16:creationId xmlns:a16="http://schemas.microsoft.com/office/drawing/2014/main" id="{D7BA6AC4-22B4-49D0-B890-3918AB5A114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1938" y="111432975"/>
          <a:ext cx="8653837" cy="4414099"/>
        </a:xfrm>
        <a:prstGeom prst="rect">
          <a:avLst/>
        </a:prstGeom>
      </xdr:spPr>
    </xdr:pic>
    <xdr:clientData/>
  </xdr:twoCellAnchor>
  <xdr:twoCellAnchor>
    <xdr:from>
      <xdr:col>1</xdr:col>
      <xdr:colOff>0</xdr:colOff>
      <xdr:row>691</xdr:row>
      <xdr:rowOff>0</xdr:rowOff>
    </xdr:from>
    <xdr:to>
      <xdr:col>14</xdr:col>
      <xdr:colOff>149320</xdr:colOff>
      <xdr:row>708</xdr:row>
      <xdr:rowOff>159732</xdr:rowOff>
    </xdr:to>
    <xdr:pic>
      <xdr:nvPicPr>
        <xdr:cNvPr id="10" name="Picture 9">
          <a:extLst>
            <a:ext uri="{FF2B5EF4-FFF2-40B4-BE49-F238E27FC236}">
              <a16:creationId xmlns:a16="http://schemas.microsoft.com/office/drawing/2014/main" id="{E82A6B29-55C7-4DF3-B337-1E1F7E8D3CE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61938" y="131625975"/>
          <a:ext cx="3554507" cy="3398232"/>
        </a:xfrm>
        <a:prstGeom prst="rect">
          <a:avLst/>
        </a:prstGeom>
      </xdr:spPr>
    </xdr:pic>
    <xdr:clientData/>
  </xdr:twoCellAnchor>
  <xdr:twoCellAnchor>
    <xdr:from>
      <xdr:col>15</xdr:col>
      <xdr:colOff>1</xdr:colOff>
      <xdr:row>691</xdr:row>
      <xdr:rowOff>0</xdr:rowOff>
    </xdr:from>
    <xdr:to>
      <xdr:col>33</xdr:col>
      <xdr:colOff>28654</xdr:colOff>
      <xdr:row>707</xdr:row>
      <xdr:rowOff>93497</xdr:rowOff>
    </xdr:to>
    <xdr:pic>
      <xdr:nvPicPr>
        <xdr:cNvPr id="11" name="Picture 10">
          <a:extLst>
            <a:ext uri="{FF2B5EF4-FFF2-40B4-BE49-F238E27FC236}">
              <a16:creationId xmlns:a16="http://schemas.microsoft.com/office/drawing/2014/main" id="{D8490825-21BF-4ED7-8337-115FDF70418B}"/>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929064" y="131625975"/>
          <a:ext cx="4743528" cy="3141497"/>
        </a:xfrm>
        <a:prstGeom prst="rect">
          <a:avLst/>
        </a:prstGeom>
      </xdr:spPr>
    </xdr:pic>
    <xdr:clientData/>
  </xdr:twoCellAnchor>
  <xdr:twoCellAnchor>
    <xdr:from>
      <xdr:col>1</xdr:col>
      <xdr:colOff>0</xdr:colOff>
      <xdr:row>710</xdr:row>
      <xdr:rowOff>0</xdr:rowOff>
    </xdr:from>
    <xdr:to>
      <xdr:col>18</xdr:col>
      <xdr:colOff>152851</xdr:colOff>
      <xdr:row>734</xdr:row>
      <xdr:rowOff>53035</xdr:rowOff>
    </xdr:to>
    <xdr:pic>
      <xdr:nvPicPr>
        <xdr:cNvPr id="12" name="Picture 11">
          <a:extLst>
            <a:ext uri="{FF2B5EF4-FFF2-40B4-BE49-F238E27FC236}">
              <a16:creationId xmlns:a16="http://schemas.microsoft.com/office/drawing/2014/main" id="{CEB0BF79-A90D-4028-8E74-03E78BDE90A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1938" y="135245475"/>
          <a:ext cx="4605788" cy="4625035"/>
        </a:xfrm>
        <a:prstGeom prst="rect">
          <a:avLst/>
        </a:prstGeom>
      </xdr:spPr>
    </xdr:pic>
    <xdr:clientData/>
  </xdr:twoCellAnchor>
  <xdr:twoCellAnchor>
    <xdr:from>
      <xdr:col>20</xdr:col>
      <xdr:colOff>1</xdr:colOff>
      <xdr:row>710</xdr:row>
      <xdr:rowOff>1</xdr:rowOff>
    </xdr:from>
    <xdr:to>
      <xdr:col>32</xdr:col>
      <xdr:colOff>138436</xdr:colOff>
      <xdr:row>723</xdr:row>
      <xdr:rowOff>152768</xdr:rowOff>
    </xdr:to>
    <xdr:pic>
      <xdr:nvPicPr>
        <xdr:cNvPr id="13" name="Picture 12">
          <a:extLst>
            <a:ext uri="{FF2B5EF4-FFF2-40B4-BE49-F238E27FC236}">
              <a16:creationId xmlns:a16="http://schemas.microsoft.com/office/drawing/2014/main" id="{8E5D046C-4B89-4DC9-96C2-27F5349293C9}"/>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238751" y="135245476"/>
          <a:ext cx="3281685" cy="2629267"/>
        </a:xfrm>
        <a:prstGeom prst="rect">
          <a:avLst/>
        </a:prstGeom>
      </xdr:spPr>
    </xdr:pic>
    <xdr:clientData/>
  </xdr:twoCellAnchor>
  <xdr:twoCellAnchor>
    <xdr:from>
      <xdr:col>2</xdr:col>
      <xdr:colOff>0</xdr:colOff>
      <xdr:row>803</xdr:row>
      <xdr:rowOff>0</xdr:rowOff>
    </xdr:from>
    <xdr:to>
      <xdr:col>33</xdr:col>
      <xdr:colOff>9300</xdr:colOff>
      <xdr:row>846</xdr:row>
      <xdr:rowOff>140640</xdr:rowOff>
    </xdr:to>
    <xdr:pic>
      <xdr:nvPicPr>
        <xdr:cNvPr id="14" name="Picture 1">
          <a:extLst>
            <a:ext uri="{FF2B5EF4-FFF2-40B4-BE49-F238E27FC236}">
              <a16:creationId xmlns:a16="http://schemas.microsoft.com/office/drawing/2014/main" id="{DB47739A-E02C-4238-8A26-070CD040C6EE}"/>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t="-1695" b="-2"/>
        <a:stretch>
          <a:fillRect/>
        </a:stretch>
      </xdr:blipFill>
      <xdr:spPr bwMode="auto">
        <a:xfrm>
          <a:off x="523875" y="152961975"/>
          <a:ext cx="8129363" cy="8332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1005</xdr:row>
      <xdr:rowOff>0</xdr:rowOff>
    </xdr:from>
    <xdr:to>
      <xdr:col>34</xdr:col>
      <xdr:colOff>9900</xdr:colOff>
      <xdr:row>1032</xdr:row>
      <xdr:rowOff>11377</xdr:rowOff>
    </xdr:to>
    <xdr:pic>
      <xdr:nvPicPr>
        <xdr:cNvPr id="15" name="Picture 14">
          <a:extLst>
            <a:ext uri="{FF2B5EF4-FFF2-40B4-BE49-F238E27FC236}">
              <a16:creationId xmlns:a16="http://schemas.microsoft.com/office/drawing/2014/main" id="{69D6F26D-B085-45E3-AE11-370C29D95955}"/>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61938" y="191423925"/>
          <a:ext cx="8653837" cy="5154877"/>
        </a:xfrm>
        <a:prstGeom prst="rect">
          <a:avLst/>
        </a:prstGeom>
      </xdr:spPr>
    </xdr:pic>
    <xdr:clientData/>
  </xdr:twoCellAnchor>
  <xdr:twoCellAnchor>
    <xdr:from>
      <xdr:col>1</xdr:col>
      <xdr:colOff>0</xdr:colOff>
      <xdr:row>1252</xdr:row>
      <xdr:rowOff>0</xdr:rowOff>
    </xdr:from>
    <xdr:to>
      <xdr:col>16</xdr:col>
      <xdr:colOff>20385</xdr:colOff>
      <xdr:row>1265</xdr:row>
      <xdr:rowOff>151338</xdr:rowOff>
    </xdr:to>
    <xdr:pic>
      <xdr:nvPicPr>
        <xdr:cNvPr id="16" name="Picture 15">
          <a:extLst>
            <a:ext uri="{FF2B5EF4-FFF2-40B4-BE49-F238E27FC236}">
              <a16:creationId xmlns:a16="http://schemas.microsoft.com/office/drawing/2014/main" id="{9C2F1AB0-EED3-4D36-9B08-92998D407F5A}"/>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61938" y="238477425"/>
          <a:ext cx="3949447" cy="2627838"/>
        </a:xfrm>
        <a:prstGeom prst="rect">
          <a:avLst/>
        </a:prstGeom>
      </xdr:spPr>
    </xdr:pic>
    <xdr:clientData/>
  </xdr:twoCellAnchor>
  <xdr:twoCellAnchor>
    <xdr:from>
      <xdr:col>17</xdr:col>
      <xdr:colOff>1</xdr:colOff>
      <xdr:row>1252</xdr:row>
      <xdr:rowOff>0</xdr:rowOff>
    </xdr:from>
    <xdr:to>
      <xdr:col>34</xdr:col>
      <xdr:colOff>99981</xdr:colOff>
      <xdr:row>1270</xdr:row>
      <xdr:rowOff>124798</xdr:rowOff>
    </xdr:to>
    <xdr:pic>
      <xdr:nvPicPr>
        <xdr:cNvPr id="17" name="Picture 16">
          <a:extLst>
            <a:ext uri="{FF2B5EF4-FFF2-40B4-BE49-F238E27FC236}">
              <a16:creationId xmlns:a16="http://schemas.microsoft.com/office/drawing/2014/main" id="{36D35355-6F1B-43C4-B3D8-68C6C4EE040A}"/>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4452939" y="238477425"/>
          <a:ext cx="4552917" cy="3553798"/>
        </a:xfrm>
        <a:prstGeom prst="rect">
          <a:avLst/>
        </a:prstGeom>
      </xdr:spPr>
    </xdr:pic>
    <xdr:clientData/>
  </xdr:twoCellAnchor>
  <xdr:twoCellAnchor>
    <xdr:from>
      <xdr:col>1</xdr:col>
      <xdr:colOff>0</xdr:colOff>
      <xdr:row>1355</xdr:row>
      <xdr:rowOff>1</xdr:rowOff>
    </xdr:from>
    <xdr:to>
      <xdr:col>34</xdr:col>
      <xdr:colOff>9900</xdr:colOff>
      <xdr:row>1385</xdr:row>
      <xdr:rowOff>141132</xdr:rowOff>
    </xdr:to>
    <xdr:pic>
      <xdr:nvPicPr>
        <xdr:cNvPr id="18" name="Picture 17">
          <a:extLst>
            <a:ext uri="{FF2B5EF4-FFF2-40B4-BE49-F238E27FC236}">
              <a16:creationId xmlns:a16="http://schemas.microsoft.com/office/drawing/2014/main" id="{C0E5A7B5-E126-47D0-9188-1891DBF3AAB5}"/>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61938" y="258098926"/>
          <a:ext cx="8653837" cy="5856131"/>
        </a:xfrm>
        <a:prstGeom prst="rect">
          <a:avLst/>
        </a:prstGeom>
      </xdr:spPr>
    </xdr:pic>
    <xdr:clientData/>
  </xdr:twoCellAnchor>
  <xdr:twoCellAnchor>
    <xdr:from>
      <xdr:col>1</xdr:col>
      <xdr:colOff>1</xdr:colOff>
      <xdr:row>1271</xdr:row>
      <xdr:rowOff>1</xdr:rowOff>
    </xdr:from>
    <xdr:to>
      <xdr:col>15</xdr:col>
      <xdr:colOff>128484</xdr:colOff>
      <xdr:row>1285</xdr:row>
      <xdr:rowOff>115166</xdr:rowOff>
    </xdr:to>
    <xdr:pic>
      <xdr:nvPicPr>
        <xdr:cNvPr id="19" name="Picture 18">
          <a:extLst>
            <a:ext uri="{FF2B5EF4-FFF2-40B4-BE49-F238E27FC236}">
              <a16:creationId xmlns:a16="http://schemas.microsoft.com/office/drawing/2014/main" id="{6CB2D00F-C9C7-4A54-A8E5-04A6C3AB6DF5}"/>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61939" y="242096926"/>
          <a:ext cx="3795608" cy="2782165"/>
        </a:xfrm>
        <a:prstGeom prst="rect">
          <a:avLst/>
        </a:prstGeom>
      </xdr:spPr>
    </xdr:pic>
    <xdr:clientData/>
  </xdr:twoCellAnchor>
  <xdr:twoCellAnchor>
    <xdr:from>
      <xdr:col>16</xdr:col>
      <xdr:colOff>1</xdr:colOff>
      <xdr:row>1271</xdr:row>
      <xdr:rowOff>1</xdr:rowOff>
    </xdr:from>
    <xdr:to>
      <xdr:col>31</xdr:col>
      <xdr:colOff>93262</xdr:colOff>
      <xdr:row>1286</xdr:row>
      <xdr:rowOff>74705</xdr:rowOff>
    </xdr:to>
    <xdr:pic>
      <xdr:nvPicPr>
        <xdr:cNvPr id="20" name="Picture 19">
          <a:extLst>
            <a:ext uri="{FF2B5EF4-FFF2-40B4-BE49-F238E27FC236}">
              <a16:creationId xmlns:a16="http://schemas.microsoft.com/office/drawing/2014/main" id="{32F9BE5E-FFB9-40C0-A509-F2DC8E1A8E65}"/>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4191001" y="242096926"/>
          <a:ext cx="4022324" cy="2932204"/>
        </a:xfrm>
        <a:prstGeom prst="rect">
          <a:avLst/>
        </a:prstGeom>
      </xdr:spPr>
    </xdr:pic>
    <xdr:clientData/>
  </xdr:twoCellAnchor>
  <xdr:twoCellAnchor>
    <xdr:from>
      <xdr:col>1</xdr:col>
      <xdr:colOff>0</xdr:colOff>
      <xdr:row>1569</xdr:row>
      <xdr:rowOff>0</xdr:rowOff>
    </xdr:from>
    <xdr:to>
      <xdr:col>34</xdr:col>
      <xdr:colOff>9900</xdr:colOff>
      <xdr:row>1606</xdr:row>
      <xdr:rowOff>103615</xdr:rowOff>
    </xdr:to>
    <xdr:pic>
      <xdr:nvPicPr>
        <xdr:cNvPr id="21" name="Picture 20">
          <a:extLst>
            <a:ext uri="{FF2B5EF4-FFF2-40B4-BE49-F238E27FC236}">
              <a16:creationId xmlns:a16="http://schemas.microsoft.com/office/drawing/2014/main" id="{13B3D5F6-3FDB-4966-B426-D1A65A577CE3}"/>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261938" y="298865925"/>
          <a:ext cx="8653837" cy="7152115"/>
        </a:xfrm>
        <a:prstGeom prst="rect">
          <a:avLst/>
        </a:prstGeom>
      </xdr:spPr>
    </xdr:pic>
    <xdr:clientData/>
  </xdr:twoCellAnchor>
  <xdr:twoCellAnchor>
    <xdr:from>
      <xdr:col>15</xdr:col>
      <xdr:colOff>0</xdr:colOff>
      <xdr:row>10</xdr:row>
      <xdr:rowOff>0</xdr:rowOff>
    </xdr:from>
    <xdr:to>
      <xdr:col>19</xdr:col>
      <xdr:colOff>2880</xdr:colOff>
      <xdr:row>16</xdr:row>
      <xdr:rowOff>186075</xdr:rowOff>
    </xdr:to>
    <xdr:pic>
      <xdr:nvPicPr>
        <xdr:cNvPr id="22" name="Picture 21">
          <a:extLst>
            <a:ext uri="{FF2B5EF4-FFF2-40B4-BE49-F238E27FC236}">
              <a16:creationId xmlns:a16="http://schemas.microsoft.com/office/drawing/2014/main" id="{399391B1-0C99-4A82-A3EC-EB56C3190008}"/>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3929063" y="1905000"/>
          <a:ext cx="1050630" cy="132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rade_Crossing_Safety_Assessment_WSP_Test7_Combined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pection Form Template"/>
      <sheetName val="GCS Tables and Figures"/>
      <sheetName val="TC_Crossing_Inventory"/>
      <sheetName val="TSB_Occurrence"/>
      <sheetName val="Traffic Signal Preemption Model"/>
    </sheetNames>
    <sheetDataSet>
      <sheetData sheetId="0"/>
      <sheetData sheetId="1">
        <row r="2">
          <cell r="G2" t="str">
            <v>Periodic Assessment</v>
          </cell>
        </row>
        <row r="3">
          <cell r="G3" t="str">
            <v>A Significant Change in Infrastructure</v>
          </cell>
        </row>
        <row r="4">
          <cell r="G4" t="str">
            <v>Whistle Cessation</v>
          </cell>
        </row>
        <row r="5">
          <cell r="A5" t="str">
            <v>Passenger Cars, Vans, and Pickups</v>
          </cell>
          <cell r="B5" t="str">
            <v>Cars</v>
          </cell>
          <cell r="C5">
            <v>5.6</v>
          </cell>
          <cell r="G5" t="str">
            <v>2+ Fatal Collisions in 5-Year Period</v>
          </cell>
        </row>
        <row r="6">
          <cell r="A6" t="str">
            <v>Light Single-Unit Trucks</v>
          </cell>
          <cell r="B6" t="str">
            <v>Single-Unit Trucks</v>
          </cell>
          <cell r="C6">
            <v>6.4</v>
          </cell>
          <cell r="G6" t="str">
            <v>Other Collision Experience (see below)</v>
          </cell>
        </row>
        <row r="7">
          <cell r="A7" t="str">
            <v>Medium Single-Unit Trucks</v>
          </cell>
          <cell r="B7" t="str">
            <v>Single-Unit Trucks</v>
          </cell>
          <cell r="C7">
            <v>10</v>
          </cell>
          <cell r="G7" t="str">
            <v>Receipt of a notice from a Railway Company, under Section 3 of the Notice of Railway Works Regulations. Ref. (GCR 12.(2))</v>
          </cell>
        </row>
        <row r="8">
          <cell r="A8" t="str">
            <v>Heavy Single-Unit Trucks</v>
          </cell>
          <cell r="B8" t="str">
            <v>Single-Unit Trucks</v>
          </cell>
          <cell r="C8">
            <v>11.5</v>
          </cell>
          <cell r="G8" t="str">
            <v>A change in the design vehicle and the sightlines at the grade crossing, which must meet the requirements in Section 20 of the GCR. Ref. (GCR 13 GCR 28.(c))</v>
          </cell>
        </row>
        <row r="9">
          <cell r="A9" t="str">
            <v>WB-19 Tractor-Semitrailers</v>
          </cell>
          <cell r="B9" t="str">
            <v>Tractor Trailers</v>
          </cell>
          <cell r="C9">
            <v>20.7</v>
          </cell>
          <cell r="G9" t="str">
            <v>An increase in the design speed of the road crossing, which will result in a change to the road approach's classification as set out in column B of the Table 10-2 of the Grade Crossings Standards (GCS). Ref. (GCR 13 GCR 28.(d))</v>
          </cell>
        </row>
        <row r="10">
          <cell r="A10" t="str">
            <v>WB-20 Tractor-Semitrailers</v>
          </cell>
          <cell r="B10" t="str">
            <v>Tractor Trailers</v>
          </cell>
          <cell r="C10">
            <v>22.7</v>
          </cell>
          <cell r="G10" t="str">
            <v>The location, gradient or crossing angle of a grade crossing has changed, and Articles 6 and 11 of the GCS must be applied in a manner that improves the overall safety of the grade crossing. Ref. (GCR 13 GCR 88.(1))</v>
          </cell>
        </row>
        <row r="11">
          <cell r="A11" t="str">
            <v>A-Train Doubles (ATD)</v>
          </cell>
          <cell r="B11" t="str">
            <v>Combination Vehicles</v>
          </cell>
          <cell r="C11">
            <v>24.5</v>
          </cell>
          <cell r="G11" t="str">
            <v>An increase of the absolute gradient of a road approach to an existing grade crossing which meets the standards set out in Article 6.3 of the GCS. Ref. (GCR 13 GCR 88.(2))</v>
          </cell>
        </row>
        <row r="12">
          <cell r="A12" t="str">
            <v>B-Train Doubles</v>
          </cell>
          <cell r="B12" t="str">
            <v>Combination Vehicles</v>
          </cell>
          <cell r="C12">
            <v>25</v>
          </cell>
          <cell r="G12" t="str">
            <v>The number or width of traffic lanes of a road approach increases, or a shoulder is added or a shoulder's width is increased. The grade crossing must meet the standards set out in Articles 5.1 and 6.4 of the GCS. Ref. (GCR 13 GCR 89)</v>
          </cell>
        </row>
        <row r="13">
          <cell r="A13" t="str">
            <v>Standard Single-Unit Buses (B-12)</v>
          </cell>
          <cell r="B13" t="str">
            <v>Buses</v>
          </cell>
          <cell r="C13">
            <v>12.2</v>
          </cell>
          <cell r="G13" t="str">
            <v>A traffic signal is installed at a grade crossing that corresponds to the specifications set out in Article 19.1 of the GCS, the warning system must be interconnected with the traffic signal, and the interconnection must meet the standards set out in Articles 19.2 to 19.4 of the GCS. Ref. (GCR 13 GCR 90)</v>
          </cell>
        </row>
        <row r="14">
          <cell r="A14" t="str">
            <v>Articulated Buses (A-Bus)</v>
          </cell>
          <cell r="B14" t="str">
            <v>Buses</v>
          </cell>
          <cell r="C14">
            <v>18.3</v>
          </cell>
          <cell r="G14" t="str">
            <v>A change in the design vehicle, which has resulted in a change to the period of time that the warning system must operate, before railway equipment reaches the crossing surface and therefore must meet the standards set out in Article 16.1 of the GCS. Ref. (GCR 13 GCR 91)</v>
          </cell>
        </row>
        <row r="15">
          <cell r="A15" t="str">
            <v>Intercity Buses (I-Bus)</v>
          </cell>
          <cell r="B15" t="str">
            <v>Buses</v>
          </cell>
          <cell r="C15">
            <v>14</v>
          </cell>
          <cell r="G15" t="str">
            <v>Receipt of a notice from a Road Authority under Section 3 of the Notice of Railway Works Regulations. Ref. (GCR 4.(2))</v>
          </cell>
        </row>
        <row r="16">
          <cell r="A16" t="str">
            <v>Pedestrian Only</v>
          </cell>
          <cell r="B16" t="str">
            <v>Pedestrian</v>
          </cell>
          <cell r="C16" t="str">
            <v>N/A</v>
          </cell>
          <cell r="G16" t="str">
            <v>A line of railway is added within the sightlines of the grade crossing and the sightlines must meet the requirements in Section 20 of the GCR. Ref. (GCR 5 – GCR 28.(a))</v>
          </cell>
        </row>
        <row r="17">
          <cell r="G17" t="str">
            <v>There is a change in the class of track referred to in column 1 of the table in article 7.1.2 of the Grade Crossing Standards (GCS),  taking into account the maximum allowable operating speeds set out in column 2 or 3 of that table. Sightlines at the grade crossing must meet the requirements in Section 20 of the GCR. Ref. (GCR 5 – GCR 28.(b))</v>
          </cell>
        </row>
        <row r="18">
          <cell r="G18" t="str">
            <v>A new warning system is installed at a grade crossing and must meet the applicable standards set out in Articles 12 to 16 of the GCS. Ref. (GCR 5 – GCR 87.(1))</v>
          </cell>
        </row>
        <row r="19">
          <cell r="G19" t="str">
            <v>A component of a warning system is modified or installed and must meet the applicable standards set out in Articles 12 and 16 of the GCS. Ref. (GCR 5 – GCR 87.(2))</v>
          </cell>
        </row>
        <row r="20">
          <cell r="G20" t="str">
            <v>A new installation of a warning system, or the modification or installation of a component of a warning system which results from an increase in the railway design speed. The warning system or component must meet the applicable standards set out in Articles 12 and 16 of the GCS before the increase in the railway design speed takes effect. Ref. (GCR 5 – GCR 87.(3))</v>
          </cell>
        </row>
        <row r="97">
          <cell r="F97">
            <v>-0.1</v>
          </cell>
          <cell r="G97">
            <v>-0.09</v>
          </cell>
          <cell r="H97">
            <v>-0.08</v>
          </cell>
          <cell r="I97">
            <v>-7.0000000000000007E-2</v>
          </cell>
          <cell r="J97">
            <v>-0.06</v>
          </cell>
          <cell r="K97">
            <v>-0.05</v>
          </cell>
          <cell r="L97">
            <v>-0.04</v>
          </cell>
          <cell r="M97">
            <v>-0.03</v>
          </cell>
          <cell r="N97">
            <v>-0.02</v>
          </cell>
          <cell r="O97">
            <v>-0.01</v>
          </cell>
          <cell r="P97">
            <v>0</v>
          </cell>
          <cell r="Q97">
            <v>0.01</v>
          </cell>
          <cell r="R97">
            <v>0.02</v>
          </cell>
          <cell r="S97">
            <v>0.03</v>
          </cell>
          <cell r="T97">
            <v>0.04</v>
          </cell>
          <cell r="U97">
            <v>0.05</v>
          </cell>
          <cell r="V97">
            <v>0.06</v>
          </cell>
          <cell r="W97">
            <v>7.0000000000000007E-2</v>
          </cell>
          <cell r="X97">
            <v>0.08</v>
          </cell>
          <cell r="Y97">
            <v>0.09</v>
          </cell>
          <cell r="Z97">
            <v>0.1</v>
          </cell>
        </row>
        <row r="98">
          <cell r="E98" t="str">
            <v>0-10</v>
          </cell>
          <cell r="F98">
            <v>8</v>
          </cell>
          <cell r="G98">
            <v>8</v>
          </cell>
          <cell r="H98">
            <v>8</v>
          </cell>
          <cell r="I98">
            <v>8</v>
          </cell>
          <cell r="J98">
            <v>8</v>
          </cell>
          <cell r="K98">
            <v>8</v>
          </cell>
          <cell r="L98">
            <v>8</v>
          </cell>
          <cell r="M98">
            <v>8</v>
          </cell>
          <cell r="N98">
            <v>8</v>
          </cell>
          <cell r="O98">
            <v>8</v>
          </cell>
          <cell r="P98">
            <v>8</v>
          </cell>
          <cell r="Q98">
            <v>8</v>
          </cell>
          <cell r="R98">
            <v>8</v>
          </cell>
          <cell r="S98">
            <v>8</v>
          </cell>
          <cell r="T98">
            <v>8</v>
          </cell>
          <cell r="U98">
            <v>8</v>
          </cell>
          <cell r="V98">
            <v>8</v>
          </cell>
          <cell r="W98">
            <v>8</v>
          </cell>
          <cell r="X98">
            <v>8</v>
          </cell>
          <cell r="Y98">
            <v>8</v>
          </cell>
          <cell r="Z98">
            <v>8</v>
          </cell>
        </row>
        <row r="99">
          <cell r="E99" t="str">
            <v>11-20</v>
          </cell>
          <cell r="F99">
            <v>21</v>
          </cell>
          <cell r="G99">
            <v>21</v>
          </cell>
          <cell r="H99">
            <v>21</v>
          </cell>
          <cell r="I99">
            <v>21</v>
          </cell>
          <cell r="J99">
            <v>21</v>
          </cell>
          <cell r="K99">
            <v>21</v>
          </cell>
          <cell r="L99">
            <v>20</v>
          </cell>
          <cell r="M99">
            <v>20</v>
          </cell>
          <cell r="N99">
            <v>20</v>
          </cell>
          <cell r="O99">
            <v>20</v>
          </cell>
          <cell r="P99">
            <v>20</v>
          </cell>
          <cell r="Q99">
            <v>20</v>
          </cell>
          <cell r="R99">
            <v>20</v>
          </cell>
          <cell r="S99">
            <v>20</v>
          </cell>
          <cell r="T99">
            <v>20</v>
          </cell>
          <cell r="U99">
            <v>20</v>
          </cell>
          <cell r="V99">
            <v>19</v>
          </cell>
          <cell r="W99">
            <v>19</v>
          </cell>
          <cell r="X99">
            <v>19</v>
          </cell>
          <cell r="Y99">
            <v>19</v>
          </cell>
          <cell r="Z99">
            <v>19</v>
          </cell>
        </row>
        <row r="100">
          <cell r="E100" t="str">
            <v>21-30</v>
          </cell>
          <cell r="F100">
            <v>33</v>
          </cell>
          <cell r="G100">
            <v>33</v>
          </cell>
          <cell r="H100">
            <v>32</v>
          </cell>
          <cell r="I100">
            <v>32</v>
          </cell>
          <cell r="J100">
            <v>32</v>
          </cell>
          <cell r="K100">
            <v>31</v>
          </cell>
          <cell r="L100">
            <v>31</v>
          </cell>
          <cell r="M100">
            <v>31</v>
          </cell>
          <cell r="N100">
            <v>30</v>
          </cell>
          <cell r="O100">
            <v>30</v>
          </cell>
          <cell r="P100">
            <v>30</v>
          </cell>
          <cell r="Q100">
            <v>30</v>
          </cell>
          <cell r="R100">
            <v>30</v>
          </cell>
          <cell r="S100">
            <v>29</v>
          </cell>
          <cell r="T100">
            <v>29</v>
          </cell>
          <cell r="U100">
            <v>29</v>
          </cell>
          <cell r="V100">
            <v>29</v>
          </cell>
          <cell r="W100">
            <v>29</v>
          </cell>
          <cell r="X100">
            <v>29</v>
          </cell>
          <cell r="Y100">
            <v>28</v>
          </cell>
          <cell r="Z100">
            <v>28</v>
          </cell>
        </row>
        <row r="101">
          <cell r="E101" t="str">
            <v>31-40</v>
          </cell>
          <cell r="F101">
            <v>51</v>
          </cell>
          <cell r="G101">
            <v>50</v>
          </cell>
          <cell r="H101">
            <v>49</v>
          </cell>
          <cell r="I101">
            <v>49</v>
          </cell>
          <cell r="J101">
            <v>48</v>
          </cell>
          <cell r="K101">
            <v>48</v>
          </cell>
          <cell r="L101">
            <v>47</v>
          </cell>
          <cell r="M101">
            <v>46</v>
          </cell>
          <cell r="N101">
            <v>46</v>
          </cell>
          <cell r="O101">
            <v>45</v>
          </cell>
          <cell r="P101">
            <v>45</v>
          </cell>
          <cell r="Q101">
            <v>45</v>
          </cell>
          <cell r="R101">
            <v>44</v>
          </cell>
          <cell r="S101">
            <v>44</v>
          </cell>
          <cell r="T101">
            <v>43</v>
          </cell>
          <cell r="U101">
            <v>43</v>
          </cell>
          <cell r="V101">
            <v>43</v>
          </cell>
          <cell r="W101">
            <v>42</v>
          </cell>
          <cell r="X101">
            <v>42</v>
          </cell>
          <cell r="Y101">
            <v>42</v>
          </cell>
          <cell r="Z101">
            <v>42</v>
          </cell>
        </row>
        <row r="102">
          <cell r="E102" t="str">
            <v>41-50</v>
          </cell>
          <cell r="F102">
            <v>76</v>
          </cell>
          <cell r="G102">
            <v>75</v>
          </cell>
          <cell r="H102">
            <v>73</v>
          </cell>
          <cell r="I102">
            <v>72</v>
          </cell>
          <cell r="J102">
            <v>71</v>
          </cell>
          <cell r="K102">
            <v>70</v>
          </cell>
          <cell r="L102">
            <v>69</v>
          </cell>
          <cell r="M102">
            <v>68</v>
          </cell>
          <cell r="N102">
            <v>67</v>
          </cell>
          <cell r="O102">
            <v>66</v>
          </cell>
          <cell r="P102">
            <v>65</v>
          </cell>
          <cell r="Q102">
            <v>64</v>
          </cell>
          <cell r="R102">
            <v>63</v>
          </cell>
          <cell r="S102">
            <v>63</v>
          </cell>
          <cell r="T102">
            <v>62</v>
          </cell>
          <cell r="U102">
            <v>61</v>
          </cell>
          <cell r="V102">
            <v>61</v>
          </cell>
          <cell r="W102">
            <v>60</v>
          </cell>
          <cell r="X102">
            <v>60</v>
          </cell>
          <cell r="Y102">
            <v>59</v>
          </cell>
          <cell r="Z102">
            <v>59</v>
          </cell>
        </row>
        <row r="103">
          <cell r="E103" t="str">
            <v>51-60</v>
          </cell>
          <cell r="F103">
            <v>104</v>
          </cell>
          <cell r="G103">
            <v>101</v>
          </cell>
          <cell r="H103">
            <v>99</v>
          </cell>
          <cell r="I103">
            <v>97</v>
          </cell>
          <cell r="J103">
            <v>95</v>
          </cell>
          <cell r="K103">
            <v>93</v>
          </cell>
          <cell r="L103">
            <v>91</v>
          </cell>
          <cell r="M103">
            <v>89</v>
          </cell>
          <cell r="N103">
            <v>88</v>
          </cell>
          <cell r="O103">
            <v>86</v>
          </cell>
          <cell r="P103">
            <v>85</v>
          </cell>
          <cell r="Q103">
            <v>84</v>
          </cell>
          <cell r="R103">
            <v>83</v>
          </cell>
          <cell r="S103">
            <v>81</v>
          </cell>
          <cell r="T103">
            <v>80</v>
          </cell>
          <cell r="U103">
            <v>79</v>
          </cell>
          <cell r="V103">
            <v>78</v>
          </cell>
          <cell r="W103">
            <v>77</v>
          </cell>
          <cell r="X103">
            <v>77</v>
          </cell>
          <cell r="Y103">
            <v>76</v>
          </cell>
          <cell r="Z103">
            <v>75</v>
          </cell>
        </row>
        <row r="104">
          <cell r="E104" t="str">
            <v>61-70</v>
          </cell>
          <cell r="F104">
            <v>140</v>
          </cell>
          <cell r="G104">
            <v>135</v>
          </cell>
          <cell r="H104">
            <v>132</v>
          </cell>
          <cell r="I104">
            <v>128</v>
          </cell>
          <cell r="J104">
            <v>125</v>
          </cell>
          <cell r="K104">
            <v>122</v>
          </cell>
          <cell r="L104">
            <v>119</v>
          </cell>
          <cell r="M104">
            <v>117</v>
          </cell>
          <cell r="N104">
            <v>114</v>
          </cell>
          <cell r="O104">
            <v>112</v>
          </cell>
          <cell r="P104">
            <v>110</v>
          </cell>
          <cell r="Q104">
            <v>108</v>
          </cell>
          <cell r="R104">
            <v>106</v>
          </cell>
          <cell r="S104">
            <v>105</v>
          </cell>
          <cell r="T104">
            <v>103</v>
          </cell>
          <cell r="U104">
            <v>101</v>
          </cell>
          <cell r="V104">
            <v>100</v>
          </cell>
          <cell r="W104">
            <v>99</v>
          </cell>
          <cell r="X104">
            <v>97</v>
          </cell>
          <cell r="Y104">
            <v>96</v>
          </cell>
          <cell r="Z104">
            <v>95</v>
          </cell>
        </row>
        <row r="105">
          <cell r="E105" t="str">
            <v>71-80</v>
          </cell>
          <cell r="F105">
            <v>182</v>
          </cell>
          <cell r="G105">
            <v>176</v>
          </cell>
          <cell r="H105">
            <v>171</v>
          </cell>
          <cell r="I105">
            <v>166</v>
          </cell>
          <cell r="J105">
            <v>161</v>
          </cell>
          <cell r="K105">
            <v>157</v>
          </cell>
          <cell r="L105">
            <v>153</v>
          </cell>
          <cell r="M105">
            <v>149</v>
          </cell>
          <cell r="N105">
            <v>146</v>
          </cell>
          <cell r="O105">
            <v>143</v>
          </cell>
          <cell r="P105">
            <v>140</v>
          </cell>
          <cell r="Q105">
            <v>137</v>
          </cell>
          <cell r="R105">
            <v>135</v>
          </cell>
          <cell r="S105">
            <v>132</v>
          </cell>
          <cell r="T105">
            <v>130</v>
          </cell>
          <cell r="U105">
            <v>128</v>
          </cell>
          <cell r="V105">
            <v>126</v>
          </cell>
          <cell r="W105">
            <v>124</v>
          </cell>
          <cell r="X105">
            <v>122</v>
          </cell>
          <cell r="Y105">
            <v>121</v>
          </cell>
          <cell r="Z105">
            <v>119</v>
          </cell>
        </row>
        <row r="106">
          <cell r="E106" t="str">
            <v>81-90</v>
          </cell>
          <cell r="F106">
            <v>223</v>
          </cell>
          <cell r="G106">
            <v>216</v>
          </cell>
          <cell r="H106">
            <v>209</v>
          </cell>
          <cell r="I106">
            <v>202</v>
          </cell>
          <cell r="J106">
            <v>197</v>
          </cell>
          <cell r="K106">
            <v>191</v>
          </cell>
          <cell r="L106">
            <v>186</v>
          </cell>
          <cell r="M106">
            <v>182</v>
          </cell>
          <cell r="N106">
            <v>178</v>
          </cell>
          <cell r="O106">
            <v>174</v>
          </cell>
          <cell r="P106">
            <v>170</v>
          </cell>
          <cell r="Q106">
            <v>167</v>
          </cell>
          <cell r="R106">
            <v>163</v>
          </cell>
          <cell r="S106">
            <v>160</v>
          </cell>
          <cell r="T106">
            <v>157</v>
          </cell>
          <cell r="U106">
            <v>155</v>
          </cell>
          <cell r="V106">
            <v>152</v>
          </cell>
          <cell r="W106">
            <v>150</v>
          </cell>
          <cell r="X106">
            <v>148</v>
          </cell>
          <cell r="Y106">
            <v>145</v>
          </cell>
          <cell r="Z106">
            <v>143</v>
          </cell>
        </row>
        <row r="107">
          <cell r="E107" t="str">
            <v>91-100</v>
          </cell>
          <cell r="F107">
            <v>281</v>
          </cell>
          <cell r="G107">
            <v>271</v>
          </cell>
          <cell r="H107">
            <v>262</v>
          </cell>
          <cell r="I107">
            <v>253</v>
          </cell>
          <cell r="J107">
            <v>245</v>
          </cell>
          <cell r="K107">
            <v>238</v>
          </cell>
          <cell r="L107">
            <v>232</v>
          </cell>
          <cell r="M107">
            <v>226</v>
          </cell>
          <cell r="N107">
            <v>220</v>
          </cell>
          <cell r="O107">
            <v>215</v>
          </cell>
          <cell r="P107">
            <v>210</v>
          </cell>
          <cell r="Q107">
            <v>205</v>
          </cell>
          <cell r="R107">
            <v>201</v>
          </cell>
          <cell r="S107">
            <v>197</v>
          </cell>
          <cell r="T107">
            <v>194</v>
          </cell>
          <cell r="U107">
            <v>190</v>
          </cell>
          <cell r="V107">
            <v>187</v>
          </cell>
          <cell r="W107">
            <v>184</v>
          </cell>
          <cell r="X107">
            <v>181</v>
          </cell>
          <cell r="Y107">
            <v>178</v>
          </cell>
          <cell r="Z107">
            <v>175</v>
          </cell>
        </row>
        <row r="108">
          <cell r="E108" t="str">
            <v>101-110</v>
          </cell>
          <cell r="F108">
            <v>345</v>
          </cell>
          <cell r="G108">
            <v>331</v>
          </cell>
          <cell r="H108">
            <v>318</v>
          </cell>
          <cell r="I108">
            <v>307</v>
          </cell>
          <cell r="J108">
            <v>296</v>
          </cell>
          <cell r="K108">
            <v>287</v>
          </cell>
          <cell r="L108">
            <v>278</v>
          </cell>
          <cell r="M108">
            <v>270</v>
          </cell>
          <cell r="N108">
            <v>263</v>
          </cell>
          <cell r="O108">
            <v>256</v>
          </cell>
          <cell r="P108">
            <v>250</v>
          </cell>
          <cell r="Q108">
            <v>244</v>
          </cell>
          <cell r="R108">
            <v>239</v>
          </cell>
          <cell r="S108">
            <v>234</v>
          </cell>
          <cell r="T108">
            <v>229</v>
          </cell>
          <cell r="U108">
            <v>224</v>
          </cell>
          <cell r="V108">
            <v>220</v>
          </cell>
          <cell r="W108">
            <v>216</v>
          </cell>
          <cell r="X108">
            <v>307</v>
          </cell>
          <cell r="Y108">
            <v>209</v>
          </cell>
          <cell r="Z108">
            <v>205</v>
          </cell>
        </row>
        <row r="113">
          <cell r="A113" t="str">
            <v>Cars</v>
          </cell>
          <cell r="B113">
            <v>0.7</v>
          </cell>
          <cell r="C113">
            <v>0.9</v>
          </cell>
          <cell r="D113">
            <v>1</v>
          </cell>
          <cell r="E113">
            <v>1.1000000000000001</v>
          </cell>
          <cell r="F113">
            <v>1.3</v>
          </cell>
        </row>
        <row r="114">
          <cell r="A114" t="str">
            <v>Single-Unit Trucks</v>
          </cell>
          <cell r="B114">
            <v>0.8</v>
          </cell>
          <cell r="C114">
            <v>0.9</v>
          </cell>
          <cell r="D114">
            <v>1</v>
          </cell>
          <cell r="E114">
            <v>1.1000000000000001</v>
          </cell>
          <cell r="F114">
            <v>1.3</v>
          </cell>
        </row>
        <row r="115">
          <cell r="A115" t="str">
            <v>Buses</v>
          </cell>
          <cell r="B115">
            <v>0.8</v>
          </cell>
          <cell r="C115">
            <v>0.9</v>
          </cell>
          <cell r="D115">
            <v>1</v>
          </cell>
          <cell r="E115">
            <v>1.1000000000000001</v>
          </cell>
          <cell r="F115">
            <v>1.3</v>
          </cell>
        </row>
        <row r="116">
          <cell r="A116" t="str">
            <v>Tractor Trailers</v>
          </cell>
          <cell r="B116">
            <v>0.8</v>
          </cell>
          <cell r="C116">
            <v>0.9</v>
          </cell>
          <cell r="D116">
            <v>1</v>
          </cell>
          <cell r="E116">
            <v>1.2</v>
          </cell>
          <cell r="F116">
            <v>1.7</v>
          </cell>
        </row>
        <row r="117">
          <cell r="A117" t="str">
            <v>Combination Vehicles</v>
          </cell>
          <cell r="B117">
            <v>0.8</v>
          </cell>
          <cell r="C117">
            <v>0.9</v>
          </cell>
          <cell r="D117">
            <v>1</v>
          </cell>
          <cell r="E117">
            <v>1.2</v>
          </cell>
          <cell r="F117">
            <v>1.7</v>
          </cell>
        </row>
      </sheetData>
      <sheetData sheetId="2"/>
      <sheetData sheetId="3"/>
      <sheetData sheetId="4"/>
    </sheetDataSet>
  </externalBook>
</externalLink>
</file>

<file path=xl/persons/person.xml><?xml version="1.0" encoding="utf-8"?>
<personList xmlns="http://schemas.microsoft.com/office/spreadsheetml/2018/threadedcomments" xmlns:x="http://schemas.openxmlformats.org/spreadsheetml/2006/main">
  <person displayName="Michael Orr" id="{38AA4CD5-8077-4E76-82B2-2443D4373EDE}" userId="9fda76fd40f0d0b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D287" dT="2021-07-03T20:44:45.81" personId="{38AA4CD5-8077-4E76-82B2-2443D4373EDE}" id="{0E090469-3B9F-4539-A320-2B41F00E40DB}">
    <text>GCS 10.3.1 
The Departure Time is the greater of the time required for the design vehicle to pass completely through the Clearance Distance (cd) from a stopped position (TD) or the time required for pedestrians, cyclists and persons using assistive devices to pass completely through the Clearance Distance (cd) (TP). 
Table 10-1 Ratios of Acceleration Times on Grades must be used to account for the effects of road gradient on the design vehicle for the grade crossing. The established ratio of acceleration time (G) must be incorporated into the Acceleration Time (T) by multiplying the acceleration time on level ground (t) by the ratio of acceleration time (G).</text>
  </threadedComment>
  <threadedComment ref="AD291" dT="2021-07-03T20:46:39.32" personId="{38AA4CD5-8077-4E76-82B2-2443D4373EDE}" id="{DA0C9812-78CD-46D7-A151-344795B124AD}">
    <text>GCS 10.2.1 
The total distance, in metres, the design vehicle must travel during acceleration to pass completely through the Clearance Distance (cd) is calculated using the following formula:
s = cd + L
where,
cd = the Clearance Distance, in metres; and
L = the total length, in metres, of the design vehicle.</text>
  </threadedComment>
  <threadedComment ref="AD293" dT="2021-07-03T20:49:18.02" personId="{38AA4CD5-8077-4E76-82B2-2443D4373EDE}" id="{8735C950-9936-42D9-BFF6-E6A2DFDCBB2C}">
    <text>GCS 10.3.2 
Departure Time - Design Vehicle (TD)
The total time, in seconds, the design vehicle must travel to pass completely through the Clearance Distance (cd) is calculated using the following formula:
TD = J + T
where,
J = the perception-reaction time, in seconds, of the crossing user to look in both directions, shift gears, if necessary, and prepare to start (must use 2 seconds at minimum); and
T = the time, in seconds, for the grade crossing design vehicle to travel through the Vehicle Travel Distance (s) taking into account the actual road gradient at the grade crossing.
T may be obtained through direct measurement or calculated using the following formula:
T = (t x G)
where,
t = the time, in seconds, required for the design vehicle to accelerate through the Vehicle Travel Distance (s) on level ground established from Figure 10-2 Assumed Acceleration Curves; and
G = the ratio of acceleration time established from Table 10-1Ratios of Acceleration Times on Grade or may be obtained through direct measurement.</text>
  </threadedComment>
  <threadedComment ref="AD383" dT="2021-07-03T20:50:51.76" personId="{38AA4CD5-8077-4E76-82B2-2443D4373EDE}" id="{90A85E8D-E791-45F0-93FE-670008D6465D}">
    <text>GCS 11.1 A public grade crossing where the railway design speed is more than 25 km/h (15 mph) must be constructed so that no part of the travelled way of an intersecting road or entranceway (other than a railway service road), is closer than 30 m (D) to the nearest rail of the grade crossing (see Figure 11-1).</text>
  </threadedComment>
  <threadedComment ref="AD488" dT="2021-07-03T20:55:14.61" personId="{38AA4CD5-8077-4E76-82B2-2443D4373EDE}" id="{0FC21813-FEC7-427B-A507-ADD9538B37B6}">
    <text>GCS 5.1 Crossing surface of a grade crossing, and a crossing surface of a sidewalk, path or trail must
be as shown in Figure 5-1 and in accordance with Table 5-1, and must be smooth and continuous.</text>
  </threadedComment>
  <threadedComment ref="AD536" dT="2021-07-03T20:55:49.90" personId="{38AA4CD5-8077-4E76-82B2-2443D4373EDE}" id="{5669EFB3-42DC-431C-B7BF-5F211373635D}">
    <text>GCS 6.1 The horizontal and vertical alignment of the road approach and the crossing surface must be smooth and continuous.</text>
  </threadedComment>
  <threadedComment ref="AD538" dT="2021-07-03T20:56:18.54" personId="{38AA4CD5-8077-4E76-82B2-2443D4373EDE}" id="{B0C76940-2630-4644-BA85-B1F53CF20AB0}">
    <text>GCS 6.4 The width of the travelled way and shoulders at the crossing surface must not be less than the width of the travelled way and shoulders on the road approaches.</text>
  </threadedComment>
  <threadedComment ref="AD541" dT="2021-07-03T20:57:04.01" personId="{38AA4CD5-8077-4E76-82B2-2443D4373EDE}" id="{9EEFF45D-84AC-4245-A939-F4D23F648BDE}">
    <text>GCS 6.3 The maximum gradients for road approaches must not exceed the following:
(a) ratio of 1:50 (2 per cent) within 8 m of the nearest rail and 1:20 (5 per cent) for 10 m beyond, at public grade crossings for vehicular use;
(b) ratio of 1:50 (2 per cent) within 8 m of the nearest rail and 1:10 (10 per cent) for 10 m beyond, at private grade crossings for vehicular use;
(c) ratio of 1:50 (2 per cent) within 5 m of the nearest rail at a sidewalk, path or trail; and
(d) ratio of 1:100 (1 per cent) within 5 m of the nearest rail at a sidewalk, path or trail designated by the road authority for use by persons using assistive devices.</text>
  </threadedComment>
  <threadedComment ref="AD546" dT="2021-07-03T20:58:25.49" personId="{38AA4CD5-8077-4E76-82B2-2443D4373EDE}" id="{EC21B95C-EDBC-4479-93DA-27067FC0CC22}">
    <text>GCS 6.2 The allowable difference between the road approach gradient and railway cross-slope, or the railway gradient and the road approach cross-slope, must be in accordance with Table 6-1 Difference in Gradient.</text>
  </threadedComment>
  <threadedComment ref="AD556" dT="2021-07-03T21:00:02.04" personId="{38AA4CD5-8077-4E76-82B2-2443D4373EDE}" id="{FDF66DCA-4805-4588-A9E1-911DC9190795}">
    <text>GCS 6.5 A grade crossing angle, measured from the tangent of the centreline of the road approach at the crossing surface, to the tangent of the centreline of the line of railway, shall, where the railway design speed is more than 25 km/h (15 mph) be:
(a) not less than 70 and not greater than 110 degrees for grade crossings without a warning system; or
(b) not less than 30 and not greater than 150 degrees for grade crossings with a warning system.</text>
  </threadedComment>
  <threadedComment ref="AD748" dT="2021-07-04T18:40:06.57" personId="{38AA4CD5-8077-4E76-82B2-2443D4373EDE}" id="{87A3B2DE-9BB9-46C8-8A33-CD6EBA3659A7}">
    <text>GCS 8.1.3 
A 100 mm retroreflective strip must be applied on the back of each blade of the Railway Crossing Sign, for the full length of each blade;</text>
  </threadedComment>
  <threadedComment ref="AD750" dT="2021-07-04T18:40:37.09" personId="{38AA4CD5-8077-4E76-82B2-2443D4373EDE}" id="{5F88325E-E948-4C2A-A2A1-1B99AB278D17}">
    <text>GCS 8.1.4 
A 50 mm strip of silver white sheeting must be applied on the front and back of the supporting post, extending from no higher than 300 mm above the crown of the adjacent road surface to 70 mm above the centre of the Railway Crossing sign and must be as shown in Figure 8-2.</text>
  </threadedComment>
  <threadedComment ref="AD753" dT="2021-07-04T18:41:33.59" personId="{38AA4CD5-8077-4E76-82B2-2443D4373EDE}" id="{B5428EC6-65AA-4C22-B372-298070E15C5B}">
    <text>GCS 8.1.5 The railway crossing sign must be located:
b. must not be located closer than 3 m measured to the nearest rail, as shown in Figure 8-3(a) and 8-3(b).</text>
  </threadedComment>
  <threadedComment ref="AD755" dT="2021-07-04T18:41:58.02" personId="{38AA4CD5-8077-4E76-82B2-2443D4373EDE}" id="{E8BACEBF-215E-4D1F-BA48-833040D30BA0}">
    <text>GCS 8.1.5 The railway crossing sign must be located:
a) . between 0.3 m and 2.0 m from the face of the curb, or the outer edge of the road 
shoulder or, where there is no curb or shoulder, 2.0 m to 4.5 m from the edge of the travelled way; and</text>
  </threadedComment>
  <threadedComment ref="AD760" dT="2021-07-04T18:43:01.00" personId="{38AA4CD5-8077-4E76-82B2-2443D4373EDE}" id="{AD761219-2A3D-41EC-9D5E-A02C73C206EA}">
    <text>GCS 8.1.6 
A sidewalk, path or trail with a centreline that is more than 3.6 m (12 ft.) from a Railway Crossing sign supporting post beside a road approach for vehicle traffic must have separate Railway Crossing signs, as shown in Figure 8-3(a).</text>
  </threadedComment>
  <threadedComment ref="AD781" dT="2021-07-04T18:46:17.64" personId="{38AA4CD5-8077-4E76-82B2-2443D4373EDE}" id="{D6150D4B-759B-49AB-8C41-A37E9D7A6AA2}">
    <text>GCS 4.1 A sign providing warning of a grade crossing (Railway Crossing sign) must have a 50 mm border of transparent red ink that is silk-screen processed over silver-white sheeting material, as shown in Figure 4-1(a). A sign indicating the number of tracks (Number of Tracks sign) must have a digit and symbol that is transparent red or black ink that is silk-screened processed over silver-white sheeting material, as shown in Figure 4-1(b).</text>
  </threadedComment>
  <threadedComment ref="AD783" dT="2021-07-04T18:46:17.64" personId="{38AA4CD5-8077-4E76-82B2-2443D4373EDE}" id="{9CB6D954-7261-40D4-8FDB-E87FA80677E9}">
    <text>GCS 4.1 A sign providing warning of a grade crossing (Railway Crossing sign) must have a 50 mm border of transparent red ink that is silk-screen processed over silver-white sheeting material, as shown in Figure 4-1(a). A sign indicating the number of tracks (Number of Tracks sign) must have a digit and symbol that is transparent red or black ink that is silk-screened processed over silver-white sheeting material, as shown in Figure 4-1(b).</text>
  </threadedComment>
  <threadedComment ref="AD854" dT="2021-07-04T18:48:38.03" personId="{38AA4CD5-8077-4E76-82B2-2443D4373EDE}" id="{7C2A3AC8-E15A-4D7C-81FA-3D6D941A6A5B}">
    <text>GCS 8.2.1 Railway Crossing Ahead Sign and Advisory Speed Tab Sign
A sign providing advanced warning of a grade crossing (Railway Crossing Ahead sign) and a sign specifying a recommended speed (Advisory Speed Tab sign) must be as shown in articles A3.4.2 and A3.2.5 in the Manual of Uniform Traffic Control Devices for Canada (cited in Part A) and must meet the applicable standards set out in article A1.6 of that Manual, as the case may be.</text>
  </threadedComment>
  <threadedComment ref="E864" dT="2021-06-17T02:33:41.54" personId="{38AA4CD5-8077-4E76-82B2-2443D4373EDE}" id="{E1465011-28DF-46A5-8FAA-43C5980E88D6}">
    <text>re-write conditional format formula based on OPS</text>
  </threadedComment>
  <threadedComment ref="AD883" dT="2021-07-04T18:49:14.44" personId="{38AA4CD5-8077-4E76-82B2-2443D4373EDE}" id="{9B9E600B-3C32-4792-A03A-027C6AEB281A}">
    <text>GCS 8.2.1 Railway Crossing Ahead Sign and Advisory Speed Tab Sign
A sign providing advanced warning of a grade crossing (Railway Crossing Ahead sign) and a sign specifying a recommended speed (Advisory Speed Tab sign) must be as shown in articles A3.4.2 and A3.2.5 in the Manual of Uniform Traffic Control Devices for Canada (cited in Part A) and must meet the applicable standards set out in article A1.6 of that Manual, as the case may be.</text>
  </threadedComment>
  <threadedComment ref="AD910" dT="2021-07-04T18:50:13.58" personId="{38AA4CD5-8077-4E76-82B2-2443D4373EDE}" id="{29801136-CE1E-4137-BD98-77A63B66999F}">
    <text>GCS 8.3.1 Stop Sign Ahead
A Stop Ahead sign must be as shown in article A3.6.1 of the Manual of Uniform Traffic Control Devices for Canada (cited in Part A) and must meet the applicable standards set out in article A1.6 of that Manual.</text>
  </threadedComment>
  <threadedComment ref="AD929" dT="2021-07-04T18:53:14.82" personId="{38AA4CD5-8077-4E76-82B2-2443D4373EDE}" id="{A8B4DE8E-1866-4F43-A68C-CD8DFF457C49}">
    <text>GCS 8.4.1 
A Stop sign must be as shown in article A2.2.1 of the Manual of Uniform Traffic Control Devices for Canada (cited in Part A) and must meet the applicable standards set out in article A1.6 of that Manual. Where required by law, the word “Arrêt” will replace the word “Stop”, or may be added to the Stop sign.</text>
  </threadedComment>
  <threadedComment ref="AD935" dT="2021-07-04T18:51:19.03" personId="{38AA4CD5-8077-4E76-82B2-2443D4373EDE}" id="{E1058D8F-75BF-4F9F-8431-49432FD37D3B}">
    <text>GCS 8.4.2 
When a Stop sign is installed on the same post as a Railway Crossing sign, it must be 
installed as shown in Figure 8-4.</text>
  </threadedComment>
  <threadedComment ref="AD937" dT="2021-07-04T18:53:45.61" personId="{38AA4CD5-8077-4E76-82B2-2443D4373EDE}" id="{158A7717-583A-4B92-9675-D074A184E2BA}">
    <text>GCS 8.4.2 
When a Stop sign is installed on the same post as a Railway Crossing sign, it must be 
installed as shown in Figure 8-4.</text>
  </threadedComment>
  <threadedComment ref="AD962" dT="2021-07-04T18:55:43.81" personId="{38AA4CD5-8077-4E76-82B2-2443D4373EDE}" id="{C09A896F-5980-48F7-BC86-B32255782D7C}">
    <text>GCS 8.5.1 
An Emergency Notification sign that provides information on the location of the grade crossing and the railway company’s emergency telephone number, must be installed
a) parallel to the road, or
b) on each side of the grade crossing, facing traffic approaching the grade crossing.</text>
  </threadedComment>
  <threadedComment ref="AD964" dT="2021-07-04T18:54:54.70" personId="{38AA4CD5-8077-4E76-82B2-2443D4373EDE}" id="{3FAC9DA9-77FE-4950-BACF-850C7FEE676A}">
    <text>GCS 8.5.2 
The emergency notification sign must be clearly legible.</text>
  </threadedComment>
  <threadedComment ref="AD1118" dT="2021-07-04T19:01:03.37" personId="{38AA4CD5-8077-4E76-82B2-2443D4373EDE}" id="{BB2EE9AF-5B0C-4162-8816-B1599B213A7F}">
    <text>GCS 9.2 
The specifications for a public grade crossing at which a warning system with gates is required are as 
follows:
9.2.1 a warning system is required under article 9.1 and;</text>
  </threadedComment>
  <threadedComment ref="AD1121" dT="2021-07-04T19:03:06.11" personId="{38AA4CD5-8077-4E76-82B2-2443D4373EDE}" id="{91BA8E16-E820-41C7-B380-069E3AFA3D04}">
    <text>GCS 9.2 (a) the forecast cross-product is 50,000 or more;</text>
  </threadedComment>
  <threadedComment ref="AD1127" dT="2021-07-04T19:03:28.43" personId="{38AA4CD5-8077-4E76-82B2-2443D4373EDE}" id="{3A33C8C5-C91E-4005-8DAA-89A3CD6BD913}">
    <text>GCS 9.2 (b) there are two or more lines of railway where railway equipment may pass each other;</text>
  </threadedComment>
  <threadedComment ref="A1131" dT="2021-07-11T19:56:06.77" personId="{38AA4CD5-8077-4E76-82B2-2443D4373EDE}" id="{A4688BC8-82D7-4F0D-8526-39A76385B295}">
    <text>Fix Warrant Formula (New Variable due to Pblic, Private warrants)</text>
  </threadedComment>
  <threadedComment ref="AD1131" dT="2021-07-04T19:05:25.22" personId="{38AA4CD5-8077-4E76-82B2-2443D4373EDE}" id="{EF1030A2-A4F1-40AB-A199-4F734D515C7F}">
    <text>GCS 9.2 (c) the railway design speed is more than 81 km/hr (50 mph);</text>
  </threadedComment>
  <threadedComment ref="A1135" dT="2021-07-11T19:56:10.64" personId="{38AA4CD5-8077-4E76-82B2-2443D4373EDE}" id="{6C2EC8D6-9107-4E69-9A4B-50B8233D1043}">
    <text>Fix Warrant Formula (New Variable due to Pblic, Private warrants)</text>
  </threadedComment>
  <threadedComment ref="AD1135" dT="2021-07-04T19:05:44.44" personId="{38AA4CD5-8077-4E76-82B2-2443D4373EDE}" id="{F382B10E-8E3D-4553-BEC3-82034AD5CAF4}">
    <text>GCS 9.2 (d) the distance as shown in Figure 9-1(a) between a Stop sign at an intersection and the nearest rail in the crossing surface is less than 30 m; or</text>
  </threadedComment>
  <threadedComment ref="A1140" dT="2021-07-11T19:56:15.18" personId="{38AA4CD5-8077-4E76-82B2-2443D4373EDE}" id="{10C3A8AA-081A-4496-B51F-A49535A0B507}">
    <text>Fix Warrant Formula (New Variable due to Pblic, Private warrants)</text>
  </threadedComment>
  <threadedComment ref="AD1140" dT="2021-07-04T19:06:10.19" personId="{38AA4CD5-8077-4E76-82B2-2443D4373EDE}" id="{80538E8C-6B3C-4885-A971-AFA525BAD789}">
    <text>GCS 9.2 (e) in the case of an intersection with a traffic signal, the distance between the stop line of the intersection and the nearest rail in the crossing surface, as shown in Figure 9-1(b), is less than 60 m, or where there is no stop line, the distance between the travelled way and the nearest rail in the crossing surface is less than 60 m.</text>
  </threadedComment>
  <threadedComment ref="A1197" dT="2021-07-04T21:54:20.01" personId="{38AA4CD5-8077-4E76-82B2-2443D4373EDE}" id="{0BAAE01F-914F-4209-97F2-3BA6F42E8B0F}">
    <text>fix formula</text>
  </threadedComment>
  <threadedComment ref="D1219" dT="2021-07-03T20:32:58.90" personId="{38AA4CD5-8077-4E76-82B2-2443D4373EDE}" id="{A5835B00-E7E6-49D7-9703-9CEBA7B37F1F}">
    <text>GCR 12.2
a) Activation and deactivation of interconnected devices;
b) Gates have returned to or left the vertical position (Gate up Position);
c) Gates have descended to a point 10 degrees  from horizontal (Gate down Position);
d) Activation of the warning system test switch;
e) Activation and deactivation of all track circuits used in the control of the warning system, including electronic track circuits;
f) Activation of the warning system;
g) Activation of all devices used to control the warning systems at adjacent crossings; and
h) Activation and deactivation of all devices used to activate the warning system from a location other than the crossing.</text>
  </threadedComment>
  <threadedComment ref="A1416" dT="2021-07-03T19:39:31.26" personId="{38AA4CD5-8077-4E76-82B2-2443D4373EDE}" id="{C77B0C20-56E1-439D-8373-839D714EEE0A}">
    <text>Check formula</text>
  </threadedComment>
  <threadedComment ref="A1419" dT="2021-07-03T19:34:08.40" personId="{38AA4CD5-8077-4E76-82B2-2443D4373EDE}" id="{0567F2A6-EC7A-4CCF-BE65-5618762F6E0E}">
    <text>New field</text>
  </threadedComment>
  <threadedComment ref="A1428" dT="2021-07-03T19:22:48.56" personId="{38AA4CD5-8077-4E76-82B2-2443D4373EDE}" id="{B720CD43-A997-431B-A381-CA4D56B823C4}">
    <text>New field</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DE9CF-92C5-476C-BF26-024179195DC8}">
  <sheetPr codeName="Sheet2"/>
  <dimension ref="A1:BJ1891"/>
  <sheetViews>
    <sheetView tabSelected="1" view="pageBreakPreview" topLeftCell="A67" zoomScale="80" zoomScaleNormal="100" zoomScaleSheetLayoutView="80" workbookViewId="0">
      <selection activeCell="Z81" sqref="Z81:AI81"/>
    </sheetView>
  </sheetViews>
  <sheetFormatPr defaultColWidth="6.46484375" defaultRowHeight="14.25" outlineLevelRow="1" x14ac:dyDescent="0.45"/>
  <cols>
    <col min="1" max="35" width="3.6640625" style="1" customWidth="1"/>
    <col min="36" max="36" width="6.86328125" style="6" customWidth="1"/>
    <col min="37" max="44" width="2.6640625" style="6" customWidth="1"/>
    <col min="45" max="45" width="3.86328125" style="6" customWidth="1"/>
    <col min="46" max="46" width="5" style="6" customWidth="1"/>
    <col min="47" max="62" width="2.6640625" style="6" customWidth="1"/>
    <col min="63" max="16384" width="6.46484375" style="1"/>
  </cols>
  <sheetData>
    <row r="1" spans="1:62" ht="15" customHeight="1" x14ac:dyDescent="0.5">
      <c r="A1" s="1" t="s">
        <v>0</v>
      </c>
      <c r="H1" s="2" t="s">
        <v>1</v>
      </c>
      <c r="I1" s="2"/>
      <c r="K1" s="3" t="s">
        <v>2</v>
      </c>
      <c r="L1" s="3"/>
      <c r="M1" s="3"/>
      <c r="N1" s="4" t="str">
        <f>IF($H1="E-W", "E", "N")</f>
        <v>E</v>
      </c>
      <c r="O1" s="3" t="s">
        <v>3</v>
      </c>
      <c r="P1" s="3"/>
      <c r="Q1" s="3"/>
      <c r="R1" s="4" t="str">
        <f>IF($H1="E-W", "W", "S")</f>
        <v>W</v>
      </c>
      <c r="S1" s="3" t="s">
        <v>4</v>
      </c>
      <c r="T1" s="3"/>
      <c r="U1" s="3"/>
      <c r="V1" s="4" t="str">
        <f>IF($H1="E-W", "N", "E")</f>
        <v>N</v>
      </c>
      <c r="W1" s="3" t="s">
        <v>5</v>
      </c>
      <c r="X1" s="3"/>
      <c r="Y1" s="3"/>
      <c r="Z1" s="4" t="str">
        <f>IF($H1="E-W", "S", "W")</f>
        <v>S</v>
      </c>
      <c r="AB1" s="3" t="s">
        <v>6</v>
      </c>
      <c r="AC1" s="3"/>
      <c r="AD1" s="3"/>
      <c r="AE1" s="5"/>
      <c r="AF1" s="5"/>
      <c r="AG1" s="5"/>
      <c r="AH1" s="5"/>
      <c r="AI1" s="5"/>
      <c r="AK1" s="6" t="s">
        <v>7</v>
      </c>
      <c r="AQ1" s="6" t="s">
        <v>8</v>
      </c>
      <c r="BF1" s="6" t="s">
        <v>9</v>
      </c>
      <c r="BJ1" s="7"/>
    </row>
    <row r="2" spans="1:62" ht="15" customHeight="1" x14ac:dyDescent="0.45"/>
    <row r="3" spans="1:62" ht="15" customHeight="1" x14ac:dyDescent="0.45">
      <c r="AQ3" s="6" t="s">
        <v>10</v>
      </c>
    </row>
    <row r="4" spans="1:62" ht="15" customHeight="1" x14ac:dyDescent="0.45">
      <c r="AQ4" s="6" t="s">
        <v>11</v>
      </c>
      <c r="AR4" s="6">
        <v>5.6</v>
      </c>
    </row>
    <row r="5" spans="1:62" ht="15" customHeight="1" x14ac:dyDescent="0.45">
      <c r="AQ5" s="6" t="s">
        <v>12</v>
      </c>
      <c r="AR5" s="6">
        <v>6.4</v>
      </c>
    </row>
    <row r="6" spans="1:62" ht="15" customHeight="1" x14ac:dyDescent="0.45">
      <c r="AQ6" s="6" t="s">
        <v>13</v>
      </c>
      <c r="AR6" s="6">
        <v>10</v>
      </c>
    </row>
    <row r="7" spans="1:62" ht="15" customHeight="1" x14ac:dyDescent="0.45">
      <c r="AQ7" s="6" t="s">
        <v>14</v>
      </c>
      <c r="AR7" s="6">
        <v>11.5</v>
      </c>
    </row>
    <row r="8" spans="1:62" ht="15" customHeight="1" x14ac:dyDescent="0.45">
      <c r="AQ8" s="6" t="s">
        <v>15</v>
      </c>
      <c r="AR8" s="6">
        <v>20.7</v>
      </c>
    </row>
    <row r="9" spans="1:62" ht="15" customHeight="1" x14ac:dyDescent="0.45">
      <c r="A9" s="8" t="s">
        <v>16</v>
      </c>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Q9" s="6" t="s">
        <v>17</v>
      </c>
      <c r="AR9" s="6">
        <v>22.7</v>
      </c>
    </row>
    <row r="10" spans="1:62" ht="15" customHeight="1" x14ac:dyDescent="0.4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Q10" s="6" t="s">
        <v>18</v>
      </c>
      <c r="AR10" s="6">
        <v>24.5</v>
      </c>
    </row>
    <row r="11" spans="1:62" ht="15" customHeight="1" x14ac:dyDescent="0.45">
      <c r="AQ11" s="6" t="s">
        <v>19</v>
      </c>
      <c r="AR11" s="6">
        <v>25</v>
      </c>
    </row>
    <row r="12" spans="1:62" ht="15" customHeight="1" x14ac:dyDescent="0.45">
      <c r="AQ12" s="6" t="s">
        <v>20</v>
      </c>
      <c r="AR12" s="6">
        <v>12.2</v>
      </c>
    </row>
    <row r="13" spans="1:62" ht="15" customHeight="1" x14ac:dyDescent="0.45">
      <c r="AQ13" s="6" t="s">
        <v>21</v>
      </c>
      <c r="AR13" s="6">
        <v>18.3</v>
      </c>
    </row>
    <row r="14" spans="1:62" ht="15" customHeight="1" x14ac:dyDescent="0.45">
      <c r="AQ14" s="6" t="s">
        <v>22</v>
      </c>
      <c r="AR14" s="6">
        <v>14</v>
      </c>
    </row>
    <row r="15" spans="1:62" ht="15" customHeight="1" x14ac:dyDescent="0.45">
      <c r="AQ15" s="6" t="s">
        <v>23</v>
      </c>
      <c r="AR15" s="6">
        <v>0</v>
      </c>
    </row>
    <row r="16" spans="1:62" ht="15" customHeight="1" x14ac:dyDescent="0.45"/>
    <row r="17" spans="1:46" ht="15" customHeight="1" x14ac:dyDescent="0.45">
      <c r="AQ17" s="6" t="s">
        <v>24</v>
      </c>
      <c r="AR17" s="6" t="s">
        <v>25</v>
      </c>
      <c r="AS17" s="6" t="s">
        <v>26</v>
      </c>
      <c r="AT17" s="6" t="s">
        <v>27</v>
      </c>
    </row>
    <row r="18" spans="1:46" ht="15" customHeight="1" x14ac:dyDescent="0.45">
      <c r="AQ18" s="6">
        <v>10</v>
      </c>
      <c r="AR18" s="6">
        <v>8</v>
      </c>
      <c r="AS18" s="6">
        <v>10</v>
      </c>
    </row>
    <row r="19" spans="1:46" ht="15" customHeight="1" x14ac:dyDescent="0.45">
      <c r="A19" s="9" t="s">
        <v>28</v>
      </c>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Q19" s="6">
        <v>20</v>
      </c>
      <c r="AR19" s="6">
        <v>20</v>
      </c>
      <c r="AS19" s="6">
        <v>25</v>
      </c>
    </row>
    <row r="20" spans="1:46" ht="15" customHeight="1" x14ac:dyDescent="0.45">
      <c r="AQ20" s="6">
        <v>30</v>
      </c>
      <c r="AR20" s="6">
        <v>30</v>
      </c>
      <c r="AS20" s="6">
        <v>45</v>
      </c>
    </row>
    <row r="21" spans="1:46" ht="15" customHeight="1" x14ac:dyDescent="0.45">
      <c r="AG21" s="10"/>
      <c r="AH21" s="10"/>
      <c r="AQ21" s="6">
        <v>40</v>
      </c>
      <c r="AR21" s="6">
        <v>45</v>
      </c>
      <c r="AS21" s="6">
        <v>70</v>
      </c>
      <c r="AT21" s="6">
        <v>100</v>
      </c>
    </row>
    <row r="22" spans="1:46" ht="15" customHeight="1" x14ac:dyDescent="0.4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Q22" s="6">
        <v>50</v>
      </c>
      <c r="AR22" s="6">
        <v>65</v>
      </c>
      <c r="AS22" s="6">
        <v>110</v>
      </c>
      <c r="AT22" s="6">
        <v>125</v>
      </c>
    </row>
    <row r="23" spans="1:46" ht="15" customHeight="1" x14ac:dyDescent="0.4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Q23" s="6">
        <v>60</v>
      </c>
      <c r="AR23" s="6">
        <v>85</v>
      </c>
      <c r="AS23" s="6">
        <v>130</v>
      </c>
      <c r="AT23" s="6">
        <v>160</v>
      </c>
    </row>
    <row r="24" spans="1:46" ht="15" customHeight="1" x14ac:dyDescent="0.45">
      <c r="AG24" s="10"/>
      <c r="AH24" s="10"/>
      <c r="AQ24" s="6">
        <v>70</v>
      </c>
      <c r="AR24" s="6">
        <v>110</v>
      </c>
      <c r="AS24" s="6">
        <v>180</v>
      </c>
      <c r="AT24" s="6">
        <v>195</v>
      </c>
    </row>
    <row r="25" spans="1:46" ht="15" customHeight="1" x14ac:dyDescent="0.45">
      <c r="AG25" s="10"/>
      <c r="AH25" s="10"/>
      <c r="AQ25" s="6">
        <v>80</v>
      </c>
      <c r="AR25" s="6">
        <v>140</v>
      </c>
      <c r="AS25" s="6">
        <v>210</v>
      </c>
      <c r="AT25" s="6">
        <v>235</v>
      </c>
    </row>
    <row r="26" spans="1:46" ht="15" customHeight="1" x14ac:dyDescent="0.45">
      <c r="AG26" s="10"/>
      <c r="AH26" s="10"/>
      <c r="AQ26" s="6">
        <v>90</v>
      </c>
      <c r="AR26" s="6">
        <v>170</v>
      </c>
      <c r="AS26" s="6">
        <v>265</v>
      </c>
      <c r="AT26" s="6">
        <v>295</v>
      </c>
    </row>
    <row r="27" spans="1:46" ht="15" customHeight="1" x14ac:dyDescent="0.45">
      <c r="D27" s="12" t="s">
        <v>29</v>
      </c>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Q27" s="6">
        <v>100</v>
      </c>
      <c r="AR27" s="6">
        <v>210</v>
      </c>
      <c r="AS27" s="6">
        <v>330</v>
      </c>
      <c r="AT27" s="6">
        <v>360</v>
      </c>
    </row>
    <row r="28" spans="1:46" ht="15" customHeight="1" x14ac:dyDescent="0.45">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Q28" s="6">
        <v>110</v>
      </c>
      <c r="AR28" s="6">
        <v>250</v>
      </c>
      <c r="AS28" s="6">
        <v>360</v>
      </c>
      <c r="AT28" s="6">
        <v>390</v>
      </c>
    </row>
    <row r="29" spans="1:46" ht="15" customHeight="1" x14ac:dyDescent="0.45">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row>
    <row r="30" spans="1:46" ht="15" customHeight="1" x14ac:dyDescent="0.45">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Q30" s="6" t="s">
        <v>30</v>
      </c>
    </row>
    <row r="31" spans="1:46" ht="15" customHeight="1" x14ac:dyDescent="0.45">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Q31" s="6" t="s">
        <v>31</v>
      </c>
      <c r="AR31" s="6" t="s">
        <v>32</v>
      </c>
      <c r="AS31" s="13">
        <v>0.02</v>
      </c>
    </row>
    <row r="32" spans="1:46" ht="15" customHeight="1" x14ac:dyDescent="0.45">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Q32" s="6" t="s">
        <v>33</v>
      </c>
      <c r="AR32" s="6" t="s">
        <v>34</v>
      </c>
      <c r="AS32" s="13">
        <v>0.01</v>
      </c>
    </row>
    <row r="33" spans="43:45" ht="15" customHeight="1" x14ac:dyDescent="0.45">
      <c r="AQ33" s="6" t="s">
        <v>35</v>
      </c>
      <c r="AR33" s="6" t="s">
        <v>36</v>
      </c>
      <c r="AS33" s="13">
        <v>0.01</v>
      </c>
    </row>
    <row r="34" spans="43:45" ht="15" customHeight="1" x14ac:dyDescent="0.45">
      <c r="AQ34" s="6" t="s">
        <v>37</v>
      </c>
      <c r="AR34" s="6" t="s">
        <v>38</v>
      </c>
      <c r="AS34" s="13">
        <v>0</v>
      </c>
    </row>
    <row r="35" spans="43:45" ht="15" customHeight="1" x14ac:dyDescent="0.45">
      <c r="AQ35" s="6" t="s">
        <v>39</v>
      </c>
      <c r="AR35" s="6" t="s">
        <v>40</v>
      </c>
      <c r="AS35" s="13">
        <v>0</v>
      </c>
    </row>
    <row r="36" spans="43:45" ht="15" customHeight="1" x14ac:dyDescent="0.45">
      <c r="AQ36" s="6" t="s">
        <v>41</v>
      </c>
      <c r="AR36" s="6" t="s">
        <v>42</v>
      </c>
      <c r="AS36" s="13" t="s">
        <v>43</v>
      </c>
    </row>
    <row r="37" spans="43:45" ht="15" customHeight="1" x14ac:dyDescent="0.45">
      <c r="AQ37" s="6" t="s">
        <v>44</v>
      </c>
      <c r="AR37" s="6" t="s">
        <v>45</v>
      </c>
      <c r="AS37" s="13">
        <v>0.03</v>
      </c>
    </row>
    <row r="38" spans="43:45" ht="15" customHeight="1" x14ac:dyDescent="0.45">
      <c r="AQ38" s="6" t="s">
        <v>46</v>
      </c>
      <c r="AR38" s="6" t="s">
        <v>47</v>
      </c>
      <c r="AS38" s="13">
        <v>0.02</v>
      </c>
    </row>
    <row r="39" spans="43:45" ht="15" customHeight="1" x14ac:dyDescent="0.45">
      <c r="AQ39" s="6" t="s">
        <v>48</v>
      </c>
      <c r="AR39" s="6" t="s">
        <v>49</v>
      </c>
      <c r="AS39" s="13">
        <v>0.02</v>
      </c>
    </row>
    <row r="40" spans="43:45" ht="15" customHeight="1" x14ac:dyDescent="0.45">
      <c r="AQ40" s="6" t="s">
        <v>50</v>
      </c>
      <c r="AR40" s="6" t="s">
        <v>51</v>
      </c>
      <c r="AS40" s="13">
        <v>0</v>
      </c>
    </row>
    <row r="41" spans="43:45" ht="15" customHeight="1" x14ac:dyDescent="0.45">
      <c r="AQ41" s="6" t="s">
        <v>52</v>
      </c>
      <c r="AR41" s="6" t="s">
        <v>53</v>
      </c>
      <c r="AS41" s="13">
        <v>0</v>
      </c>
    </row>
    <row r="42" spans="43:45" ht="15" customHeight="1" x14ac:dyDescent="0.45">
      <c r="AQ42" s="6" t="s">
        <v>54</v>
      </c>
      <c r="AR42" s="6" t="s">
        <v>55</v>
      </c>
      <c r="AS42" s="13" t="s">
        <v>54</v>
      </c>
    </row>
    <row r="43" spans="43:45" ht="15" customHeight="1" x14ac:dyDescent="0.45">
      <c r="AQ43" s="6" t="s">
        <v>54</v>
      </c>
      <c r="AR43" s="6" t="s">
        <v>56</v>
      </c>
      <c r="AS43" s="13" t="s">
        <v>54</v>
      </c>
    </row>
    <row r="44" spans="43:45" ht="15" customHeight="1" x14ac:dyDescent="0.45"/>
    <row r="45" spans="43:45" ht="15" customHeight="1" x14ac:dyDescent="0.45"/>
    <row r="46" spans="43:45" ht="15" customHeight="1" x14ac:dyDescent="0.45"/>
    <row r="47" spans="43:45" ht="15" customHeight="1" x14ac:dyDescent="0.45"/>
    <row r="48" spans="43:45" ht="15" customHeight="1" x14ac:dyDescent="0.45"/>
    <row r="49" spans="1:35" ht="15" customHeight="1" x14ac:dyDescent="0.45"/>
    <row r="50" spans="1:35" ht="15" customHeight="1" x14ac:dyDescent="0.45"/>
    <row r="51" spans="1:35" ht="15" customHeight="1" x14ac:dyDescent="0.45"/>
    <row r="52" spans="1:35" ht="15" customHeight="1" x14ac:dyDescent="0.45"/>
    <row r="53" spans="1:35" ht="15" customHeight="1" x14ac:dyDescent="0.45"/>
    <row r="54" spans="1:35" ht="15" customHeight="1" x14ac:dyDescent="0.45"/>
    <row r="55" spans="1:35" ht="15" customHeight="1" x14ac:dyDescent="0.45"/>
    <row r="56" spans="1:35" ht="15" customHeight="1" x14ac:dyDescent="0.45"/>
    <row r="57" spans="1:35" ht="15" customHeight="1" x14ac:dyDescent="0.45"/>
    <row r="58" spans="1:35" ht="15" customHeight="1" x14ac:dyDescent="0.45">
      <c r="A58" s="14" t="s">
        <v>57</v>
      </c>
      <c r="B58" s="14"/>
      <c r="C58" s="14"/>
      <c r="D58" s="14"/>
      <c r="E58" s="14"/>
      <c r="F58" s="15" t="s">
        <v>58</v>
      </c>
      <c r="G58" s="15"/>
      <c r="H58" s="15"/>
      <c r="I58" s="15"/>
      <c r="J58" s="15"/>
      <c r="K58" s="15"/>
      <c r="L58" s="15"/>
      <c r="M58" s="15"/>
      <c r="N58" s="15"/>
      <c r="O58" s="15"/>
      <c r="P58" s="15"/>
      <c r="Q58" s="15"/>
      <c r="R58" s="15"/>
      <c r="S58" s="15"/>
      <c r="T58" s="15"/>
      <c r="U58" s="15"/>
      <c r="V58" s="15"/>
      <c r="W58" s="15"/>
      <c r="X58" s="15"/>
      <c r="Y58" s="15"/>
      <c r="Z58" s="15"/>
      <c r="AA58" s="15"/>
      <c r="AB58" s="15"/>
      <c r="AC58" s="16" t="s">
        <v>59</v>
      </c>
      <c r="AD58" s="16"/>
      <c r="AE58" s="16"/>
      <c r="AF58" s="16"/>
      <c r="AG58" s="16"/>
      <c r="AH58" s="16"/>
      <c r="AI58" s="16"/>
    </row>
    <row r="59" spans="1:35" ht="15" customHeight="1" x14ac:dyDescent="0.45">
      <c r="A59" s="17"/>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9"/>
    </row>
    <row r="60" spans="1:35" ht="15" customHeight="1" x14ac:dyDescent="0.45">
      <c r="A60" s="20" t="s">
        <v>60</v>
      </c>
      <c r="B60" s="21"/>
      <c r="C60" s="21"/>
      <c r="D60" s="21"/>
      <c r="E60" s="21"/>
      <c r="F60" s="21"/>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3"/>
    </row>
    <row r="61" spans="1:35" ht="15" customHeight="1" x14ac:dyDescent="0.45">
      <c r="A61" s="24"/>
      <c r="AI61" s="25"/>
    </row>
    <row r="62" spans="1:35" ht="15" customHeight="1" x14ac:dyDescent="0.45">
      <c r="A62" s="20" t="s">
        <v>61</v>
      </c>
      <c r="B62" s="21"/>
      <c r="C62" s="21"/>
      <c r="D62" s="21"/>
      <c r="E62" s="21"/>
      <c r="F62" s="21"/>
      <c r="G62" s="21"/>
      <c r="H62" s="21"/>
      <c r="I62" s="21"/>
      <c r="J62" s="21"/>
      <c r="K62" s="21"/>
      <c r="L62" s="21"/>
      <c r="M62" s="21"/>
      <c r="N62" s="26"/>
      <c r="O62" s="26"/>
      <c r="P62" s="26"/>
      <c r="Q62" s="26"/>
      <c r="R62" s="26"/>
      <c r="S62" s="26"/>
      <c r="T62" s="26"/>
      <c r="U62" s="26"/>
      <c r="V62" s="26"/>
      <c r="W62" s="26"/>
      <c r="X62" s="26"/>
      <c r="Y62" s="26"/>
      <c r="Z62" s="26"/>
      <c r="AA62" s="26"/>
      <c r="AB62" s="26"/>
      <c r="AC62" s="26"/>
      <c r="AD62" s="26"/>
      <c r="AE62" s="26"/>
      <c r="AF62" s="26"/>
      <c r="AG62" s="26"/>
      <c r="AH62" s="26"/>
      <c r="AI62" s="27"/>
    </row>
    <row r="63" spans="1:35" ht="15" customHeight="1" x14ac:dyDescent="0.45">
      <c r="A63" s="28"/>
      <c r="N63" s="26"/>
      <c r="O63" s="26"/>
      <c r="P63" s="26"/>
      <c r="Q63" s="26"/>
      <c r="R63" s="26"/>
      <c r="S63" s="26"/>
      <c r="T63" s="26"/>
      <c r="U63" s="26"/>
      <c r="V63" s="26"/>
      <c r="W63" s="26"/>
      <c r="X63" s="26"/>
      <c r="Y63" s="26"/>
      <c r="Z63" s="26"/>
      <c r="AA63" s="26"/>
      <c r="AB63" s="26"/>
      <c r="AC63" s="26"/>
      <c r="AD63" s="26"/>
      <c r="AE63" s="26"/>
      <c r="AF63" s="26"/>
      <c r="AG63" s="26"/>
      <c r="AH63" s="26"/>
      <c r="AI63" s="27"/>
    </row>
    <row r="64" spans="1:35" ht="15" customHeight="1" x14ac:dyDescent="0.45">
      <c r="A64" s="28"/>
      <c r="N64" s="26"/>
      <c r="O64" s="26"/>
      <c r="P64" s="26"/>
      <c r="Q64" s="26"/>
      <c r="R64" s="26"/>
      <c r="S64" s="26"/>
      <c r="T64" s="26"/>
      <c r="U64" s="26"/>
      <c r="V64" s="26"/>
      <c r="W64" s="26"/>
      <c r="X64" s="26"/>
      <c r="Y64" s="26"/>
      <c r="Z64" s="26"/>
      <c r="AA64" s="26"/>
      <c r="AB64" s="26"/>
      <c r="AC64" s="26"/>
      <c r="AD64" s="26"/>
      <c r="AE64" s="26"/>
      <c r="AF64" s="26"/>
      <c r="AG64" s="26"/>
      <c r="AH64" s="26"/>
      <c r="AI64" s="27"/>
    </row>
    <row r="65" spans="1:35" ht="15" customHeight="1" x14ac:dyDescent="0.45">
      <c r="A65" s="24"/>
      <c r="AI65" s="25"/>
    </row>
    <row r="66" spans="1:35" ht="15" customHeight="1" x14ac:dyDescent="0.45">
      <c r="A66" s="20" t="s">
        <v>62</v>
      </c>
      <c r="B66" s="21"/>
      <c r="C66" s="21"/>
      <c r="D66" s="21"/>
      <c r="E66" s="21"/>
      <c r="F66" s="21"/>
      <c r="G66" s="21"/>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30"/>
    </row>
    <row r="67" spans="1:35" ht="15" customHeight="1" x14ac:dyDescent="0.45">
      <c r="A67" s="28"/>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30"/>
    </row>
    <row r="68" spans="1:35" ht="15" customHeight="1" x14ac:dyDescent="0.45">
      <c r="A68" s="24"/>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30"/>
    </row>
    <row r="69" spans="1:35" ht="15" customHeight="1" x14ac:dyDescent="0.45">
      <c r="A69" s="24"/>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30"/>
    </row>
    <row r="70" spans="1:35" ht="15" customHeight="1" x14ac:dyDescent="0.45">
      <c r="A70" s="24"/>
      <c r="AI70" s="25"/>
    </row>
    <row r="71" spans="1:35" ht="15" customHeight="1" x14ac:dyDescent="0.45">
      <c r="A71" s="31" t="s">
        <v>63</v>
      </c>
      <c r="B71" s="32"/>
      <c r="C71" s="32"/>
      <c r="D71" s="32"/>
      <c r="E71" s="32"/>
      <c r="F71" s="32"/>
      <c r="G71" s="32"/>
      <c r="H71" s="33"/>
      <c r="I71" s="33"/>
      <c r="J71" s="33"/>
      <c r="K71" s="33"/>
      <c r="L71" s="33"/>
      <c r="M71" s="33"/>
      <c r="N71" s="33"/>
      <c r="O71" s="33"/>
      <c r="P71" s="33"/>
      <c r="Q71" s="34"/>
      <c r="S71" s="31" t="s">
        <v>64</v>
      </c>
      <c r="T71" s="32"/>
      <c r="U71" s="32"/>
      <c r="V71" s="32"/>
      <c r="W71" s="32"/>
      <c r="X71" s="32"/>
      <c r="Y71" s="32"/>
      <c r="Z71" s="33"/>
      <c r="AA71" s="33"/>
      <c r="AB71" s="33"/>
      <c r="AC71" s="33"/>
      <c r="AD71" s="33"/>
      <c r="AE71" s="33"/>
      <c r="AF71" s="33"/>
      <c r="AG71" s="33"/>
      <c r="AH71" s="33"/>
      <c r="AI71" s="34"/>
    </row>
    <row r="72" spans="1:35" ht="15" customHeight="1" x14ac:dyDescent="0.45">
      <c r="A72" s="24"/>
      <c r="H72" s="26"/>
      <c r="I72" s="26"/>
      <c r="J72" s="26"/>
      <c r="K72" s="26"/>
      <c r="L72" s="26"/>
      <c r="M72" s="26"/>
      <c r="N72" s="26"/>
      <c r="O72" s="26"/>
      <c r="P72" s="26"/>
      <c r="Q72" s="27"/>
      <c r="S72" s="24"/>
      <c r="Z72" s="26"/>
      <c r="AA72" s="26"/>
      <c r="AB72" s="26"/>
      <c r="AC72" s="26"/>
      <c r="AD72" s="26"/>
      <c r="AE72" s="26"/>
      <c r="AF72" s="26"/>
      <c r="AG72" s="26"/>
      <c r="AH72" s="26"/>
      <c r="AI72" s="27"/>
    </row>
    <row r="73" spans="1:35" ht="15" customHeight="1" x14ac:dyDescent="0.45">
      <c r="A73" s="24"/>
      <c r="Q73" s="25"/>
      <c r="S73" s="24"/>
      <c r="AI73" s="25"/>
    </row>
    <row r="74" spans="1:35" ht="15" customHeight="1" x14ac:dyDescent="0.45">
      <c r="A74" s="35" t="s">
        <v>65</v>
      </c>
      <c r="B74" s="36"/>
      <c r="C74" s="36"/>
      <c r="D74" s="36"/>
      <c r="E74" s="36"/>
      <c r="F74" s="36"/>
      <c r="G74" s="36"/>
      <c r="H74" s="26"/>
      <c r="I74" s="26"/>
      <c r="J74" s="26"/>
      <c r="K74" s="26"/>
      <c r="L74" s="26"/>
      <c r="M74" s="26"/>
      <c r="N74" s="26"/>
      <c r="O74" s="26"/>
      <c r="P74" s="26"/>
      <c r="Q74" s="27"/>
      <c r="S74" s="20" t="s">
        <v>66</v>
      </c>
      <c r="T74" s="21"/>
      <c r="U74" s="21"/>
      <c r="V74" s="21"/>
      <c r="W74" s="21"/>
      <c r="X74" s="21"/>
      <c r="Y74" s="21"/>
      <c r="Z74" s="26"/>
      <c r="AA74" s="26"/>
      <c r="AB74" s="26"/>
      <c r="AC74" s="26"/>
      <c r="AD74" s="26"/>
      <c r="AE74" s="26"/>
      <c r="AF74" s="26"/>
      <c r="AG74" s="26"/>
      <c r="AH74" s="26"/>
      <c r="AI74" s="27"/>
    </row>
    <row r="75" spans="1:35" ht="15" customHeight="1" x14ac:dyDescent="0.45">
      <c r="A75" s="24"/>
      <c r="H75" s="26"/>
      <c r="I75" s="26"/>
      <c r="J75" s="26"/>
      <c r="K75" s="26"/>
      <c r="L75" s="26"/>
      <c r="M75" s="26"/>
      <c r="N75" s="26"/>
      <c r="O75" s="26"/>
      <c r="P75" s="26"/>
      <c r="Q75" s="27"/>
      <c r="S75" s="37"/>
      <c r="T75" s="38"/>
      <c r="U75" s="38"/>
      <c r="V75" s="38"/>
      <c r="W75" s="38"/>
      <c r="X75" s="38"/>
      <c r="Y75" s="38"/>
      <c r="Z75" s="26"/>
      <c r="AA75" s="26"/>
      <c r="AB75" s="26"/>
      <c r="AC75" s="26"/>
      <c r="AD75" s="26"/>
      <c r="AE75" s="26"/>
      <c r="AF75" s="26"/>
      <c r="AG75" s="26"/>
      <c r="AH75" s="26"/>
      <c r="AI75" s="27"/>
    </row>
    <row r="76" spans="1:35" ht="15" customHeight="1" x14ac:dyDescent="0.45">
      <c r="A76" s="24"/>
      <c r="Q76" s="25"/>
      <c r="S76" s="24"/>
      <c r="AI76" s="25"/>
    </row>
    <row r="77" spans="1:35" ht="15" customHeight="1" x14ac:dyDescent="0.45">
      <c r="A77" s="35" t="s">
        <v>67</v>
      </c>
      <c r="B77" s="36"/>
      <c r="C77" s="36"/>
      <c r="D77" s="36"/>
      <c r="E77" s="36"/>
      <c r="F77" s="36"/>
      <c r="G77" s="36"/>
      <c r="H77" s="2"/>
      <c r="I77" s="2"/>
      <c r="J77" s="2"/>
      <c r="K77" s="2"/>
      <c r="L77" s="2"/>
      <c r="M77" s="2"/>
      <c r="N77" s="2"/>
      <c r="O77" s="2"/>
      <c r="P77" s="2"/>
      <c r="Q77" s="39"/>
      <c r="S77" s="20" t="s">
        <v>8</v>
      </c>
      <c r="T77" s="21"/>
      <c r="U77" s="21"/>
      <c r="V77" s="21"/>
      <c r="W77" s="21"/>
      <c r="X77" s="21"/>
      <c r="Y77" s="21"/>
      <c r="Z77" s="26"/>
      <c r="AA77" s="26"/>
      <c r="AB77" s="26"/>
      <c r="AC77" s="26"/>
      <c r="AD77" s="26"/>
      <c r="AE77" s="26"/>
      <c r="AF77" s="26"/>
      <c r="AG77" s="26"/>
      <c r="AH77" s="26"/>
      <c r="AI77" s="27"/>
    </row>
    <row r="78" spans="1:35" ht="15" customHeight="1" x14ac:dyDescent="0.45">
      <c r="A78" s="24"/>
      <c r="Q78" s="25"/>
      <c r="S78" s="24"/>
      <c r="AI78" s="25"/>
    </row>
    <row r="79" spans="1:35" ht="15" customHeight="1" x14ac:dyDescent="0.45">
      <c r="A79" s="20" t="s">
        <v>68</v>
      </c>
      <c r="B79" s="21"/>
      <c r="C79" s="21"/>
      <c r="D79" s="21"/>
      <c r="E79" s="2"/>
      <c r="F79" s="2"/>
      <c r="G79" s="2"/>
      <c r="H79" s="2"/>
      <c r="I79" s="2"/>
      <c r="J79" s="2"/>
      <c r="K79" s="2"/>
      <c r="L79" s="40"/>
      <c r="M79" s="41" t="s">
        <v>69</v>
      </c>
      <c r="N79" s="41"/>
      <c r="O79" s="42"/>
      <c r="P79" s="42"/>
      <c r="Q79" s="43"/>
      <c r="S79" s="20" t="s">
        <v>70</v>
      </c>
      <c r="T79" s="21"/>
      <c r="U79" s="21"/>
      <c r="V79" s="21"/>
      <c r="W79" s="21"/>
      <c r="X79" s="21"/>
      <c r="Y79" s="21"/>
      <c r="Z79" s="26"/>
      <c r="AA79" s="26"/>
      <c r="AB79" s="26"/>
      <c r="AC79" s="26"/>
      <c r="AD79" s="26"/>
      <c r="AE79" s="26"/>
      <c r="AF79" s="26"/>
      <c r="AG79" s="26"/>
      <c r="AH79" s="26"/>
      <c r="AI79" s="27"/>
    </row>
    <row r="80" spans="1:35" ht="15" customHeight="1" x14ac:dyDescent="0.45">
      <c r="A80" s="24"/>
      <c r="Q80" s="25"/>
      <c r="S80" s="24"/>
      <c r="AI80" s="25"/>
    </row>
    <row r="81" spans="1:35" ht="15" customHeight="1" x14ac:dyDescent="0.45">
      <c r="A81" s="20" t="s">
        <v>71</v>
      </c>
      <c r="B81" s="21"/>
      <c r="C81" s="21"/>
      <c r="D81" s="21"/>
      <c r="E81" s="2" t="s">
        <v>72</v>
      </c>
      <c r="F81" s="2"/>
      <c r="G81" s="2"/>
      <c r="H81" s="2"/>
      <c r="I81" s="2"/>
      <c r="J81" s="2"/>
      <c r="K81" s="2"/>
      <c r="L81" s="40"/>
      <c r="M81" s="41" t="s">
        <v>69</v>
      </c>
      <c r="N81" s="40"/>
      <c r="O81" s="2"/>
      <c r="P81" s="2"/>
      <c r="Q81" s="39"/>
      <c r="S81" s="20" t="s">
        <v>73</v>
      </c>
      <c r="T81" s="21"/>
      <c r="U81" s="21"/>
      <c r="V81" s="21"/>
      <c r="W81" s="21"/>
      <c r="X81" s="21"/>
      <c r="Y81" s="21"/>
      <c r="Z81" s="44"/>
      <c r="AA81" s="44"/>
      <c r="AB81" s="44"/>
      <c r="AC81" s="44"/>
      <c r="AD81" s="44"/>
      <c r="AE81" s="44"/>
      <c r="AF81" s="44"/>
      <c r="AG81" s="44"/>
      <c r="AH81" s="44"/>
      <c r="AI81" s="45"/>
    </row>
    <row r="82" spans="1:35" ht="15" customHeight="1" x14ac:dyDescent="0.45">
      <c r="A82" s="24"/>
      <c r="Q82" s="25"/>
      <c r="S82" s="24"/>
      <c r="AI82" s="25"/>
    </row>
    <row r="83" spans="1:35" ht="15" customHeight="1" x14ac:dyDescent="0.45">
      <c r="A83" s="20" t="s">
        <v>74</v>
      </c>
      <c r="B83" s="21"/>
      <c r="C83" s="21"/>
      <c r="D83" s="21"/>
      <c r="E83" s="21"/>
      <c r="F83" s="21"/>
      <c r="G83" s="21"/>
      <c r="H83" s="2"/>
      <c r="I83" s="2"/>
      <c r="J83" s="2"/>
      <c r="K83" s="2"/>
      <c r="L83" s="2"/>
      <c r="M83" s="2"/>
      <c r="N83" s="2"/>
      <c r="O83" s="2"/>
      <c r="P83" s="2"/>
      <c r="Q83" s="39"/>
      <c r="S83" s="35" t="s">
        <v>75</v>
      </c>
      <c r="T83" s="36"/>
      <c r="U83" s="36"/>
      <c r="V83" s="36"/>
      <c r="W83" s="36"/>
      <c r="X83" s="36"/>
      <c r="Y83" s="36"/>
      <c r="Z83" s="44"/>
      <c r="AA83" s="44"/>
      <c r="AB83" s="44"/>
      <c r="AC83" s="44"/>
      <c r="AD83" s="44"/>
      <c r="AE83" s="44"/>
      <c r="AF83" s="44"/>
      <c r="AG83" s="44"/>
      <c r="AH83" s="44"/>
      <c r="AI83" s="45"/>
    </row>
    <row r="84" spans="1:35" ht="15" customHeight="1" x14ac:dyDescent="0.45">
      <c r="A84" s="24"/>
      <c r="Q84" s="25"/>
      <c r="S84" s="24"/>
      <c r="AI84" s="25"/>
    </row>
    <row r="85" spans="1:35" ht="15" customHeight="1" x14ac:dyDescent="0.45">
      <c r="A85" s="20" t="s">
        <v>76</v>
      </c>
      <c r="B85" s="21"/>
      <c r="C85" s="21"/>
      <c r="D85" s="21"/>
      <c r="E85" s="21"/>
      <c r="F85" s="21"/>
      <c r="G85" s="21"/>
      <c r="H85" s="2" t="s">
        <v>77</v>
      </c>
      <c r="I85" s="2"/>
      <c r="J85" s="2"/>
      <c r="K85" s="2"/>
      <c r="L85" s="2"/>
      <c r="M85" s="2"/>
      <c r="N85" s="2"/>
      <c r="O85" s="2"/>
      <c r="P85" s="2"/>
      <c r="Q85" s="39"/>
      <c r="S85" s="20" t="s">
        <v>78</v>
      </c>
      <c r="T85" s="21"/>
      <c r="U85" s="21"/>
      <c r="V85" s="21"/>
      <c r="W85" s="21"/>
      <c r="X85" s="21"/>
      <c r="Y85" s="21"/>
      <c r="Z85" s="2"/>
      <c r="AA85" s="2"/>
      <c r="AB85" s="2"/>
      <c r="AC85" s="2"/>
      <c r="AD85" s="2"/>
      <c r="AE85" s="2"/>
      <c r="AF85" s="2"/>
      <c r="AG85" s="2"/>
      <c r="AH85" s="2"/>
      <c r="AI85" s="39"/>
    </row>
    <row r="86" spans="1:35" ht="15" customHeight="1" x14ac:dyDescent="0.45">
      <c r="A86" s="24"/>
      <c r="Q86" s="25"/>
      <c r="S86" s="24"/>
      <c r="AI86" s="25"/>
    </row>
    <row r="87" spans="1:35" ht="15" customHeight="1" x14ac:dyDescent="0.45">
      <c r="A87" s="46" t="s">
        <v>79</v>
      </c>
      <c r="B87" s="47"/>
      <c r="C87" s="47"/>
      <c r="D87" s="47"/>
      <c r="E87" s="47"/>
      <c r="F87" s="47"/>
      <c r="G87" s="47"/>
      <c r="H87" s="48" t="s">
        <v>80</v>
      </c>
      <c r="I87" s="48"/>
      <c r="J87" s="48"/>
      <c r="K87" s="48"/>
      <c r="L87" s="48"/>
      <c r="M87" s="48"/>
      <c r="N87" s="48"/>
      <c r="O87" s="48"/>
      <c r="P87" s="48"/>
      <c r="Q87" s="49"/>
      <c r="S87" s="20" t="s">
        <v>81</v>
      </c>
      <c r="T87" s="21"/>
      <c r="U87" s="21"/>
      <c r="V87" s="21"/>
      <c r="W87" s="21"/>
      <c r="X87" s="21"/>
      <c r="Y87" s="21"/>
      <c r="Z87" s="2"/>
      <c r="AA87" s="2"/>
      <c r="AB87" s="2"/>
      <c r="AC87" s="2"/>
      <c r="AD87" s="2"/>
      <c r="AE87" s="2"/>
      <c r="AF87" s="2"/>
      <c r="AG87" s="2"/>
      <c r="AH87" s="2"/>
      <c r="AI87" s="39"/>
    </row>
    <row r="88" spans="1:35" ht="15" customHeight="1" x14ac:dyDescent="0.45">
      <c r="S88" s="24"/>
      <c r="AI88" s="25"/>
    </row>
    <row r="89" spans="1:35" ht="15" customHeight="1" x14ac:dyDescent="0.45">
      <c r="S89" s="46" t="s">
        <v>82</v>
      </c>
      <c r="T89" s="47"/>
      <c r="U89" s="47"/>
      <c r="V89" s="47"/>
      <c r="W89" s="47"/>
      <c r="X89" s="47"/>
      <c r="Y89" s="47"/>
      <c r="Z89" s="48"/>
      <c r="AA89" s="48"/>
      <c r="AB89" s="48"/>
      <c r="AC89" s="48"/>
      <c r="AD89" s="48"/>
      <c r="AE89" s="48"/>
      <c r="AF89" s="48"/>
      <c r="AG89" s="48"/>
      <c r="AH89" s="48"/>
      <c r="AI89" s="49"/>
    </row>
    <row r="90" spans="1:35" ht="15" customHeight="1" x14ac:dyDescent="0.45">
      <c r="A90" s="24"/>
      <c r="AI90" s="25"/>
    </row>
    <row r="91" spans="1:35" ht="15" customHeight="1" x14ac:dyDescent="0.45">
      <c r="A91" s="24"/>
      <c r="AI91" s="25"/>
    </row>
    <row r="92" spans="1:35" ht="15" customHeight="1" x14ac:dyDescent="0.45">
      <c r="A92" s="50" t="s">
        <v>83</v>
      </c>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9"/>
    </row>
    <row r="93" spans="1:35" ht="15" customHeight="1" x14ac:dyDescent="0.45">
      <c r="A93" s="24"/>
      <c r="AI93" s="25"/>
    </row>
    <row r="94" spans="1:35" ht="15" customHeight="1" x14ac:dyDescent="0.45">
      <c r="A94" s="24"/>
      <c r="D94" s="21" t="s">
        <v>84</v>
      </c>
      <c r="E94" s="21"/>
      <c r="F94" s="21"/>
      <c r="G94" s="21"/>
      <c r="H94" s="21"/>
      <c r="I94" s="21"/>
      <c r="J94" s="21"/>
      <c r="K94" s="21"/>
      <c r="P94" s="48"/>
      <c r="Q94" s="48"/>
      <c r="AI94" s="25"/>
    </row>
    <row r="95" spans="1:35" ht="15" customHeight="1" x14ac:dyDescent="0.45">
      <c r="A95" s="24"/>
      <c r="C95" s="51" t="s">
        <v>85</v>
      </c>
      <c r="D95" s="21" t="s">
        <v>86</v>
      </c>
      <c r="E95" s="21"/>
      <c r="F95" s="21"/>
      <c r="G95" s="21"/>
      <c r="H95" s="21"/>
      <c r="I95" s="21"/>
      <c r="J95" s="21"/>
      <c r="K95" s="21"/>
      <c r="P95" s="52"/>
      <c r="Q95" s="52"/>
      <c r="S95" s="21" t="s">
        <v>87</v>
      </c>
      <c r="T95" s="21"/>
      <c r="U95" s="21"/>
      <c r="V95" s="21"/>
      <c r="W95" s="21"/>
      <c r="X95" s="21"/>
      <c r="Y95" s="21"/>
      <c r="Z95" s="21"/>
      <c r="AB95" s="48"/>
      <c r="AC95" s="48"/>
      <c r="AI95" s="25"/>
    </row>
    <row r="96" spans="1:35" ht="15" customHeight="1" x14ac:dyDescent="0.45">
      <c r="A96" s="24"/>
      <c r="C96" s="51" t="s">
        <v>85</v>
      </c>
      <c r="D96" s="21" t="s">
        <v>88</v>
      </c>
      <c r="E96" s="21"/>
      <c r="F96" s="21"/>
      <c r="G96" s="21"/>
      <c r="H96" s="21"/>
      <c r="I96" s="21"/>
      <c r="J96" s="21"/>
      <c r="K96" s="21"/>
      <c r="P96" s="52"/>
      <c r="Q96" s="52"/>
      <c r="S96" s="21" t="s">
        <v>89</v>
      </c>
      <c r="T96" s="21"/>
      <c r="U96" s="21"/>
      <c r="V96" s="21"/>
      <c r="W96" s="21"/>
      <c r="X96" s="21"/>
      <c r="Y96" s="21"/>
      <c r="Z96" s="21"/>
      <c r="AB96" s="52"/>
      <c r="AC96" s="52"/>
      <c r="AI96" s="25"/>
    </row>
    <row r="97" spans="1:35" ht="15" customHeight="1" x14ac:dyDescent="0.45">
      <c r="A97" s="24"/>
      <c r="C97" s="51" t="s">
        <v>90</v>
      </c>
      <c r="D97" s="21" t="s">
        <v>91</v>
      </c>
      <c r="E97" s="21"/>
      <c r="F97" s="21"/>
      <c r="G97" s="21"/>
      <c r="H97" s="21"/>
      <c r="I97" s="21"/>
      <c r="J97" s="21"/>
      <c r="K97" s="21"/>
      <c r="L97" s="21"/>
      <c r="M97" s="21"/>
      <c r="N97" s="21"/>
      <c r="O97" s="21"/>
      <c r="P97" s="53"/>
      <c r="Q97" s="53"/>
      <c r="AI97" s="25"/>
    </row>
    <row r="98" spans="1:35" ht="15" customHeight="1" x14ac:dyDescent="0.45">
      <c r="A98" s="24"/>
      <c r="AI98" s="25"/>
    </row>
    <row r="99" spans="1:35" ht="15" customHeight="1" x14ac:dyDescent="0.45">
      <c r="A99" s="24"/>
      <c r="AI99" s="25"/>
    </row>
    <row r="100" spans="1:35" ht="15" customHeight="1" x14ac:dyDescent="0.45">
      <c r="A100" s="24"/>
      <c r="AI100" s="25"/>
    </row>
    <row r="101" spans="1:35" ht="15" customHeight="1" x14ac:dyDescent="0.45">
      <c r="A101" s="24"/>
      <c r="AI101" s="25"/>
    </row>
    <row r="102" spans="1:35" ht="15" customHeight="1" x14ac:dyDescent="0.45">
      <c r="A102" s="54" t="s">
        <v>92</v>
      </c>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6"/>
    </row>
    <row r="103" spans="1:35" ht="15" customHeight="1" x14ac:dyDescent="0.45">
      <c r="A103" s="57"/>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c r="AA103" s="58"/>
      <c r="AB103" s="58"/>
      <c r="AC103" s="58"/>
      <c r="AD103" s="58"/>
      <c r="AE103" s="58"/>
      <c r="AF103" s="58"/>
      <c r="AG103" s="58"/>
      <c r="AH103" s="58"/>
      <c r="AI103" s="59"/>
    </row>
    <row r="104" spans="1:35" ht="15" customHeight="1" x14ac:dyDescent="0.45">
      <c r="A104" s="60"/>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2"/>
    </row>
    <row r="105" spans="1:35" ht="15" customHeight="1" x14ac:dyDescent="0.45">
      <c r="A105" s="60"/>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2"/>
    </row>
    <row r="106" spans="1:35" ht="15" customHeight="1" x14ac:dyDescent="0.45">
      <c r="A106" s="60"/>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2"/>
    </row>
    <row r="107" spans="1:35" ht="15" customHeight="1" x14ac:dyDescent="0.45">
      <c r="A107" s="60"/>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2"/>
    </row>
    <row r="108" spans="1:35" ht="15" customHeight="1" x14ac:dyDescent="0.45">
      <c r="A108" s="60"/>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2"/>
    </row>
    <row r="109" spans="1:35" ht="15" customHeight="1" x14ac:dyDescent="0.45">
      <c r="A109" s="60"/>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2"/>
    </row>
    <row r="110" spans="1:35" ht="15" customHeight="1" x14ac:dyDescent="0.45">
      <c r="A110" s="60"/>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2"/>
    </row>
    <row r="111" spans="1:35" ht="15" customHeight="1" x14ac:dyDescent="0.45">
      <c r="A111" s="63"/>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5"/>
    </row>
    <row r="112" spans="1:35" ht="15" customHeight="1" x14ac:dyDescent="0.45"/>
    <row r="113" spans="1:38" ht="15" customHeight="1" x14ac:dyDescent="0.45">
      <c r="A113" s="14" t="s">
        <v>93</v>
      </c>
      <c r="B113" s="14"/>
      <c r="C113" s="14"/>
      <c r="D113" s="14"/>
      <c r="E113" s="14"/>
      <c r="F113" s="15" t="s">
        <v>94</v>
      </c>
      <c r="G113" s="15"/>
      <c r="H113" s="15"/>
      <c r="I113" s="15"/>
      <c r="J113" s="15"/>
      <c r="K113" s="15"/>
      <c r="L113" s="15"/>
      <c r="M113" s="15"/>
      <c r="N113" s="15"/>
      <c r="O113" s="15"/>
      <c r="P113" s="15"/>
      <c r="Q113" s="15"/>
      <c r="R113" s="15"/>
      <c r="S113" s="15"/>
      <c r="T113" s="15"/>
      <c r="U113" s="15"/>
      <c r="V113" s="15"/>
      <c r="W113" s="15"/>
      <c r="X113" s="15"/>
      <c r="Y113" s="15"/>
      <c r="Z113" s="15"/>
      <c r="AA113" s="15"/>
      <c r="AB113" s="15"/>
      <c r="AC113" s="66" t="s">
        <v>59</v>
      </c>
      <c r="AD113" s="66"/>
      <c r="AE113" s="66"/>
      <c r="AF113" s="66"/>
      <c r="AG113" s="66"/>
      <c r="AH113" s="66"/>
      <c r="AI113" s="66"/>
    </row>
    <row r="114" spans="1:38" ht="15" customHeight="1" x14ac:dyDescent="0.45">
      <c r="AJ114" s="67"/>
      <c r="AK114" s="67"/>
      <c r="AL114" s="67"/>
    </row>
    <row r="115" spans="1:38" ht="15" customHeight="1" x14ac:dyDescent="0.45">
      <c r="A115" s="68" t="s">
        <v>95</v>
      </c>
    </row>
    <row r="116" spans="1:38" ht="15" customHeight="1" x14ac:dyDescent="0.45">
      <c r="A116" s="69"/>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c r="AA116" s="70"/>
      <c r="AB116" s="70"/>
      <c r="AC116" s="70"/>
      <c r="AD116" s="70"/>
      <c r="AE116" s="70"/>
      <c r="AF116" s="70"/>
      <c r="AG116" s="70"/>
      <c r="AH116" s="70"/>
      <c r="AI116" s="71"/>
    </row>
    <row r="117" spans="1:38" ht="15" customHeight="1" x14ac:dyDescent="0.45">
      <c r="A117" s="72"/>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c r="AA117" s="73"/>
      <c r="AB117" s="73"/>
      <c r="AC117" s="73"/>
      <c r="AD117" s="73"/>
      <c r="AE117" s="73"/>
      <c r="AF117" s="73"/>
      <c r="AG117" s="73"/>
      <c r="AH117" s="73"/>
      <c r="AI117" s="74"/>
    </row>
    <row r="118" spans="1:38" ht="15" customHeight="1" x14ac:dyDescent="0.45">
      <c r="A118" s="72"/>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s="73"/>
      <c r="AD118" s="73"/>
      <c r="AE118" s="73"/>
      <c r="AF118" s="73"/>
      <c r="AG118" s="73"/>
      <c r="AH118" s="73"/>
      <c r="AI118" s="74"/>
    </row>
    <row r="119" spans="1:38" ht="15" customHeight="1" x14ac:dyDescent="0.45">
      <c r="A119" s="72"/>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c r="AA119" s="73"/>
      <c r="AB119" s="73"/>
      <c r="AC119" s="73"/>
      <c r="AD119" s="73"/>
      <c r="AE119" s="73"/>
      <c r="AF119" s="73"/>
      <c r="AG119" s="73"/>
      <c r="AH119" s="73"/>
      <c r="AI119" s="74"/>
    </row>
    <row r="120" spans="1:38" ht="15" customHeight="1" x14ac:dyDescent="0.45">
      <c r="A120" s="72"/>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c r="AA120" s="73"/>
      <c r="AB120" s="73"/>
      <c r="AC120" s="73"/>
      <c r="AD120" s="73"/>
      <c r="AE120" s="73"/>
      <c r="AF120" s="73"/>
      <c r="AG120" s="73"/>
      <c r="AH120" s="73"/>
      <c r="AI120" s="74"/>
    </row>
    <row r="121" spans="1:38" ht="15" customHeight="1" x14ac:dyDescent="0.45">
      <c r="A121" s="72"/>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s="73"/>
      <c r="AD121" s="73"/>
      <c r="AE121" s="73"/>
      <c r="AF121" s="73"/>
      <c r="AG121" s="73"/>
      <c r="AH121" s="73"/>
      <c r="AI121" s="74"/>
    </row>
    <row r="122" spans="1:38" ht="15" customHeight="1" x14ac:dyDescent="0.45">
      <c r="A122" s="72"/>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c r="AA122" s="73"/>
      <c r="AB122" s="73"/>
      <c r="AC122" s="73"/>
      <c r="AD122" s="73"/>
      <c r="AE122" s="73"/>
      <c r="AF122" s="73"/>
      <c r="AG122" s="73"/>
      <c r="AH122" s="73"/>
      <c r="AI122" s="74"/>
    </row>
    <row r="123" spans="1:38" ht="15" customHeight="1" x14ac:dyDescent="0.45">
      <c r="A123" s="72"/>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c r="AA123" s="73"/>
      <c r="AB123" s="73"/>
      <c r="AC123" s="73"/>
      <c r="AD123" s="73"/>
      <c r="AE123" s="73"/>
      <c r="AF123" s="73"/>
      <c r="AG123" s="73"/>
      <c r="AH123" s="73"/>
      <c r="AI123" s="74"/>
    </row>
    <row r="124" spans="1:38" ht="15" customHeight="1" x14ac:dyDescent="0.45">
      <c r="A124" s="72"/>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c r="AA124" s="73"/>
      <c r="AB124" s="73"/>
      <c r="AC124" s="73"/>
      <c r="AD124" s="73"/>
      <c r="AE124" s="73"/>
      <c r="AF124" s="73"/>
      <c r="AG124" s="73"/>
      <c r="AH124" s="73"/>
      <c r="AI124" s="74"/>
    </row>
    <row r="125" spans="1:38" ht="15" customHeight="1" x14ac:dyDescent="0.45">
      <c r="A125" s="72"/>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c r="AA125" s="73"/>
      <c r="AB125" s="73"/>
      <c r="AC125" s="73"/>
      <c r="AD125" s="73"/>
      <c r="AE125" s="73"/>
      <c r="AF125" s="73"/>
      <c r="AG125" s="73"/>
      <c r="AH125" s="73"/>
      <c r="AI125" s="74"/>
    </row>
    <row r="126" spans="1:38" ht="15" customHeight="1" x14ac:dyDescent="0.45">
      <c r="A126" s="72"/>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c r="AA126" s="73"/>
      <c r="AB126" s="73"/>
      <c r="AC126" s="73"/>
      <c r="AD126" s="73"/>
      <c r="AE126" s="73"/>
      <c r="AF126" s="73"/>
      <c r="AG126" s="73"/>
      <c r="AH126" s="73"/>
      <c r="AI126" s="74"/>
    </row>
    <row r="127" spans="1:38" ht="15" customHeight="1" x14ac:dyDescent="0.45">
      <c r="A127" s="72"/>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c r="AA127" s="73"/>
      <c r="AB127" s="73"/>
      <c r="AC127" s="73"/>
      <c r="AD127" s="73"/>
      <c r="AE127" s="73"/>
      <c r="AF127" s="73"/>
      <c r="AG127" s="73"/>
      <c r="AH127" s="73"/>
      <c r="AI127" s="74"/>
    </row>
    <row r="128" spans="1:38" ht="15" customHeight="1" x14ac:dyDescent="0.45">
      <c r="A128" s="72"/>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c r="AA128" s="73"/>
      <c r="AB128" s="73"/>
      <c r="AC128" s="73"/>
      <c r="AD128" s="73"/>
      <c r="AE128" s="73"/>
      <c r="AF128" s="73"/>
      <c r="AG128" s="73"/>
      <c r="AH128" s="73"/>
      <c r="AI128" s="74"/>
    </row>
    <row r="129" spans="1:38" ht="15" customHeight="1" x14ac:dyDescent="0.45">
      <c r="A129" s="72"/>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c r="AA129" s="73"/>
      <c r="AB129" s="73"/>
      <c r="AC129" s="73"/>
      <c r="AD129" s="73"/>
      <c r="AE129" s="73"/>
      <c r="AF129" s="73"/>
      <c r="AG129" s="73"/>
      <c r="AH129" s="73"/>
      <c r="AI129" s="74"/>
    </row>
    <row r="130" spans="1:38" ht="15" customHeight="1" x14ac:dyDescent="0.45">
      <c r="A130" s="72"/>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c r="AA130" s="73"/>
      <c r="AB130" s="73"/>
      <c r="AC130" s="73"/>
      <c r="AD130" s="73"/>
      <c r="AE130" s="73"/>
      <c r="AF130" s="73"/>
      <c r="AG130" s="73"/>
      <c r="AH130" s="73"/>
      <c r="AI130" s="74"/>
    </row>
    <row r="131" spans="1:38" ht="15" customHeight="1" x14ac:dyDescent="0.45">
      <c r="A131" s="72"/>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c r="AA131" s="73"/>
      <c r="AB131" s="73"/>
      <c r="AC131" s="73"/>
      <c r="AD131" s="73"/>
      <c r="AE131" s="73"/>
      <c r="AF131" s="73"/>
      <c r="AG131" s="73"/>
      <c r="AH131" s="73"/>
      <c r="AI131" s="74"/>
    </row>
    <row r="132" spans="1:38" ht="15" customHeight="1" x14ac:dyDescent="0.45">
      <c r="A132" s="72"/>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c r="AA132" s="73"/>
      <c r="AB132" s="73"/>
      <c r="AC132" s="73"/>
      <c r="AD132" s="73"/>
      <c r="AE132" s="73"/>
      <c r="AF132" s="73"/>
      <c r="AG132" s="73"/>
      <c r="AH132" s="73"/>
      <c r="AI132" s="74"/>
    </row>
    <row r="133" spans="1:38" ht="15" customHeight="1" x14ac:dyDescent="0.45">
      <c r="A133" s="72"/>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c r="AA133" s="73"/>
      <c r="AB133" s="73"/>
      <c r="AC133" s="73"/>
      <c r="AD133" s="73"/>
      <c r="AE133" s="73"/>
      <c r="AF133" s="73"/>
      <c r="AG133" s="73"/>
      <c r="AH133" s="73"/>
      <c r="AI133" s="74"/>
    </row>
    <row r="134" spans="1:38" ht="15" customHeight="1" x14ac:dyDescent="0.45">
      <c r="A134" s="72"/>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c r="AA134" s="73"/>
      <c r="AB134" s="73"/>
      <c r="AC134" s="73"/>
      <c r="AD134" s="73"/>
      <c r="AE134" s="73"/>
      <c r="AF134" s="73"/>
      <c r="AG134" s="73"/>
      <c r="AH134" s="73"/>
      <c r="AI134" s="74"/>
    </row>
    <row r="135" spans="1:38" ht="15" customHeight="1" x14ac:dyDescent="0.45">
      <c r="A135" s="72"/>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c r="AA135" s="73"/>
      <c r="AB135" s="73"/>
      <c r="AC135" s="73"/>
      <c r="AD135" s="73"/>
      <c r="AE135" s="73"/>
      <c r="AF135" s="73"/>
      <c r="AG135" s="73"/>
      <c r="AH135" s="73"/>
      <c r="AI135" s="74"/>
    </row>
    <row r="136" spans="1:38" ht="15" customHeight="1" x14ac:dyDescent="0.45">
      <c r="A136" s="72"/>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c r="AA136" s="73"/>
      <c r="AB136" s="73"/>
      <c r="AC136" s="73"/>
      <c r="AD136" s="73"/>
      <c r="AE136" s="73"/>
      <c r="AF136" s="73"/>
      <c r="AG136" s="73"/>
      <c r="AH136" s="73"/>
      <c r="AI136" s="74"/>
    </row>
    <row r="137" spans="1:38" ht="15" customHeight="1" x14ac:dyDescent="0.45">
      <c r="A137" s="72"/>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c r="AA137" s="73"/>
      <c r="AB137" s="73"/>
      <c r="AC137" s="73"/>
      <c r="AD137" s="73"/>
      <c r="AE137" s="73"/>
      <c r="AF137" s="73"/>
      <c r="AG137" s="73"/>
      <c r="AH137" s="73"/>
      <c r="AI137" s="74"/>
      <c r="AJ137" s="67"/>
      <c r="AK137" s="67"/>
      <c r="AL137" s="67"/>
    </row>
    <row r="138" spans="1:38" ht="15" customHeight="1" x14ac:dyDescent="0.45">
      <c r="A138" s="72"/>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c r="AA138" s="73"/>
      <c r="AB138" s="73"/>
      <c r="AC138" s="73"/>
      <c r="AD138" s="73"/>
      <c r="AE138" s="73"/>
      <c r="AF138" s="73"/>
      <c r="AG138" s="73"/>
      <c r="AH138" s="73"/>
      <c r="AI138" s="74"/>
    </row>
    <row r="139" spans="1:38" ht="15" customHeight="1" x14ac:dyDescent="0.45">
      <c r="A139" s="72"/>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c r="AA139" s="73"/>
      <c r="AB139" s="73"/>
      <c r="AC139" s="73"/>
      <c r="AD139" s="73"/>
      <c r="AE139" s="73"/>
      <c r="AF139" s="73"/>
      <c r="AG139" s="73"/>
      <c r="AH139" s="73"/>
      <c r="AI139" s="74"/>
    </row>
    <row r="140" spans="1:38" ht="15" customHeight="1" x14ac:dyDescent="0.45">
      <c r="A140" s="72"/>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c r="AA140" s="73"/>
      <c r="AB140" s="73"/>
      <c r="AC140" s="73"/>
      <c r="AD140" s="73"/>
      <c r="AE140" s="73"/>
      <c r="AF140" s="73"/>
      <c r="AG140" s="73"/>
      <c r="AH140" s="73"/>
      <c r="AI140" s="74"/>
    </row>
    <row r="141" spans="1:38" ht="15" customHeight="1" x14ac:dyDescent="0.45">
      <c r="A141" s="72"/>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c r="AA141" s="73"/>
      <c r="AB141" s="73"/>
      <c r="AC141" s="73"/>
      <c r="AD141" s="73"/>
      <c r="AE141" s="73"/>
      <c r="AF141" s="73"/>
      <c r="AG141" s="73"/>
      <c r="AH141" s="73"/>
      <c r="AI141" s="74"/>
    </row>
    <row r="142" spans="1:38" ht="15" customHeight="1" x14ac:dyDescent="0.45">
      <c r="A142" s="72"/>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c r="AA142" s="73"/>
      <c r="AB142" s="73"/>
      <c r="AC142" s="73"/>
      <c r="AD142" s="73"/>
      <c r="AE142" s="73"/>
      <c r="AF142" s="73"/>
      <c r="AG142" s="73"/>
      <c r="AH142" s="73"/>
      <c r="AI142" s="74"/>
    </row>
    <row r="143" spans="1:38" ht="15" customHeight="1" x14ac:dyDescent="0.45">
      <c r="A143" s="72"/>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c r="AA143" s="73"/>
      <c r="AB143" s="73"/>
      <c r="AC143" s="73"/>
      <c r="AD143" s="73"/>
      <c r="AE143" s="73"/>
      <c r="AF143" s="73"/>
      <c r="AG143" s="73"/>
      <c r="AH143" s="73"/>
      <c r="AI143" s="74"/>
    </row>
    <row r="144" spans="1:38" ht="15" customHeight="1" x14ac:dyDescent="0.45">
      <c r="A144" s="72"/>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c r="AA144" s="73"/>
      <c r="AB144" s="73"/>
      <c r="AC144" s="73"/>
      <c r="AD144" s="73"/>
      <c r="AE144" s="73"/>
      <c r="AF144" s="73"/>
      <c r="AG144" s="73"/>
      <c r="AH144" s="73"/>
      <c r="AI144" s="74"/>
    </row>
    <row r="145" spans="1:35" ht="15" customHeight="1" x14ac:dyDescent="0.45">
      <c r="A145" s="72"/>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c r="AA145" s="73"/>
      <c r="AB145" s="73"/>
      <c r="AC145" s="73"/>
      <c r="AD145" s="73"/>
      <c r="AE145" s="73"/>
      <c r="AF145" s="73"/>
      <c r="AG145" s="73"/>
      <c r="AH145" s="73"/>
      <c r="AI145" s="74"/>
    </row>
    <row r="146" spans="1:35" ht="15" customHeight="1" x14ac:dyDescent="0.45">
      <c r="A146" s="72"/>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c r="AA146" s="73"/>
      <c r="AB146" s="73"/>
      <c r="AC146" s="73"/>
      <c r="AD146" s="73"/>
      <c r="AE146" s="73"/>
      <c r="AF146" s="73"/>
      <c r="AG146" s="73"/>
      <c r="AH146" s="73"/>
      <c r="AI146" s="74"/>
    </row>
    <row r="147" spans="1:35" ht="15" customHeight="1" x14ac:dyDescent="0.45">
      <c r="A147" s="72"/>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c r="AA147" s="73"/>
      <c r="AB147" s="73"/>
      <c r="AC147" s="73"/>
      <c r="AD147" s="73"/>
      <c r="AE147" s="73"/>
      <c r="AF147" s="73"/>
      <c r="AG147" s="73"/>
      <c r="AH147" s="73"/>
      <c r="AI147" s="74"/>
    </row>
    <row r="148" spans="1:35" ht="15" customHeight="1" x14ac:dyDescent="0.45">
      <c r="A148" s="72"/>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c r="AA148" s="73"/>
      <c r="AB148" s="73"/>
      <c r="AC148" s="73"/>
      <c r="AD148" s="73"/>
      <c r="AE148" s="73"/>
      <c r="AF148" s="73"/>
      <c r="AG148" s="73"/>
      <c r="AH148" s="73"/>
      <c r="AI148" s="74"/>
    </row>
    <row r="149" spans="1:35" ht="15" customHeight="1" x14ac:dyDescent="0.45">
      <c r="A149" s="72"/>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c r="AA149" s="73"/>
      <c r="AB149" s="73"/>
      <c r="AC149" s="73"/>
      <c r="AD149" s="73"/>
      <c r="AE149" s="73"/>
      <c r="AF149" s="73"/>
      <c r="AG149" s="73"/>
      <c r="AH149" s="73"/>
      <c r="AI149" s="74"/>
    </row>
    <row r="150" spans="1:35" ht="15" customHeight="1" x14ac:dyDescent="0.45">
      <c r="A150" s="72"/>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c r="AA150" s="73"/>
      <c r="AB150" s="73"/>
      <c r="AC150" s="73"/>
      <c r="AD150" s="73"/>
      <c r="AE150" s="73"/>
      <c r="AF150" s="73"/>
      <c r="AG150" s="73"/>
      <c r="AH150" s="73"/>
      <c r="AI150" s="74"/>
    </row>
    <row r="151" spans="1:35" ht="15" customHeight="1" x14ac:dyDescent="0.45">
      <c r="A151" s="72"/>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c r="AA151" s="73"/>
      <c r="AB151" s="73"/>
      <c r="AC151" s="73"/>
      <c r="AD151" s="73"/>
      <c r="AE151" s="73"/>
      <c r="AF151" s="73"/>
      <c r="AG151" s="73"/>
      <c r="AH151" s="73"/>
      <c r="AI151" s="74"/>
    </row>
    <row r="152" spans="1:35" ht="15" customHeight="1" x14ac:dyDescent="0.45">
      <c r="A152" s="72"/>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c r="AA152" s="73"/>
      <c r="AB152" s="73"/>
      <c r="AC152" s="73"/>
      <c r="AD152" s="73"/>
      <c r="AE152" s="73"/>
      <c r="AF152" s="73"/>
      <c r="AG152" s="73"/>
      <c r="AH152" s="73"/>
      <c r="AI152" s="74"/>
    </row>
    <row r="153" spans="1:35" ht="15" customHeight="1" x14ac:dyDescent="0.45">
      <c r="A153" s="72"/>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c r="AA153" s="73"/>
      <c r="AB153" s="73"/>
      <c r="AC153" s="73"/>
      <c r="AD153" s="73"/>
      <c r="AE153" s="73"/>
      <c r="AF153" s="73"/>
      <c r="AG153" s="73"/>
      <c r="AH153" s="73"/>
      <c r="AI153" s="74"/>
    </row>
    <row r="154" spans="1:35" ht="15" customHeight="1" x14ac:dyDescent="0.45">
      <c r="A154" s="72"/>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c r="AF154" s="73"/>
      <c r="AG154" s="73"/>
      <c r="AH154" s="73"/>
      <c r="AI154" s="74"/>
    </row>
    <row r="155" spans="1:35" ht="15" customHeight="1" x14ac:dyDescent="0.45">
      <c r="A155" s="72"/>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c r="AA155" s="73"/>
      <c r="AB155" s="73"/>
      <c r="AC155" s="73"/>
      <c r="AD155" s="73"/>
      <c r="AE155" s="73"/>
      <c r="AF155" s="73"/>
      <c r="AG155" s="73"/>
      <c r="AH155" s="73"/>
      <c r="AI155" s="74"/>
    </row>
    <row r="156" spans="1:35" ht="15" customHeight="1" x14ac:dyDescent="0.45">
      <c r="A156" s="72"/>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c r="AA156" s="73"/>
      <c r="AB156" s="73"/>
      <c r="AC156" s="73"/>
      <c r="AD156" s="73"/>
      <c r="AE156" s="73"/>
      <c r="AF156" s="73"/>
      <c r="AG156" s="73"/>
      <c r="AH156" s="73"/>
      <c r="AI156" s="74"/>
    </row>
    <row r="157" spans="1:35" ht="15" customHeight="1" x14ac:dyDescent="0.45">
      <c r="A157" s="72"/>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c r="AA157" s="73"/>
      <c r="AB157" s="73"/>
      <c r="AC157" s="73"/>
      <c r="AD157" s="73"/>
      <c r="AE157" s="73"/>
      <c r="AF157" s="73"/>
      <c r="AG157" s="73"/>
      <c r="AH157" s="73"/>
      <c r="AI157" s="74"/>
    </row>
    <row r="158" spans="1:35" ht="15" customHeight="1" x14ac:dyDescent="0.45">
      <c r="A158" s="72"/>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c r="AA158" s="73"/>
      <c r="AB158" s="73"/>
      <c r="AC158" s="73"/>
      <c r="AD158" s="73"/>
      <c r="AE158" s="73"/>
      <c r="AF158" s="73"/>
      <c r="AG158" s="73"/>
      <c r="AH158" s="73"/>
      <c r="AI158" s="74"/>
    </row>
    <row r="159" spans="1:35" ht="15" customHeight="1" x14ac:dyDescent="0.45">
      <c r="A159" s="72"/>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c r="AA159" s="73"/>
      <c r="AB159" s="73"/>
      <c r="AC159" s="73"/>
      <c r="AD159" s="73"/>
      <c r="AE159" s="73"/>
      <c r="AF159" s="73"/>
      <c r="AG159" s="73"/>
      <c r="AH159" s="73"/>
      <c r="AI159" s="74"/>
    </row>
    <row r="160" spans="1:35" ht="15" customHeight="1" x14ac:dyDescent="0.45">
      <c r="A160" s="72"/>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c r="AA160" s="73"/>
      <c r="AB160" s="73"/>
      <c r="AC160" s="73"/>
      <c r="AD160" s="73"/>
      <c r="AE160" s="73"/>
      <c r="AF160" s="73"/>
      <c r="AG160" s="73"/>
      <c r="AH160" s="73"/>
      <c r="AI160" s="74"/>
    </row>
    <row r="161" spans="1:35" ht="15" customHeight="1" x14ac:dyDescent="0.45">
      <c r="A161" s="72"/>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c r="AA161" s="73"/>
      <c r="AB161" s="73"/>
      <c r="AC161" s="73"/>
      <c r="AD161" s="73"/>
      <c r="AE161" s="73"/>
      <c r="AF161" s="73"/>
      <c r="AG161" s="73"/>
      <c r="AH161" s="73"/>
      <c r="AI161" s="74"/>
    </row>
    <row r="162" spans="1:35" ht="15" customHeight="1" x14ac:dyDescent="0.45">
      <c r="A162" s="72"/>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c r="AA162" s="73"/>
      <c r="AB162" s="73"/>
      <c r="AC162" s="73"/>
      <c r="AD162" s="73"/>
      <c r="AE162" s="73"/>
      <c r="AF162" s="73"/>
      <c r="AG162" s="73"/>
      <c r="AH162" s="73"/>
      <c r="AI162" s="74"/>
    </row>
    <row r="163" spans="1:35" ht="15" customHeight="1" x14ac:dyDescent="0.45">
      <c r="A163" s="72"/>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c r="AA163" s="73"/>
      <c r="AB163" s="73"/>
      <c r="AC163" s="73"/>
      <c r="AD163" s="73"/>
      <c r="AE163" s="73"/>
      <c r="AF163" s="73"/>
      <c r="AG163" s="73"/>
      <c r="AH163" s="73"/>
      <c r="AI163" s="74"/>
    </row>
    <row r="164" spans="1:35" ht="15" customHeight="1" x14ac:dyDescent="0.45">
      <c r="A164" s="72"/>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c r="AA164" s="73"/>
      <c r="AB164" s="73"/>
      <c r="AC164" s="73"/>
      <c r="AD164" s="73"/>
      <c r="AE164" s="73"/>
      <c r="AF164" s="73"/>
      <c r="AG164" s="73"/>
      <c r="AH164" s="73"/>
      <c r="AI164" s="74"/>
    </row>
    <row r="165" spans="1:35" ht="15" customHeight="1" x14ac:dyDescent="0.45">
      <c r="A165" s="72"/>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c r="AA165" s="73"/>
      <c r="AB165" s="73"/>
      <c r="AC165" s="73"/>
      <c r="AD165" s="73"/>
      <c r="AE165" s="73"/>
      <c r="AF165" s="73"/>
      <c r="AG165" s="73"/>
      <c r="AH165" s="73"/>
      <c r="AI165" s="74"/>
    </row>
    <row r="166" spans="1:35" ht="15" customHeight="1" x14ac:dyDescent="0.45">
      <c r="A166" s="75"/>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c r="AA166" s="76"/>
      <c r="AB166" s="76"/>
      <c r="AC166" s="76"/>
      <c r="AD166" s="76"/>
      <c r="AE166" s="76"/>
      <c r="AF166" s="76"/>
      <c r="AG166" s="76"/>
      <c r="AH166" s="76"/>
      <c r="AI166" s="77"/>
    </row>
    <row r="167" spans="1:35" ht="15" customHeight="1" x14ac:dyDescent="0.45"/>
    <row r="168" spans="1:35" ht="15" customHeight="1" x14ac:dyDescent="0.45">
      <c r="A168" s="14" t="s">
        <v>96</v>
      </c>
      <c r="B168" s="14"/>
      <c r="C168" s="14"/>
      <c r="D168" s="14"/>
      <c r="E168" s="14"/>
      <c r="F168" s="15" t="s">
        <v>97</v>
      </c>
      <c r="G168" s="15"/>
      <c r="H168" s="15"/>
      <c r="I168" s="15"/>
      <c r="J168" s="15"/>
      <c r="K168" s="15"/>
      <c r="L168" s="15"/>
      <c r="M168" s="15"/>
      <c r="N168" s="15"/>
      <c r="O168" s="15"/>
      <c r="P168" s="15"/>
      <c r="Q168" s="15"/>
      <c r="R168" s="15"/>
      <c r="S168" s="15"/>
      <c r="T168" s="15"/>
      <c r="U168" s="15"/>
      <c r="V168" s="15"/>
      <c r="W168" s="15"/>
      <c r="X168" s="15"/>
      <c r="Y168" s="15"/>
      <c r="Z168" s="15"/>
      <c r="AA168" s="15"/>
      <c r="AB168" s="15"/>
      <c r="AC168" s="66" t="s">
        <v>59</v>
      </c>
      <c r="AD168" s="66"/>
      <c r="AE168" s="66"/>
      <c r="AF168" s="66"/>
      <c r="AG168" s="66"/>
      <c r="AH168" s="66"/>
      <c r="AI168" s="66"/>
    </row>
    <row r="169" spans="1:35" ht="15" customHeight="1" x14ac:dyDescent="0.45"/>
    <row r="170" spans="1:35" ht="15" customHeight="1" thickBot="1" x14ac:dyDescent="0.5">
      <c r="A170" s="78" t="s">
        <v>98</v>
      </c>
      <c r="B170" s="79"/>
      <c r="C170" s="80"/>
      <c r="D170" s="78" t="s">
        <v>99</v>
      </c>
      <c r="E170" s="79"/>
      <c r="F170" s="79"/>
      <c r="G170" s="79"/>
      <c r="H170" s="79"/>
      <c r="I170" s="79"/>
      <c r="J170" s="79"/>
      <c r="K170" s="79"/>
      <c r="L170" s="79"/>
      <c r="M170" s="79"/>
      <c r="N170" s="79"/>
      <c r="O170" s="79"/>
      <c r="P170" s="79"/>
      <c r="Q170" s="79"/>
      <c r="R170" s="79"/>
      <c r="S170" s="79"/>
      <c r="T170" s="79"/>
      <c r="U170" s="79"/>
      <c r="V170" s="79"/>
      <c r="W170" s="79"/>
      <c r="X170" s="79"/>
      <c r="Y170" s="79"/>
      <c r="Z170" s="79"/>
      <c r="AA170" s="79"/>
      <c r="AB170" s="79"/>
      <c r="AC170" s="80"/>
      <c r="AD170" s="78" t="s">
        <v>100</v>
      </c>
      <c r="AE170" s="79"/>
      <c r="AF170" s="79"/>
      <c r="AG170" s="79"/>
      <c r="AH170" s="79"/>
      <c r="AI170" s="80"/>
    </row>
    <row r="171" spans="1:35" ht="15" customHeight="1" thickTop="1" x14ac:dyDescent="0.45">
      <c r="A171" s="81"/>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c r="AA171" s="82"/>
      <c r="AB171" s="82"/>
      <c r="AC171" s="82"/>
      <c r="AD171" s="82"/>
      <c r="AE171" s="82"/>
      <c r="AF171" s="82"/>
      <c r="AG171" s="82"/>
      <c r="AH171" s="82"/>
      <c r="AI171" s="83"/>
    </row>
    <row r="172" spans="1:35" ht="15" customHeight="1" x14ac:dyDescent="0.45">
      <c r="A172" s="84" t="s">
        <v>101</v>
      </c>
      <c r="B172" s="85"/>
      <c r="C172" s="85"/>
      <c r="D172" s="86" t="s">
        <v>102</v>
      </c>
      <c r="E172" s="87"/>
      <c r="F172" s="87"/>
      <c r="G172" s="87"/>
      <c r="H172" s="87"/>
      <c r="I172" s="87"/>
      <c r="J172" s="87"/>
      <c r="K172" s="87"/>
      <c r="L172" s="87"/>
      <c r="M172" s="18"/>
      <c r="N172" s="18"/>
      <c r="O172" s="18"/>
      <c r="P172" s="18"/>
      <c r="Q172" s="18"/>
      <c r="R172" s="88" t="s">
        <v>90</v>
      </c>
      <c r="S172" s="89"/>
      <c r="T172" s="89"/>
      <c r="U172" s="90" t="s">
        <v>103</v>
      </c>
      <c r="V172" s="18"/>
      <c r="W172" s="88" t="s">
        <v>90</v>
      </c>
      <c r="X172" s="91" t="str">
        <f>IF(ISBLANK(General_Info_Rail_Railway_Design_Speed),"No Value",General_Info_Rail_Railway_Design_Speed*1.609344)</f>
        <v>No Value</v>
      </c>
      <c r="Y172" s="91"/>
      <c r="Z172" s="91"/>
      <c r="AA172" s="90" t="s">
        <v>104</v>
      </c>
      <c r="AB172" s="18"/>
      <c r="AC172" s="19"/>
      <c r="AD172" s="92"/>
      <c r="AE172" s="92"/>
      <c r="AF172" s="92"/>
      <c r="AG172" s="92"/>
      <c r="AH172" s="92"/>
      <c r="AI172" s="93"/>
    </row>
    <row r="173" spans="1:35" ht="15" customHeight="1" x14ac:dyDescent="0.45">
      <c r="A173" s="94"/>
      <c r="B173" s="95"/>
      <c r="C173" s="95"/>
      <c r="D173" s="96" t="s">
        <v>105</v>
      </c>
      <c r="E173" s="97"/>
      <c r="F173" s="97"/>
      <c r="G173" s="97"/>
      <c r="H173" s="97"/>
      <c r="I173" s="97"/>
      <c r="J173" s="97"/>
      <c r="K173" s="97"/>
      <c r="L173" s="97"/>
      <c r="M173" s="97"/>
      <c r="N173" s="97"/>
      <c r="O173" s="97"/>
      <c r="P173" s="97"/>
      <c r="Q173" s="97"/>
      <c r="R173" s="51"/>
      <c r="S173" s="2"/>
      <c r="T173" s="2"/>
      <c r="U173" s="6"/>
      <c r="W173" s="51"/>
      <c r="X173" s="98"/>
      <c r="Y173" s="98"/>
      <c r="Z173" s="6"/>
      <c r="AC173" s="25"/>
      <c r="AD173" s="99"/>
      <c r="AE173" s="99"/>
      <c r="AF173" s="99"/>
      <c r="AG173" s="99"/>
      <c r="AH173" s="99"/>
      <c r="AI173" s="100"/>
    </row>
    <row r="174" spans="1:35" ht="15" customHeight="1" x14ac:dyDescent="0.45">
      <c r="A174" s="101"/>
      <c r="B174" s="102"/>
      <c r="C174" s="102"/>
      <c r="D174" s="96" t="s">
        <v>106</v>
      </c>
      <c r="E174" s="97"/>
      <c r="F174" s="97"/>
      <c r="G174" s="97"/>
      <c r="H174" s="97"/>
      <c r="I174" s="97"/>
      <c r="J174" s="97"/>
      <c r="K174" s="97"/>
      <c r="L174" s="97"/>
      <c r="M174" s="97"/>
      <c r="N174" s="97"/>
      <c r="O174" s="97"/>
      <c r="P174" s="97"/>
      <c r="Q174" s="97"/>
      <c r="R174" s="51"/>
      <c r="S174" s="2"/>
      <c r="T174" s="2"/>
      <c r="U174" s="6"/>
      <c r="W174" s="51"/>
      <c r="X174" s="98"/>
      <c r="Y174" s="98"/>
      <c r="Z174" s="6"/>
      <c r="AC174" s="25"/>
      <c r="AD174" s="103"/>
      <c r="AE174" s="103"/>
      <c r="AF174" s="103"/>
      <c r="AG174" s="103"/>
      <c r="AH174" s="103"/>
      <c r="AI174" s="104"/>
    </row>
    <row r="175" spans="1:35" ht="15" customHeight="1" x14ac:dyDescent="0.45">
      <c r="A175" s="84" t="s">
        <v>101</v>
      </c>
      <c r="B175" s="85"/>
      <c r="C175" s="105"/>
      <c r="D175" s="86" t="s">
        <v>107</v>
      </c>
      <c r="E175" s="87"/>
      <c r="F175" s="87"/>
      <c r="G175" s="87"/>
      <c r="H175" s="87"/>
      <c r="I175" s="87"/>
      <c r="J175" s="106"/>
      <c r="K175" s="87" t="s">
        <v>108</v>
      </c>
      <c r="L175" s="87"/>
      <c r="M175" s="87"/>
      <c r="N175" s="87"/>
      <c r="O175" s="87"/>
      <c r="P175" s="87"/>
      <c r="Q175" s="89"/>
      <c r="R175" s="89"/>
      <c r="S175" s="18"/>
      <c r="T175" s="18"/>
      <c r="U175" s="18"/>
      <c r="V175" s="18"/>
      <c r="W175" s="18"/>
      <c r="X175" s="18"/>
      <c r="Y175" s="18"/>
      <c r="Z175" s="18"/>
      <c r="AA175" s="18"/>
      <c r="AB175" s="18"/>
      <c r="AC175" s="19"/>
      <c r="AD175" s="92"/>
      <c r="AE175" s="92"/>
      <c r="AF175" s="92"/>
      <c r="AG175" s="92"/>
      <c r="AH175" s="92"/>
      <c r="AI175" s="93"/>
    </row>
    <row r="176" spans="1:35" ht="15" customHeight="1" x14ac:dyDescent="0.45">
      <c r="A176" s="94"/>
      <c r="B176" s="95"/>
      <c r="C176" s="107"/>
      <c r="D176" s="24"/>
      <c r="K176" s="97" t="s">
        <v>109</v>
      </c>
      <c r="L176" s="97"/>
      <c r="M176" s="97"/>
      <c r="N176" s="97"/>
      <c r="O176" s="97"/>
      <c r="P176" s="97"/>
      <c r="Q176" s="2"/>
      <c r="R176" s="2"/>
      <c r="AC176" s="25"/>
      <c r="AD176" s="99"/>
      <c r="AE176" s="99"/>
      <c r="AF176" s="99"/>
      <c r="AG176" s="99"/>
      <c r="AH176" s="99"/>
      <c r="AI176" s="100"/>
    </row>
    <row r="177" spans="1:35" ht="15" customHeight="1" x14ac:dyDescent="0.45">
      <c r="A177" s="101"/>
      <c r="B177" s="102"/>
      <c r="C177" s="108"/>
      <c r="D177" s="109"/>
      <c r="E177" s="110"/>
      <c r="F177" s="110"/>
      <c r="G177" s="110"/>
      <c r="H177" s="110"/>
      <c r="I177" s="110"/>
      <c r="J177" s="110"/>
      <c r="K177" s="111" t="s">
        <v>110</v>
      </c>
      <c r="L177" s="111"/>
      <c r="M177" s="111"/>
      <c r="N177" s="111"/>
      <c r="O177" s="111"/>
      <c r="P177" s="111"/>
      <c r="Q177" s="112"/>
      <c r="R177" s="112"/>
      <c r="S177" s="110"/>
      <c r="T177" s="110"/>
      <c r="U177" s="110"/>
      <c r="V177" s="110"/>
      <c r="W177" s="110"/>
      <c r="X177" s="110"/>
      <c r="Y177" s="110"/>
      <c r="Z177" s="110"/>
      <c r="AA177" s="110"/>
      <c r="AB177" s="110"/>
      <c r="AC177" s="113"/>
      <c r="AD177" s="103"/>
      <c r="AE177" s="103"/>
      <c r="AF177" s="103"/>
      <c r="AG177" s="103"/>
      <c r="AH177" s="103"/>
      <c r="AI177" s="104"/>
    </row>
    <row r="178" spans="1:35" ht="15" customHeight="1" x14ac:dyDescent="0.45">
      <c r="A178" s="114" t="s">
        <v>101</v>
      </c>
      <c r="B178" s="115"/>
      <c r="C178" s="115"/>
      <c r="D178" s="116" t="s">
        <v>111</v>
      </c>
      <c r="E178" s="117"/>
      <c r="F178" s="117"/>
      <c r="G178" s="117"/>
      <c r="H178" s="117"/>
      <c r="I178" s="117"/>
      <c r="J178" s="118"/>
      <c r="K178" s="52"/>
      <c r="L178" s="52"/>
      <c r="M178" s="118"/>
      <c r="N178" s="118"/>
      <c r="O178" s="118"/>
      <c r="P178" s="118"/>
      <c r="Q178" s="118"/>
      <c r="R178" s="118"/>
      <c r="S178" s="118"/>
      <c r="T178" s="118"/>
      <c r="U178" s="118"/>
      <c r="V178" s="118"/>
      <c r="W178" s="118"/>
      <c r="X178" s="118"/>
      <c r="Y178" s="118"/>
      <c r="Z178" s="118"/>
      <c r="AA178" s="118"/>
      <c r="AB178" s="118"/>
      <c r="AC178" s="119"/>
      <c r="AD178" s="120"/>
      <c r="AE178" s="120"/>
      <c r="AF178" s="120"/>
      <c r="AG178" s="120"/>
      <c r="AH178" s="120"/>
      <c r="AI178" s="121"/>
    </row>
    <row r="179" spans="1:35" ht="15" customHeight="1" x14ac:dyDescent="0.45">
      <c r="A179" s="114" t="s">
        <v>101</v>
      </c>
      <c r="B179" s="115"/>
      <c r="C179" s="115"/>
      <c r="D179" s="122" t="s">
        <v>112</v>
      </c>
      <c r="E179" s="123"/>
      <c r="F179" s="123"/>
      <c r="G179" s="123"/>
      <c r="H179" s="123"/>
      <c r="I179" s="123"/>
      <c r="J179" s="123"/>
      <c r="K179" s="123"/>
      <c r="L179" s="123"/>
      <c r="M179" s="123"/>
      <c r="N179" s="123"/>
      <c r="O179" s="123"/>
      <c r="P179" s="110"/>
      <c r="Q179" s="52"/>
      <c r="R179" s="52"/>
      <c r="S179" s="52"/>
      <c r="T179" s="52"/>
      <c r="U179" s="52"/>
      <c r="V179" s="124"/>
      <c r="W179" s="124"/>
      <c r="AC179" s="125"/>
      <c r="AD179" s="126"/>
      <c r="AE179" s="126"/>
      <c r="AF179" s="126"/>
      <c r="AG179" s="126"/>
      <c r="AH179" s="126"/>
      <c r="AI179" s="127"/>
    </row>
    <row r="180" spans="1:35" ht="15" customHeight="1" x14ac:dyDescent="0.45">
      <c r="A180" s="128"/>
      <c r="B180" s="129"/>
      <c r="C180" s="129"/>
      <c r="D180" s="129"/>
      <c r="E180" s="129"/>
      <c r="F180" s="129"/>
      <c r="G180" s="129"/>
      <c r="H180" s="129"/>
      <c r="I180" s="129"/>
      <c r="J180" s="129"/>
      <c r="K180" s="129"/>
      <c r="L180" s="129"/>
      <c r="M180" s="129"/>
      <c r="N180" s="129"/>
      <c r="O180" s="129"/>
      <c r="P180" s="129"/>
      <c r="Q180" s="129"/>
      <c r="R180" s="129"/>
      <c r="S180" s="129"/>
      <c r="T180" s="129"/>
      <c r="U180" s="129"/>
      <c r="V180" s="129"/>
      <c r="W180" s="129"/>
      <c r="X180" s="129"/>
      <c r="Y180" s="129"/>
      <c r="Z180" s="129"/>
      <c r="AA180" s="129"/>
      <c r="AB180" s="129"/>
      <c r="AC180" s="129"/>
      <c r="AD180" s="129"/>
      <c r="AE180" s="129"/>
      <c r="AF180" s="129"/>
      <c r="AG180" s="129"/>
      <c r="AH180" s="129"/>
      <c r="AI180" s="130"/>
    </row>
    <row r="181" spans="1:35" ht="15" customHeight="1" x14ac:dyDescent="0.45">
      <c r="A181" s="131" t="s">
        <v>113</v>
      </c>
      <c r="B181" s="132"/>
      <c r="C181" s="133"/>
      <c r="D181" s="116" t="s">
        <v>114</v>
      </c>
      <c r="E181" s="117"/>
      <c r="F181" s="117"/>
      <c r="G181" s="117"/>
      <c r="H181" s="117"/>
      <c r="I181" s="117"/>
      <c r="J181" s="117"/>
      <c r="K181" s="117"/>
      <c r="L181" s="134" t="s">
        <v>90</v>
      </c>
      <c r="M181" s="52"/>
      <c r="N181" s="52"/>
      <c r="O181" s="124" t="s">
        <v>104</v>
      </c>
      <c r="P181" s="118"/>
      <c r="Q181" s="118"/>
      <c r="R181" s="118"/>
      <c r="S181" s="118"/>
      <c r="T181" s="118"/>
      <c r="U181" s="118"/>
      <c r="V181" s="118"/>
      <c r="W181" s="118"/>
      <c r="X181" s="118"/>
      <c r="Y181" s="118"/>
      <c r="Z181" s="118"/>
      <c r="AA181" s="118"/>
      <c r="AB181" s="118"/>
      <c r="AC181" s="119"/>
      <c r="AD181" s="135"/>
      <c r="AE181" s="126"/>
      <c r="AF181" s="126"/>
      <c r="AG181" s="126"/>
      <c r="AH181" s="126"/>
      <c r="AI181" s="127"/>
    </row>
    <row r="182" spans="1:35" ht="15" customHeight="1" x14ac:dyDescent="0.45">
      <c r="A182" s="131" t="s">
        <v>113</v>
      </c>
      <c r="B182" s="132"/>
      <c r="C182" s="133"/>
      <c r="D182" s="116" t="s">
        <v>115</v>
      </c>
      <c r="E182" s="117"/>
      <c r="F182" s="117"/>
      <c r="G182" s="117"/>
      <c r="H182" s="117"/>
      <c r="I182" s="117"/>
      <c r="J182" s="110"/>
      <c r="K182" s="110"/>
      <c r="L182" s="136" t="s">
        <v>90</v>
      </c>
      <c r="M182" s="52"/>
      <c r="N182" s="52"/>
      <c r="O182" s="124" t="s">
        <v>104</v>
      </c>
      <c r="P182" s="118"/>
      <c r="Q182" s="118"/>
      <c r="R182" s="110"/>
      <c r="S182" s="110"/>
      <c r="T182" s="110"/>
      <c r="U182" s="110"/>
      <c r="V182" s="110"/>
      <c r="W182" s="110"/>
      <c r="X182" s="118"/>
      <c r="Y182" s="118"/>
      <c r="Z182" s="110"/>
      <c r="AA182" s="110"/>
      <c r="AB182" s="110"/>
      <c r="AC182" s="113"/>
      <c r="AD182" s="137"/>
      <c r="AE182" s="120"/>
      <c r="AF182" s="120"/>
      <c r="AG182" s="120"/>
      <c r="AH182" s="120"/>
      <c r="AI182" s="121"/>
    </row>
    <row r="183" spans="1:35" ht="15" customHeight="1" x14ac:dyDescent="0.45">
      <c r="A183" s="138" t="s">
        <v>116</v>
      </c>
      <c r="B183" s="139"/>
      <c r="C183" s="140"/>
      <c r="D183" s="116" t="s">
        <v>117</v>
      </c>
      <c r="E183" s="117"/>
      <c r="F183" s="117"/>
      <c r="G183" s="117"/>
      <c r="H183" s="117"/>
      <c r="I183" s="117"/>
      <c r="J183" s="117"/>
      <c r="K183" s="117"/>
      <c r="L183" s="117"/>
      <c r="M183" s="117"/>
      <c r="N183" s="136" t="s">
        <v>90</v>
      </c>
      <c r="O183" s="141"/>
      <c r="P183" s="141"/>
      <c r="Q183" s="141"/>
      <c r="R183" s="142" t="s">
        <v>118</v>
      </c>
      <c r="S183" s="110"/>
      <c r="T183" s="117" t="s">
        <v>119</v>
      </c>
      <c r="U183" s="117"/>
      <c r="V183" s="117"/>
      <c r="W183" s="117"/>
      <c r="X183" s="52"/>
      <c r="Y183" s="52"/>
      <c r="Z183" s="52"/>
      <c r="AA183" s="52"/>
      <c r="AB183" s="110"/>
      <c r="AC183" s="113"/>
      <c r="AD183" s="143"/>
      <c r="AE183" s="103"/>
      <c r="AF183" s="103"/>
      <c r="AG183" s="103"/>
      <c r="AH183" s="103"/>
      <c r="AI183" s="104"/>
    </row>
    <row r="184" spans="1:35" ht="15" customHeight="1" x14ac:dyDescent="0.45">
      <c r="A184" s="131" t="s">
        <v>116</v>
      </c>
      <c r="B184" s="132"/>
      <c r="C184" s="133"/>
      <c r="D184" s="116" t="s">
        <v>120</v>
      </c>
      <c r="E184" s="117"/>
      <c r="F184" s="117"/>
      <c r="G184" s="117"/>
      <c r="H184" s="117"/>
      <c r="I184" s="117"/>
      <c r="J184" s="134" t="s">
        <v>90</v>
      </c>
      <c r="K184" s="141"/>
      <c r="L184" s="141"/>
      <c r="M184" s="141"/>
      <c r="N184" s="118"/>
      <c r="O184" s="117" t="s">
        <v>121</v>
      </c>
      <c r="P184" s="117"/>
      <c r="Q184" s="117"/>
      <c r="R184" s="117"/>
      <c r="S184" s="52"/>
      <c r="T184" s="52"/>
      <c r="U184" s="52"/>
      <c r="V184" s="52"/>
      <c r="W184" s="118"/>
      <c r="X184" s="118"/>
      <c r="Y184" s="118"/>
      <c r="Z184" s="118"/>
      <c r="AA184" s="118"/>
      <c r="AB184" s="118"/>
      <c r="AC184" s="119"/>
      <c r="AD184" s="135"/>
      <c r="AE184" s="126"/>
      <c r="AF184" s="126"/>
      <c r="AG184" s="126"/>
      <c r="AH184" s="126"/>
      <c r="AI184" s="127"/>
    </row>
    <row r="185" spans="1:35" ht="15" customHeight="1" x14ac:dyDescent="0.45">
      <c r="A185" s="131" t="s">
        <v>116</v>
      </c>
      <c r="B185" s="132"/>
      <c r="C185" s="133"/>
      <c r="D185" s="116" t="s">
        <v>122</v>
      </c>
      <c r="E185" s="117"/>
      <c r="F185" s="117"/>
      <c r="G185" s="117"/>
      <c r="H185" s="117"/>
      <c r="I185" s="134" t="s">
        <v>90</v>
      </c>
      <c r="J185" s="141"/>
      <c r="K185" s="141"/>
      <c r="L185" s="141"/>
      <c r="M185" s="117" t="s">
        <v>123</v>
      </c>
      <c r="N185" s="117"/>
      <c r="O185" s="117"/>
      <c r="P185" s="117"/>
      <c r="Q185" s="117"/>
      <c r="R185" s="118"/>
      <c r="S185" s="118"/>
      <c r="T185" s="118"/>
      <c r="U185" s="118"/>
      <c r="V185" s="118"/>
      <c r="W185" s="118"/>
      <c r="X185" s="118"/>
      <c r="Y185" s="118"/>
      <c r="Z185" s="118"/>
      <c r="AA185" s="118"/>
      <c r="AB185" s="118"/>
      <c r="AC185" s="119"/>
      <c r="AD185" s="135"/>
      <c r="AE185" s="126"/>
      <c r="AF185" s="126"/>
      <c r="AG185" s="126"/>
      <c r="AH185" s="126"/>
      <c r="AI185" s="127"/>
    </row>
    <row r="186" spans="1:35" ht="15" customHeight="1" x14ac:dyDescent="0.45">
      <c r="A186" s="131" t="s">
        <v>116</v>
      </c>
      <c r="B186" s="132"/>
      <c r="C186" s="133"/>
      <c r="D186" s="116" t="s">
        <v>124</v>
      </c>
      <c r="E186" s="117"/>
      <c r="F186" s="117"/>
      <c r="G186" s="117"/>
      <c r="H186" s="117"/>
      <c r="I186" s="134" t="s">
        <v>90</v>
      </c>
      <c r="J186" s="141"/>
      <c r="K186" s="141"/>
      <c r="L186" s="141"/>
      <c r="M186" s="117" t="s">
        <v>125</v>
      </c>
      <c r="N186" s="117"/>
      <c r="O186" s="117"/>
      <c r="P186" s="117"/>
      <c r="Q186" s="117"/>
      <c r="R186" s="118"/>
      <c r="S186" s="118"/>
      <c r="T186" s="118"/>
      <c r="U186" s="118"/>
      <c r="V186" s="118"/>
      <c r="W186" s="118"/>
      <c r="X186" s="118"/>
      <c r="Y186" s="118"/>
      <c r="Z186" s="118"/>
      <c r="AA186" s="118"/>
      <c r="AB186" s="118"/>
      <c r="AC186" s="119"/>
      <c r="AD186" s="135"/>
      <c r="AE186" s="126"/>
      <c r="AF186" s="126"/>
      <c r="AG186" s="126"/>
      <c r="AH186" s="126"/>
      <c r="AI186" s="127"/>
    </row>
    <row r="187" spans="1:35" ht="15" customHeight="1" x14ac:dyDescent="0.45">
      <c r="A187" s="144" t="s">
        <v>113</v>
      </c>
      <c r="B187" s="145"/>
      <c r="C187" s="146"/>
      <c r="D187" s="147" t="s">
        <v>126</v>
      </c>
      <c r="E187" s="148"/>
      <c r="F187" s="148"/>
      <c r="G187" s="148"/>
      <c r="H187" s="148"/>
      <c r="I187" s="148"/>
      <c r="J187" s="18"/>
      <c r="K187" s="87" t="s">
        <v>127</v>
      </c>
      <c r="L187" s="87"/>
      <c r="M187" s="87"/>
      <c r="N187" s="87"/>
      <c r="O187" s="87"/>
      <c r="P187" s="87"/>
      <c r="Q187" s="87"/>
      <c r="R187" s="18"/>
      <c r="S187" s="52"/>
      <c r="T187" s="52"/>
      <c r="U187" s="18"/>
      <c r="V187" s="18"/>
      <c r="W187" s="18"/>
      <c r="X187" s="18"/>
      <c r="Y187" s="18"/>
      <c r="Z187" s="18"/>
      <c r="AA187" s="18"/>
      <c r="AB187" s="18"/>
      <c r="AC187" s="19"/>
      <c r="AD187" s="41"/>
      <c r="AE187" s="41"/>
      <c r="AF187" s="41"/>
      <c r="AG187" s="41"/>
      <c r="AH187" s="41"/>
      <c r="AI187" s="41"/>
    </row>
    <row r="188" spans="1:35" ht="15" customHeight="1" x14ac:dyDescent="0.45">
      <c r="A188" s="149"/>
      <c r="B188" s="150"/>
      <c r="C188" s="151"/>
      <c r="D188" s="152"/>
      <c r="E188" s="153"/>
      <c r="F188" s="153"/>
      <c r="G188" s="153"/>
      <c r="H188" s="153"/>
      <c r="I188" s="153"/>
      <c r="K188" s="97" t="s">
        <v>128</v>
      </c>
      <c r="L188" s="97"/>
      <c r="M188" s="97"/>
      <c r="N188" s="97"/>
      <c r="O188" s="97"/>
      <c r="P188" s="97"/>
      <c r="Q188" s="97"/>
      <c r="S188" s="52"/>
      <c r="T188" s="52"/>
      <c r="AC188" s="25"/>
      <c r="AD188" s="41"/>
      <c r="AE188" s="41"/>
      <c r="AF188" s="41"/>
      <c r="AG188" s="41"/>
      <c r="AH188" s="41"/>
      <c r="AI188" s="41"/>
    </row>
    <row r="189" spans="1:35" ht="15" customHeight="1" x14ac:dyDescent="0.45">
      <c r="A189" s="149"/>
      <c r="B189" s="150"/>
      <c r="C189" s="151"/>
      <c r="D189" s="152"/>
      <c r="E189" s="153"/>
      <c r="F189" s="153"/>
      <c r="G189" s="153"/>
      <c r="H189" s="153"/>
      <c r="I189" s="153"/>
      <c r="K189" s="97" t="s">
        <v>129</v>
      </c>
      <c r="L189" s="97"/>
      <c r="M189" s="97"/>
      <c r="N189" s="97"/>
      <c r="O189" s="97"/>
      <c r="P189" s="97"/>
      <c r="Q189" s="97"/>
      <c r="S189" s="52"/>
      <c r="T189" s="52"/>
      <c r="AC189" s="25"/>
      <c r="AD189" s="41"/>
      <c r="AE189" s="41"/>
      <c r="AF189" s="41"/>
      <c r="AG189" s="41"/>
      <c r="AH189" s="41"/>
      <c r="AI189" s="41"/>
    </row>
    <row r="190" spans="1:35" ht="15" customHeight="1" x14ac:dyDescent="0.45">
      <c r="A190" s="138"/>
      <c r="B190" s="139"/>
      <c r="C190" s="140"/>
      <c r="D190" s="154"/>
      <c r="E190" s="155"/>
      <c r="F190" s="155"/>
      <c r="G190" s="155"/>
      <c r="H190" s="155"/>
      <c r="I190" s="155"/>
      <c r="J190" s="110"/>
      <c r="K190" s="111" t="s">
        <v>130</v>
      </c>
      <c r="L190" s="111"/>
      <c r="M190" s="111"/>
      <c r="N190" s="111"/>
      <c r="O190" s="111"/>
      <c r="P190" s="111"/>
      <c r="Q190" s="111"/>
      <c r="R190" s="110"/>
      <c r="S190" s="53"/>
      <c r="T190" s="53"/>
      <c r="U190" s="110"/>
      <c r="V190" s="110"/>
      <c r="W190" s="110"/>
      <c r="X190" s="110"/>
      <c r="Y190" s="110"/>
      <c r="Z190" s="110"/>
      <c r="AA190" s="110"/>
      <c r="AB190" s="110"/>
      <c r="AC190" s="113"/>
    </row>
    <row r="191" spans="1:35" ht="15" customHeight="1" x14ac:dyDescent="0.45">
      <c r="A191" s="131" t="s">
        <v>113</v>
      </c>
      <c r="B191" s="132"/>
      <c r="C191" s="133"/>
      <c r="D191" s="116" t="s">
        <v>131</v>
      </c>
      <c r="E191" s="117"/>
      <c r="F191" s="117"/>
      <c r="G191" s="117"/>
      <c r="H191" s="117"/>
      <c r="I191" s="117"/>
      <c r="J191" s="117"/>
      <c r="K191" s="117"/>
      <c r="L191" s="117"/>
      <c r="M191" s="117"/>
      <c r="N191" s="117"/>
      <c r="O191" s="117"/>
      <c r="P191" s="117"/>
      <c r="R191" s="52"/>
      <c r="S191" s="52"/>
      <c r="T191" s="52"/>
      <c r="U191" s="52"/>
      <c r="V191" s="118"/>
      <c r="W191" s="118"/>
      <c r="X191" s="118"/>
      <c r="Y191" s="118"/>
      <c r="Z191" s="118"/>
      <c r="AA191" s="118"/>
      <c r="AB191" s="118"/>
      <c r="AC191" s="119"/>
      <c r="AD191" s="156"/>
      <c r="AE191" s="157"/>
      <c r="AF191" s="157"/>
      <c r="AG191" s="157"/>
      <c r="AH191" s="157"/>
      <c r="AI191" s="158"/>
    </row>
    <row r="192" spans="1:35" ht="15" customHeight="1" x14ac:dyDescent="0.45">
      <c r="A192" s="131" t="s">
        <v>113</v>
      </c>
      <c r="B192" s="132"/>
      <c r="C192" s="133"/>
      <c r="D192" s="116" t="s">
        <v>132</v>
      </c>
      <c r="E192" s="117"/>
      <c r="F192" s="117"/>
      <c r="G192" s="117"/>
      <c r="H192" s="117"/>
      <c r="I192" s="117"/>
      <c r="J192" s="117"/>
      <c r="K192" s="117"/>
      <c r="L192" s="117"/>
      <c r="M192" s="117"/>
      <c r="N192" s="117"/>
      <c r="O192" s="117"/>
      <c r="P192" s="117"/>
      <c r="Q192" s="117"/>
      <c r="R192" s="117"/>
      <c r="S192" s="118"/>
      <c r="T192" s="52"/>
      <c r="U192" s="52"/>
      <c r="V192" s="52"/>
      <c r="W192" s="52"/>
      <c r="X192" s="52"/>
      <c r="Y192" s="118"/>
      <c r="Z192" s="118"/>
      <c r="AA192" s="118"/>
      <c r="AB192" s="118"/>
      <c r="AC192" s="119"/>
      <c r="AD192" s="135"/>
      <c r="AE192" s="126"/>
      <c r="AF192" s="126"/>
      <c r="AG192" s="126"/>
      <c r="AH192" s="126"/>
      <c r="AI192" s="127"/>
    </row>
    <row r="193" spans="1:35" ht="15" customHeight="1" x14ac:dyDescent="0.45">
      <c r="A193" s="131" t="s">
        <v>116</v>
      </c>
      <c r="B193" s="132"/>
      <c r="C193" s="133"/>
      <c r="D193" s="116" t="s">
        <v>133</v>
      </c>
      <c r="E193" s="117"/>
      <c r="F193" s="117"/>
      <c r="G193" s="117"/>
      <c r="H193" s="117"/>
      <c r="I193" s="117"/>
      <c r="J193" s="117"/>
      <c r="K193" s="117"/>
      <c r="L193" s="117"/>
      <c r="M193" s="117"/>
      <c r="N193" s="52"/>
      <c r="O193" s="52"/>
      <c r="P193" s="52"/>
      <c r="Q193" s="52"/>
      <c r="R193" s="52"/>
      <c r="S193" s="118"/>
      <c r="T193" s="118"/>
      <c r="U193" s="118"/>
      <c r="V193" s="118"/>
      <c r="W193" s="118"/>
      <c r="X193" s="118"/>
      <c r="Y193" s="118"/>
      <c r="Z193" s="118"/>
      <c r="AA193" s="118"/>
      <c r="AB193" s="118"/>
      <c r="AC193" s="119"/>
      <c r="AD193" s="135"/>
      <c r="AE193" s="126"/>
      <c r="AF193" s="126"/>
      <c r="AG193" s="126"/>
      <c r="AH193" s="126"/>
      <c r="AI193" s="127"/>
    </row>
    <row r="194" spans="1:35" ht="15" customHeight="1" x14ac:dyDescent="0.45">
      <c r="A194" s="131" t="s">
        <v>113</v>
      </c>
      <c r="B194" s="132"/>
      <c r="C194" s="133"/>
      <c r="D194" s="116" t="s">
        <v>134</v>
      </c>
      <c r="E194" s="117"/>
      <c r="F194" s="117"/>
      <c r="G194" s="117"/>
      <c r="H194" s="117"/>
      <c r="I194" s="117"/>
      <c r="J194" s="117"/>
      <c r="K194" s="117"/>
      <c r="L194" s="117"/>
      <c r="M194" s="117"/>
      <c r="N194" s="52"/>
      <c r="O194" s="52"/>
      <c r="P194" s="52"/>
      <c r="Q194" s="52"/>
      <c r="R194" s="52"/>
      <c r="S194" s="118"/>
      <c r="T194" s="118"/>
      <c r="U194" s="118"/>
      <c r="V194" s="118"/>
      <c r="W194" s="118"/>
      <c r="X194" s="118"/>
      <c r="Y194" s="118"/>
      <c r="Z194" s="118"/>
      <c r="AA194" s="118"/>
      <c r="AB194" s="118"/>
      <c r="AC194" s="119"/>
      <c r="AD194" s="135"/>
      <c r="AE194" s="126"/>
      <c r="AF194" s="126"/>
      <c r="AG194" s="126"/>
      <c r="AH194" s="126"/>
      <c r="AI194" s="127"/>
    </row>
    <row r="195" spans="1:35" ht="15" customHeight="1" x14ac:dyDescent="0.45">
      <c r="A195" s="131" t="s">
        <v>113</v>
      </c>
      <c r="B195" s="132"/>
      <c r="C195" s="133"/>
      <c r="D195" s="116" t="s">
        <v>135</v>
      </c>
      <c r="E195" s="117"/>
      <c r="F195" s="117"/>
      <c r="G195" s="117"/>
      <c r="H195" s="117"/>
      <c r="I195" s="117"/>
      <c r="J195" s="117"/>
      <c r="K195" s="117"/>
      <c r="L195" s="117"/>
      <c r="M195" s="117"/>
      <c r="N195" s="117"/>
      <c r="O195" s="117"/>
      <c r="P195" s="117"/>
      <c r="R195" s="52"/>
      <c r="S195" s="52"/>
      <c r="T195" s="52"/>
      <c r="U195" s="52"/>
      <c r="V195" s="118"/>
      <c r="W195" s="118"/>
      <c r="X195" s="118"/>
      <c r="Y195" s="118"/>
      <c r="Z195" s="118"/>
      <c r="AA195" s="118"/>
      <c r="AB195" s="118"/>
      <c r="AC195" s="119"/>
      <c r="AD195" s="135"/>
      <c r="AE195" s="126"/>
      <c r="AF195" s="126"/>
      <c r="AG195" s="126"/>
      <c r="AH195" s="126"/>
      <c r="AI195" s="127"/>
    </row>
    <row r="196" spans="1:35" ht="15" customHeight="1" x14ac:dyDescent="0.45">
      <c r="A196" s="131" t="s">
        <v>113</v>
      </c>
      <c r="B196" s="132"/>
      <c r="C196" s="133"/>
      <c r="D196" s="116" t="s">
        <v>136</v>
      </c>
      <c r="E196" s="117"/>
      <c r="F196" s="117"/>
      <c r="G196" s="117"/>
      <c r="H196" s="117"/>
      <c r="I196" s="117"/>
      <c r="J196" s="117"/>
      <c r="K196" s="118"/>
      <c r="L196" s="117" t="s">
        <v>137</v>
      </c>
      <c r="M196" s="117"/>
      <c r="N196" s="52"/>
      <c r="O196" s="52"/>
      <c r="P196" s="52"/>
      <c r="Q196" s="52"/>
      <c r="R196" s="52"/>
      <c r="S196" s="118"/>
      <c r="T196" s="117" t="s">
        <v>138</v>
      </c>
      <c r="U196" s="117"/>
      <c r="V196" s="117"/>
      <c r="W196" s="117"/>
      <c r="X196" s="52"/>
      <c r="Y196" s="52"/>
      <c r="Z196" s="118"/>
      <c r="AA196" s="118"/>
      <c r="AB196" s="118"/>
      <c r="AC196" s="119"/>
      <c r="AD196" s="135"/>
      <c r="AE196" s="126"/>
      <c r="AF196" s="126"/>
      <c r="AG196" s="126"/>
      <c r="AH196" s="126"/>
      <c r="AI196" s="127"/>
    </row>
    <row r="197" spans="1:35" ht="15" customHeight="1" x14ac:dyDescent="0.45">
      <c r="A197" s="135"/>
      <c r="B197" s="126"/>
      <c r="C197" s="126"/>
      <c r="D197" s="126"/>
      <c r="E197" s="126"/>
      <c r="F197" s="126"/>
      <c r="G197" s="126"/>
      <c r="H197" s="126"/>
      <c r="I197" s="126"/>
      <c r="J197" s="126"/>
      <c r="K197" s="126"/>
      <c r="L197" s="126"/>
      <c r="M197" s="126"/>
      <c r="N197" s="126"/>
      <c r="O197" s="126"/>
      <c r="P197" s="126"/>
      <c r="Q197" s="126"/>
      <c r="R197" s="126"/>
      <c r="S197" s="126"/>
      <c r="T197" s="126"/>
      <c r="U197" s="126"/>
      <c r="V197" s="126"/>
      <c r="W197" s="126"/>
      <c r="X197" s="126"/>
      <c r="Y197" s="126"/>
      <c r="Z197" s="126"/>
      <c r="AA197" s="126"/>
      <c r="AB197" s="126"/>
      <c r="AC197" s="126"/>
      <c r="AD197" s="126"/>
      <c r="AE197" s="126"/>
      <c r="AF197" s="126"/>
      <c r="AG197" s="126"/>
      <c r="AH197" s="126"/>
      <c r="AI197" s="127"/>
    </row>
    <row r="198" spans="1:35" ht="15" customHeight="1" x14ac:dyDescent="0.45">
      <c r="A198" s="159" t="s">
        <v>139</v>
      </c>
      <c r="B198" s="160"/>
      <c r="C198" s="161"/>
      <c r="D198" s="116" t="s">
        <v>140</v>
      </c>
      <c r="E198" s="117"/>
      <c r="F198" s="117"/>
      <c r="G198" s="117"/>
      <c r="H198" s="117"/>
      <c r="I198" s="117"/>
      <c r="J198" s="52"/>
      <c r="K198" s="52"/>
      <c r="L198" s="52"/>
      <c r="M198" s="52"/>
      <c r="N198" s="52"/>
      <c r="O198" s="52"/>
      <c r="P198" s="52"/>
      <c r="Q198" s="52"/>
      <c r="R198" s="52"/>
      <c r="S198" s="52"/>
      <c r="T198" s="52"/>
      <c r="U198" s="52"/>
      <c r="V198" s="52"/>
      <c r="W198" s="6" t="s">
        <v>141</v>
      </c>
      <c r="AA198" s="162" t="str">
        <f>IF(ISBLANK(General_Info_Road_Classification),"No Value",IF(LEFT(General_Info_Road_Classification,1)="R","Rural",IF(LEFT(General_Info_Road_Classification,1)="U","Urban","")))</f>
        <v>No Value</v>
      </c>
      <c r="AB198" s="162"/>
      <c r="AC198" s="163"/>
      <c r="AD198" s="143"/>
      <c r="AE198" s="103"/>
      <c r="AF198" s="103"/>
      <c r="AG198" s="103"/>
      <c r="AH198" s="103"/>
      <c r="AI198" s="104"/>
    </row>
    <row r="199" spans="1:35" ht="15" customHeight="1" x14ac:dyDescent="0.45">
      <c r="A199" s="164" t="s">
        <v>139</v>
      </c>
      <c r="B199" s="165"/>
      <c r="C199" s="166"/>
      <c r="D199" s="86" t="s">
        <v>142</v>
      </c>
      <c r="E199" s="87"/>
      <c r="F199" s="87"/>
      <c r="G199" s="87"/>
      <c r="H199" s="87"/>
      <c r="I199" s="87"/>
      <c r="J199" s="87"/>
      <c r="K199" s="87"/>
      <c r="L199" s="87"/>
      <c r="M199" s="87"/>
      <c r="N199" s="87"/>
      <c r="O199" s="87"/>
      <c r="P199" s="18"/>
      <c r="Q199" s="18"/>
      <c r="R199" s="18"/>
      <c r="S199" s="18"/>
      <c r="T199" s="18"/>
      <c r="U199" s="18"/>
      <c r="V199" s="18"/>
      <c r="W199" s="18"/>
      <c r="X199" s="18"/>
      <c r="Y199" s="18"/>
      <c r="Z199" s="18"/>
      <c r="AA199" s="18"/>
      <c r="AB199" s="18"/>
      <c r="AC199" s="19"/>
      <c r="AD199" s="92"/>
      <c r="AE199" s="92"/>
      <c r="AF199" s="92"/>
      <c r="AG199" s="92"/>
      <c r="AH199" s="92"/>
      <c r="AI199" s="93"/>
    </row>
    <row r="200" spans="1:35" ht="15" customHeight="1" x14ac:dyDescent="0.45">
      <c r="A200" s="159"/>
      <c r="B200" s="160"/>
      <c r="C200" s="161"/>
      <c r="D200" s="167"/>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9"/>
      <c r="AD200" s="103"/>
      <c r="AE200" s="103"/>
      <c r="AF200" s="103"/>
      <c r="AG200" s="103"/>
      <c r="AH200" s="103"/>
      <c r="AI200" s="104"/>
    </row>
    <row r="201" spans="1:35" ht="15" customHeight="1" x14ac:dyDescent="0.45">
      <c r="A201" s="168" t="s">
        <v>139</v>
      </c>
      <c r="B201" s="169"/>
      <c r="C201" s="170"/>
      <c r="D201" s="116" t="s">
        <v>143</v>
      </c>
      <c r="E201" s="117"/>
      <c r="F201" s="117"/>
      <c r="G201" s="117"/>
      <c r="H201" s="117"/>
      <c r="I201" s="117"/>
      <c r="J201" s="117"/>
      <c r="K201" s="117"/>
      <c r="L201" s="117"/>
      <c r="M201" s="110"/>
      <c r="N201" s="52"/>
      <c r="O201" s="52"/>
      <c r="P201" s="52"/>
      <c r="Q201" s="52"/>
      <c r="R201" s="52"/>
      <c r="S201" s="110"/>
      <c r="T201" s="110"/>
      <c r="U201" s="110"/>
      <c r="V201" s="110"/>
      <c r="W201" s="110"/>
      <c r="X201" s="110"/>
      <c r="Y201" s="110"/>
      <c r="Z201" s="110"/>
      <c r="AA201" s="110"/>
      <c r="AB201" s="110"/>
      <c r="AC201" s="113"/>
      <c r="AD201" s="171"/>
      <c r="AE201" s="142"/>
      <c r="AF201" s="142"/>
      <c r="AG201" s="142"/>
      <c r="AH201" s="142"/>
      <c r="AI201" s="172"/>
    </row>
    <row r="202" spans="1:35" ht="15" customHeight="1" x14ac:dyDescent="0.45">
      <c r="A202" s="6" t="s">
        <v>144</v>
      </c>
      <c r="B202" s="173"/>
      <c r="C202" s="173"/>
    </row>
    <row r="203" spans="1:35" ht="15" customHeight="1" x14ac:dyDescent="0.45">
      <c r="A203" s="68" t="s">
        <v>145</v>
      </c>
      <c r="B203" s="173"/>
      <c r="C203" s="173"/>
    </row>
    <row r="204" spans="1:35" ht="15" customHeight="1" x14ac:dyDescent="0.45">
      <c r="A204" s="174" t="s">
        <v>146</v>
      </c>
      <c r="B204" s="173"/>
      <c r="C204" s="173"/>
    </row>
    <row r="205" spans="1:35" ht="15" customHeight="1" x14ac:dyDescent="0.45">
      <c r="A205" s="174" t="s">
        <v>147</v>
      </c>
      <c r="B205" s="173"/>
      <c r="C205" s="173"/>
    </row>
    <row r="206" spans="1:35" ht="15" customHeight="1" x14ac:dyDescent="0.45">
      <c r="A206" s="175" t="s">
        <v>148</v>
      </c>
      <c r="B206" s="175"/>
      <c r="C206" s="175"/>
      <c r="D206" s="175"/>
      <c r="E206" s="175"/>
      <c r="F206" s="175"/>
      <c r="G206" s="175"/>
      <c r="H206" s="175"/>
      <c r="I206" s="17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row>
    <row r="207" spans="1:35" ht="15" customHeight="1" x14ac:dyDescent="0.45">
      <c r="A207" s="175"/>
      <c r="B207" s="175"/>
      <c r="C207" s="175"/>
      <c r="D207" s="175"/>
      <c r="E207" s="175"/>
      <c r="F207" s="175"/>
      <c r="G207" s="175"/>
      <c r="H207" s="175"/>
      <c r="I207" s="17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row>
    <row r="208" spans="1:35" ht="15" customHeight="1" x14ac:dyDescent="0.45"/>
    <row r="209" spans="1:37" ht="15" customHeight="1" x14ac:dyDescent="0.45">
      <c r="A209" s="176" t="s">
        <v>149</v>
      </c>
      <c r="B209" s="177"/>
      <c r="C209" s="177"/>
      <c r="D209" s="177"/>
      <c r="E209" s="177"/>
      <c r="F209" s="177"/>
      <c r="G209" s="177"/>
      <c r="H209" s="177"/>
      <c r="I209" s="177"/>
      <c r="J209" s="177"/>
      <c r="K209" s="177"/>
      <c r="L209" s="177"/>
      <c r="M209" s="177"/>
      <c r="N209" s="177"/>
      <c r="O209" s="177"/>
      <c r="P209" s="177"/>
      <c r="Q209" s="177"/>
      <c r="R209" s="177"/>
      <c r="S209" s="177"/>
      <c r="T209" s="177"/>
      <c r="U209" s="177"/>
      <c r="V209" s="177"/>
      <c r="W209" s="177"/>
      <c r="X209" s="177"/>
      <c r="Y209" s="177"/>
      <c r="Z209" s="177"/>
      <c r="AA209" s="177"/>
      <c r="AB209" s="177"/>
      <c r="AC209" s="177"/>
      <c r="AD209" s="177"/>
      <c r="AE209" s="177"/>
      <c r="AF209" s="177"/>
      <c r="AG209" s="177"/>
      <c r="AH209" s="177"/>
      <c r="AI209" s="178"/>
    </row>
    <row r="210" spans="1:37" ht="15" customHeight="1" x14ac:dyDescent="0.45">
      <c r="A210" s="179"/>
      <c r="B210" s="180"/>
      <c r="C210" s="180"/>
      <c r="D210" s="180"/>
      <c r="E210" s="180"/>
      <c r="F210" s="180"/>
      <c r="G210" s="180"/>
      <c r="H210" s="180"/>
      <c r="I210" s="180"/>
      <c r="J210" s="180"/>
      <c r="K210" s="180"/>
      <c r="L210" s="180"/>
      <c r="M210" s="180"/>
      <c r="N210" s="180"/>
      <c r="O210" s="180"/>
      <c r="P210" s="180"/>
      <c r="Q210" s="180"/>
      <c r="R210" s="180"/>
      <c r="S210" s="180"/>
      <c r="T210" s="180"/>
      <c r="U210" s="180"/>
      <c r="V210" s="180"/>
      <c r="W210" s="180"/>
      <c r="X210" s="180"/>
      <c r="Y210" s="180"/>
      <c r="Z210" s="180"/>
      <c r="AA210" s="180"/>
      <c r="AB210" s="180"/>
      <c r="AC210" s="180"/>
      <c r="AD210" s="180"/>
      <c r="AE210" s="180"/>
      <c r="AF210" s="180"/>
      <c r="AG210" s="180"/>
      <c r="AH210" s="180"/>
      <c r="AI210" s="181"/>
    </row>
    <row r="211" spans="1:37" ht="15" customHeight="1" x14ac:dyDescent="0.45">
      <c r="A211" s="182"/>
      <c r="B211" s="183"/>
      <c r="C211" s="183"/>
      <c r="D211" s="183"/>
      <c r="E211" s="183"/>
      <c r="F211" s="183"/>
      <c r="G211" s="183"/>
      <c r="H211" s="183"/>
      <c r="I211" s="183"/>
      <c r="J211" s="183"/>
      <c r="K211" s="183"/>
      <c r="L211" s="183"/>
      <c r="M211" s="183"/>
      <c r="N211" s="183"/>
      <c r="O211" s="183"/>
      <c r="P211" s="183"/>
      <c r="Q211" s="183"/>
      <c r="R211" s="183"/>
      <c r="S211" s="183"/>
      <c r="T211" s="183"/>
      <c r="U211" s="183"/>
      <c r="V211" s="183"/>
      <c r="W211" s="183"/>
      <c r="X211" s="183"/>
      <c r="Y211" s="183"/>
      <c r="Z211" s="183"/>
      <c r="AA211" s="183"/>
      <c r="AB211" s="183"/>
      <c r="AC211" s="183"/>
      <c r="AD211" s="183"/>
      <c r="AE211" s="183"/>
      <c r="AF211" s="183"/>
      <c r="AG211" s="183"/>
      <c r="AH211" s="183"/>
      <c r="AI211" s="184"/>
    </row>
    <row r="212" spans="1:37" ht="15" customHeight="1" x14ac:dyDescent="0.45">
      <c r="A212" s="182"/>
      <c r="B212" s="183"/>
      <c r="C212" s="183"/>
      <c r="D212" s="183"/>
      <c r="E212" s="183"/>
      <c r="F212" s="183"/>
      <c r="G212" s="183"/>
      <c r="H212" s="183"/>
      <c r="I212" s="183"/>
      <c r="J212" s="183"/>
      <c r="K212" s="183"/>
      <c r="L212" s="183"/>
      <c r="M212" s="183"/>
      <c r="N212" s="183"/>
      <c r="O212" s="183"/>
      <c r="P212" s="183"/>
      <c r="Q212" s="183"/>
      <c r="R212" s="183"/>
      <c r="S212" s="183"/>
      <c r="T212" s="183"/>
      <c r="U212" s="183"/>
      <c r="V212" s="183"/>
      <c r="W212" s="183"/>
      <c r="X212" s="183"/>
      <c r="Y212" s="183"/>
      <c r="Z212" s="183"/>
      <c r="AA212" s="183"/>
      <c r="AB212" s="183"/>
      <c r="AC212" s="183"/>
      <c r="AD212" s="183"/>
      <c r="AE212" s="183"/>
      <c r="AF212" s="183"/>
      <c r="AG212" s="183"/>
      <c r="AH212" s="183"/>
      <c r="AI212" s="184"/>
    </row>
    <row r="213" spans="1:37" ht="15" customHeight="1" x14ac:dyDescent="0.45">
      <c r="A213" s="182"/>
      <c r="B213" s="183"/>
      <c r="C213" s="183"/>
      <c r="D213" s="183"/>
      <c r="E213" s="183"/>
      <c r="F213" s="183"/>
      <c r="G213" s="183"/>
      <c r="H213" s="183"/>
      <c r="I213" s="183"/>
      <c r="J213" s="183"/>
      <c r="K213" s="183"/>
      <c r="L213" s="183"/>
      <c r="M213" s="183"/>
      <c r="N213" s="183"/>
      <c r="O213" s="183"/>
      <c r="P213" s="183"/>
      <c r="Q213" s="183"/>
      <c r="R213" s="183"/>
      <c r="S213" s="183"/>
      <c r="T213" s="183"/>
      <c r="U213" s="183"/>
      <c r="V213" s="183"/>
      <c r="W213" s="183"/>
      <c r="X213" s="183"/>
      <c r="Y213" s="183"/>
      <c r="Z213" s="183"/>
      <c r="AA213" s="183"/>
      <c r="AB213" s="183"/>
      <c r="AC213" s="183"/>
      <c r="AD213" s="183"/>
      <c r="AE213" s="183"/>
      <c r="AF213" s="183"/>
      <c r="AG213" s="183"/>
      <c r="AH213" s="183"/>
      <c r="AI213" s="184"/>
    </row>
    <row r="214" spans="1:37" ht="15" customHeight="1" x14ac:dyDescent="0.45">
      <c r="A214" s="182"/>
      <c r="B214" s="183"/>
      <c r="C214" s="183"/>
      <c r="D214" s="183"/>
      <c r="E214" s="183"/>
      <c r="F214" s="183"/>
      <c r="G214" s="183"/>
      <c r="H214" s="183"/>
      <c r="I214" s="183"/>
      <c r="J214" s="183"/>
      <c r="K214" s="183"/>
      <c r="L214" s="183"/>
      <c r="M214" s="183"/>
      <c r="N214" s="183"/>
      <c r="O214" s="183"/>
      <c r="P214" s="183"/>
      <c r="Q214" s="183"/>
      <c r="R214" s="183"/>
      <c r="S214" s="183"/>
      <c r="T214" s="183"/>
      <c r="U214" s="183"/>
      <c r="V214" s="183"/>
      <c r="W214" s="183"/>
      <c r="X214" s="183"/>
      <c r="Y214" s="183"/>
      <c r="Z214" s="183"/>
      <c r="AA214" s="183"/>
      <c r="AB214" s="183"/>
      <c r="AC214" s="183"/>
      <c r="AD214" s="183"/>
      <c r="AE214" s="183"/>
      <c r="AF214" s="183"/>
      <c r="AG214" s="183"/>
      <c r="AH214" s="183"/>
      <c r="AI214" s="184"/>
    </row>
    <row r="215" spans="1:37" ht="15" customHeight="1" x14ac:dyDescent="0.45">
      <c r="A215" s="182"/>
      <c r="B215" s="183"/>
      <c r="C215" s="183"/>
      <c r="D215" s="183"/>
      <c r="E215" s="183"/>
      <c r="F215" s="183"/>
      <c r="G215" s="183"/>
      <c r="H215" s="183"/>
      <c r="I215" s="183"/>
      <c r="J215" s="183"/>
      <c r="K215" s="183"/>
      <c r="L215" s="183"/>
      <c r="M215" s="183"/>
      <c r="N215" s="183"/>
      <c r="O215" s="183"/>
      <c r="P215" s="183"/>
      <c r="Q215" s="183"/>
      <c r="R215" s="183"/>
      <c r="S215" s="183"/>
      <c r="T215" s="183"/>
      <c r="U215" s="183"/>
      <c r="V215" s="183"/>
      <c r="W215" s="183"/>
      <c r="X215" s="183"/>
      <c r="Y215" s="183"/>
      <c r="Z215" s="183"/>
      <c r="AA215" s="183"/>
      <c r="AB215" s="183"/>
      <c r="AC215" s="183"/>
      <c r="AD215" s="183"/>
      <c r="AE215" s="183"/>
      <c r="AF215" s="183"/>
      <c r="AG215" s="183"/>
      <c r="AH215" s="183"/>
      <c r="AI215" s="184"/>
    </row>
    <row r="216" spans="1:37" ht="15" customHeight="1" x14ac:dyDescent="0.45">
      <c r="A216" s="182"/>
      <c r="B216" s="183"/>
      <c r="C216" s="183"/>
      <c r="D216" s="183"/>
      <c r="E216" s="183"/>
      <c r="F216" s="183"/>
      <c r="G216" s="183"/>
      <c r="H216" s="183"/>
      <c r="I216" s="183"/>
      <c r="J216" s="183"/>
      <c r="K216" s="183"/>
      <c r="L216" s="183"/>
      <c r="M216" s="183"/>
      <c r="N216" s="183"/>
      <c r="O216" s="183"/>
      <c r="P216" s="183"/>
      <c r="Q216" s="183"/>
      <c r="R216" s="183"/>
      <c r="S216" s="183"/>
      <c r="T216" s="183"/>
      <c r="U216" s="183"/>
      <c r="V216" s="183"/>
      <c r="W216" s="183"/>
      <c r="X216" s="183"/>
      <c r="Y216" s="183"/>
      <c r="Z216" s="183"/>
      <c r="AA216" s="183"/>
      <c r="AB216" s="183"/>
      <c r="AC216" s="183"/>
      <c r="AD216" s="183"/>
      <c r="AE216" s="183"/>
      <c r="AF216" s="183"/>
      <c r="AG216" s="183"/>
      <c r="AH216" s="183"/>
      <c r="AI216" s="184"/>
    </row>
    <row r="217" spans="1:37" ht="15" customHeight="1" x14ac:dyDescent="0.45">
      <c r="A217" s="182"/>
      <c r="B217" s="183"/>
      <c r="C217" s="183"/>
      <c r="D217" s="183"/>
      <c r="E217" s="183"/>
      <c r="F217" s="183"/>
      <c r="G217" s="183"/>
      <c r="H217" s="183"/>
      <c r="I217" s="183"/>
      <c r="J217" s="183"/>
      <c r="K217" s="183"/>
      <c r="L217" s="183"/>
      <c r="M217" s="183"/>
      <c r="N217" s="183"/>
      <c r="O217" s="183"/>
      <c r="P217" s="183"/>
      <c r="Q217" s="183"/>
      <c r="R217" s="183"/>
      <c r="S217" s="183"/>
      <c r="T217" s="183"/>
      <c r="U217" s="183"/>
      <c r="V217" s="183"/>
      <c r="W217" s="183"/>
      <c r="X217" s="183"/>
      <c r="Y217" s="183"/>
      <c r="Z217" s="183"/>
      <c r="AA217" s="183"/>
      <c r="AB217" s="183"/>
      <c r="AC217" s="183"/>
      <c r="AD217" s="183"/>
      <c r="AE217" s="183"/>
      <c r="AF217" s="183"/>
      <c r="AG217" s="183"/>
      <c r="AH217" s="183"/>
      <c r="AI217" s="184"/>
    </row>
    <row r="218" spans="1:37" ht="15" customHeight="1" x14ac:dyDescent="0.45">
      <c r="A218" s="182"/>
      <c r="B218" s="183"/>
      <c r="C218" s="183"/>
      <c r="D218" s="183"/>
      <c r="E218" s="183"/>
      <c r="F218" s="183"/>
      <c r="G218" s="183"/>
      <c r="H218" s="183"/>
      <c r="I218" s="183"/>
      <c r="J218" s="183"/>
      <c r="K218" s="183"/>
      <c r="L218" s="183"/>
      <c r="M218" s="183"/>
      <c r="N218" s="183"/>
      <c r="O218" s="183"/>
      <c r="P218" s="183"/>
      <c r="Q218" s="183"/>
      <c r="R218" s="183"/>
      <c r="S218" s="183"/>
      <c r="T218" s="183"/>
      <c r="U218" s="183"/>
      <c r="V218" s="183"/>
      <c r="W218" s="183"/>
      <c r="X218" s="183"/>
      <c r="Y218" s="183"/>
      <c r="Z218" s="183"/>
      <c r="AA218" s="183"/>
      <c r="AB218" s="183"/>
      <c r="AC218" s="183"/>
      <c r="AD218" s="183"/>
      <c r="AE218" s="183"/>
      <c r="AF218" s="183"/>
      <c r="AG218" s="183"/>
      <c r="AH218" s="183"/>
      <c r="AI218" s="184"/>
    </row>
    <row r="219" spans="1:37" ht="15" customHeight="1" x14ac:dyDescent="0.45">
      <c r="A219" s="182"/>
      <c r="B219" s="183"/>
      <c r="C219" s="183"/>
      <c r="D219" s="183"/>
      <c r="E219" s="183"/>
      <c r="F219" s="183"/>
      <c r="G219" s="183"/>
      <c r="H219" s="183"/>
      <c r="I219" s="183"/>
      <c r="J219" s="183"/>
      <c r="K219" s="183"/>
      <c r="L219" s="183"/>
      <c r="M219" s="183"/>
      <c r="N219" s="183"/>
      <c r="O219" s="183"/>
      <c r="P219" s="183"/>
      <c r="Q219" s="183"/>
      <c r="R219" s="183"/>
      <c r="S219" s="183"/>
      <c r="T219" s="183"/>
      <c r="U219" s="183"/>
      <c r="V219" s="183"/>
      <c r="W219" s="183"/>
      <c r="X219" s="183"/>
      <c r="Y219" s="183"/>
      <c r="Z219" s="183"/>
      <c r="AA219" s="183"/>
      <c r="AB219" s="183"/>
      <c r="AC219" s="183"/>
      <c r="AD219" s="183"/>
      <c r="AE219" s="183"/>
      <c r="AF219" s="183"/>
      <c r="AG219" s="183"/>
      <c r="AH219" s="183"/>
      <c r="AI219" s="184"/>
    </row>
    <row r="220" spans="1:37" ht="15" customHeight="1" x14ac:dyDescent="0.45">
      <c r="A220" s="182"/>
      <c r="B220" s="183"/>
      <c r="C220" s="183"/>
      <c r="D220" s="183"/>
      <c r="E220" s="183"/>
      <c r="F220" s="183"/>
      <c r="G220" s="183"/>
      <c r="H220" s="183"/>
      <c r="I220" s="183"/>
      <c r="J220" s="183"/>
      <c r="K220" s="183"/>
      <c r="L220" s="183"/>
      <c r="M220" s="183"/>
      <c r="N220" s="183"/>
      <c r="O220" s="183"/>
      <c r="P220" s="183"/>
      <c r="Q220" s="183"/>
      <c r="R220" s="183"/>
      <c r="S220" s="183"/>
      <c r="T220" s="183"/>
      <c r="U220" s="183"/>
      <c r="V220" s="183"/>
      <c r="W220" s="183"/>
      <c r="X220" s="183"/>
      <c r="Y220" s="183"/>
      <c r="Z220" s="183"/>
      <c r="AA220" s="183"/>
      <c r="AB220" s="183"/>
      <c r="AC220" s="183"/>
      <c r="AD220" s="183"/>
      <c r="AE220" s="183"/>
      <c r="AF220" s="183"/>
      <c r="AG220" s="183"/>
      <c r="AH220" s="183"/>
      <c r="AI220" s="184"/>
    </row>
    <row r="221" spans="1:37" ht="15" customHeight="1" x14ac:dyDescent="0.45">
      <c r="A221" s="182"/>
      <c r="B221" s="183"/>
      <c r="C221" s="183"/>
      <c r="D221" s="183"/>
      <c r="E221" s="183"/>
      <c r="F221" s="183"/>
      <c r="G221" s="183"/>
      <c r="H221" s="183"/>
      <c r="I221" s="183"/>
      <c r="J221" s="183"/>
      <c r="K221" s="183"/>
      <c r="L221" s="183"/>
      <c r="M221" s="183"/>
      <c r="N221" s="183"/>
      <c r="O221" s="183"/>
      <c r="P221" s="183"/>
      <c r="Q221" s="183"/>
      <c r="R221" s="183"/>
      <c r="S221" s="183"/>
      <c r="T221" s="183"/>
      <c r="U221" s="183"/>
      <c r="V221" s="183"/>
      <c r="W221" s="183"/>
      <c r="X221" s="183"/>
      <c r="Y221" s="183"/>
      <c r="Z221" s="183"/>
      <c r="AA221" s="183"/>
      <c r="AB221" s="183"/>
      <c r="AC221" s="183"/>
      <c r="AD221" s="183"/>
      <c r="AE221" s="183"/>
      <c r="AF221" s="183"/>
      <c r="AG221" s="183"/>
      <c r="AH221" s="183"/>
      <c r="AI221" s="184"/>
    </row>
    <row r="222" spans="1:37" ht="15" customHeight="1" x14ac:dyDescent="0.45">
      <c r="A222" s="182"/>
      <c r="B222" s="183"/>
      <c r="C222" s="183"/>
      <c r="D222" s="183"/>
      <c r="E222" s="183"/>
      <c r="F222" s="183"/>
      <c r="G222" s="183"/>
      <c r="H222" s="183"/>
      <c r="I222" s="183"/>
      <c r="J222" s="183"/>
      <c r="K222" s="183"/>
      <c r="L222" s="183"/>
      <c r="M222" s="183"/>
      <c r="N222" s="183"/>
      <c r="O222" s="183"/>
      <c r="P222" s="183"/>
      <c r="Q222" s="183"/>
      <c r="R222" s="183"/>
      <c r="S222" s="183"/>
      <c r="T222" s="183"/>
      <c r="U222" s="183"/>
      <c r="V222" s="183"/>
      <c r="W222" s="183"/>
      <c r="X222" s="183"/>
      <c r="Y222" s="183"/>
      <c r="Z222" s="183"/>
      <c r="AA222" s="183"/>
      <c r="AB222" s="183"/>
      <c r="AC222" s="183"/>
      <c r="AD222" s="183"/>
      <c r="AE222" s="183"/>
      <c r="AF222" s="183"/>
      <c r="AG222" s="183"/>
      <c r="AH222" s="183"/>
      <c r="AI222" s="184"/>
    </row>
    <row r="223" spans="1:37" ht="15" customHeight="1" x14ac:dyDescent="0.45">
      <c r="A223" s="182"/>
      <c r="B223" s="183"/>
      <c r="C223" s="183"/>
      <c r="D223" s="183"/>
      <c r="E223" s="183"/>
      <c r="F223" s="183"/>
      <c r="G223" s="183"/>
      <c r="H223" s="183"/>
      <c r="I223" s="183"/>
      <c r="J223" s="183"/>
      <c r="K223" s="183"/>
      <c r="L223" s="183"/>
      <c r="M223" s="183"/>
      <c r="N223" s="183"/>
      <c r="O223" s="183"/>
      <c r="P223" s="183"/>
      <c r="Q223" s="183"/>
      <c r="R223" s="183"/>
      <c r="S223" s="183"/>
      <c r="T223" s="183"/>
      <c r="U223" s="183"/>
      <c r="V223" s="183"/>
      <c r="W223" s="183"/>
      <c r="X223" s="183"/>
      <c r="Y223" s="183"/>
      <c r="Z223" s="183"/>
      <c r="AA223" s="183"/>
      <c r="AB223" s="183"/>
      <c r="AC223" s="183"/>
      <c r="AD223" s="183"/>
      <c r="AE223" s="183"/>
      <c r="AF223" s="183"/>
      <c r="AG223" s="183"/>
      <c r="AH223" s="183"/>
      <c r="AI223" s="184"/>
    </row>
    <row r="224" spans="1:37" ht="15" customHeight="1" x14ac:dyDescent="0.45">
      <c r="A224" s="182"/>
      <c r="B224" s="183"/>
      <c r="C224" s="183"/>
      <c r="D224" s="183"/>
      <c r="E224" s="183"/>
      <c r="F224" s="183"/>
      <c r="G224" s="183"/>
      <c r="H224" s="183"/>
      <c r="I224" s="183"/>
      <c r="J224" s="183"/>
      <c r="K224" s="183"/>
      <c r="L224" s="183"/>
      <c r="M224" s="183"/>
      <c r="N224" s="183"/>
      <c r="O224" s="183"/>
      <c r="P224" s="183"/>
      <c r="Q224" s="183"/>
      <c r="R224" s="183"/>
      <c r="S224" s="183"/>
      <c r="T224" s="183"/>
      <c r="U224" s="183"/>
      <c r="V224" s="183"/>
      <c r="W224" s="183"/>
      <c r="X224" s="183"/>
      <c r="Y224" s="183"/>
      <c r="Z224" s="183"/>
      <c r="AA224" s="183"/>
      <c r="AB224" s="183"/>
      <c r="AC224" s="183"/>
      <c r="AD224" s="183"/>
      <c r="AE224" s="183"/>
      <c r="AF224" s="183"/>
      <c r="AG224" s="183"/>
      <c r="AH224" s="183"/>
      <c r="AI224" s="184"/>
      <c r="AK224" s="6" t="s">
        <v>150</v>
      </c>
    </row>
    <row r="225" spans="1:35" ht="15" customHeight="1" x14ac:dyDescent="0.45">
      <c r="A225" s="182"/>
      <c r="B225" s="183"/>
      <c r="C225" s="183"/>
      <c r="D225" s="183"/>
      <c r="E225" s="183"/>
      <c r="F225" s="183"/>
      <c r="G225" s="183"/>
      <c r="H225" s="183"/>
      <c r="I225" s="183"/>
      <c r="J225" s="183"/>
      <c r="K225" s="183"/>
      <c r="L225" s="183"/>
      <c r="M225" s="183"/>
      <c r="N225" s="183"/>
      <c r="O225" s="183"/>
      <c r="P225" s="183"/>
      <c r="Q225" s="183"/>
      <c r="R225" s="183"/>
      <c r="S225" s="183"/>
      <c r="T225" s="183"/>
      <c r="U225" s="183"/>
      <c r="V225" s="183"/>
      <c r="W225" s="183"/>
      <c r="X225" s="183"/>
      <c r="Y225" s="183"/>
      <c r="Z225" s="183"/>
      <c r="AA225" s="183"/>
      <c r="AB225" s="183"/>
      <c r="AC225" s="183"/>
      <c r="AD225" s="183"/>
      <c r="AE225" s="183"/>
      <c r="AF225" s="183"/>
      <c r="AG225" s="183"/>
      <c r="AH225" s="183"/>
      <c r="AI225" s="184"/>
    </row>
    <row r="226" spans="1:35" ht="15" customHeight="1" x14ac:dyDescent="0.45">
      <c r="A226" s="185"/>
      <c r="B226" s="186"/>
      <c r="C226" s="186"/>
      <c r="D226" s="186"/>
      <c r="E226" s="186"/>
      <c r="F226" s="186"/>
      <c r="G226" s="186"/>
      <c r="H226" s="186"/>
      <c r="I226" s="186"/>
      <c r="J226" s="186"/>
      <c r="K226" s="186"/>
      <c r="L226" s="186"/>
      <c r="M226" s="186"/>
      <c r="N226" s="186"/>
      <c r="O226" s="186"/>
      <c r="P226" s="186"/>
      <c r="Q226" s="186"/>
      <c r="R226" s="186"/>
      <c r="S226" s="186"/>
      <c r="T226" s="186"/>
      <c r="U226" s="186"/>
      <c r="V226" s="186"/>
      <c r="W226" s="186"/>
      <c r="X226" s="186"/>
      <c r="Y226" s="186"/>
      <c r="Z226" s="186"/>
      <c r="AA226" s="186"/>
      <c r="AB226" s="186"/>
      <c r="AC226" s="186"/>
      <c r="AD226" s="186"/>
      <c r="AE226" s="186"/>
      <c r="AF226" s="186"/>
      <c r="AG226" s="186"/>
      <c r="AH226" s="186"/>
      <c r="AI226" s="187"/>
    </row>
    <row r="227" spans="1:35" ht="15" customHeight="1" x14ac:dyDescent="0.45"/>
    <row r="228" spans="1:35" ht="15" customHeight="1" x14ac:dyDescent="0.45">
      <c r="A228" s="14" t="s">
        <v>151</v>
      </c>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66"/>
      <c r="AD228" s="66"/>
      <c r="AE228" s="66"/>
      <c r="AF228" s="66"/>
      <c r="AG228" s="66"/>
      <c r="AH228" s="66"/>
      <c r="AI228" s="66"/>
    </row>
    <row r="229" spans="1:35" ht="15" customHeight="1" x14ac:dyDescent="0.45"/>
    <row r="230" spans="1:35" ht="15" customHeight="1" x14ac:dyDescent="0.45"/>
    <row r="231" spans="1:35" ht="15" customHeight="1" x14ac:dyDescent="0.45"/>
    <row r="232" spans="1:35" ht="15" customHeight="1" x14ac:dyDescent="0.45"/>
    <row r="233" spans="1:35" ht="15" customHeight="1" x14ac:dyDescent="0.45"/>
    <row r="234" spans="1:35" ht="15" customHeight="1" x14ac:dyDescent="0.45"/>
    <row r="235" spans="1:35" ht="15" customHeight="1" x14ac:dyDescent="0.45"/>
    <row r="236" spans="1:35" ht="15" customHeight="1" x14ac:dyDescent="0.45"/>
    <row r="237" spans="1:35" ht="15" customHeight="1" x14ac:dyDescent="0.45"/>
    <row r="238" spans="1:35" ht="15" customHeight="1" x14ac:dyDescent="0.45"/>
    <row r="240" spans="1:35" ht="15" customHeight="1" x14ac:dyDescent="0.45"/>
    <row r="241" ht="15" customHeight="1" x14ac:dyDescent="0.45"/>
    <row r="242" ht="15" customHeight="1" x14ac:dyDescent="0.45"/>
    <row r="243" ht="15" customHeight="1" x14ac:dyDescent="0.45"/>
    <row r="244" ht="15" customHeight="1" x14ac:dyDescent="0.45"/>
    <row r="245" ht="15" customHeight="1" x14ac:dyDescent="0.45"/>
    <row r="246" ht="15" customHeight="1" x14ac:dyDescent="0.45"/>
    <row r="247" ht="15" customHeight="1" x14ac:dyDescent="0.45"/>
    <row r="248" ht="15" customHeight="1" x14ac:dyDescent="0.45"/>
    <row r="249" ht="15" customHeight="1" x14ac:dyDescent="0.45"/>
    <row r="250" ht="15" customHeight="1" x14ac:dyDescent="0.45"/>
    <row r="251" ht="15" customHeight="1" x14ac:dyDescent="0.45"/>
    <row r="252" ht="15" customHeight="1" x14ac:dyDescent="0.45"/>
    <row r="253" ht="15" customHeight="1" x14ac:dyDescent="0.45"/>
    <row r="254" ht="15" customHeight="1" x14ac:dyDescent="0.45"/>
    <row r="255" ht="15" customHeight="1" x14ac:dyDescent="0.45"/>
    <row r="256" ht="15" customHeight="1" x14ac:dyDescent="0.45"/>
    <row r="257" ht="15" customHeight="1" x14ac:dyDescent="0.45"/>
    <row r="258" ht="15" customHeight="1" x14ac:dyDescent="0.45"/>
    <row r="259" ht="15" customHeight="1" x14ac:dyDescent="0.45"/>
    <row r="260" ht="15" customHeight="1" x14ac:dyDescent="0.45"/>
    <row r="261" ht="15" customHeight="1" x14ac:dyDescent="0.45"/>
    <row r="262" ht="15" customHeight="1" x14ac:dyDescent="0.45"/>
    <row r="263" ht="15" customHeight="1" x14ac:dyDescent="0.45"/>
    <row r="264" ht="15" customHeight="1" x14ac:dyDescent="0.45"/>
    <row r="265" ht="15" customHeight="1" x14ac:dyDescent="0.45"/>
    <row r="266" ht="15" customHeight="1" x14ac:dyDescent="0.45"/>
    <row r="267" ht="15" customHeight="1" x14ac:dyDescent="0.45"/>
    <row r="268" ht="15" customHeight="1" x14ac:dyDescent="0.45"/>
    <row r="269" ht="15" customHeight="1" x14ac:dyDescent="0.45"/>
    <row r="270" ht="15" customHeight="1" x14ac:dyDescent="0.45"/>
    <row r="271" ht="15" customHeight="1" x14ac:dyDescent="0.45"/>
    <row r="272" ht="15" customHeight="1" x14ac:dyDescent="0.45"/>
    <row r="273" spans="1:35" ht="15" customHeight="1" x14ac:dyDescent="0.45"/>
    <row r="274" spans="1:35" ht="15" customHeight="1" x14ac:dyDescent="0.45"/>
    <row r="275" spans="1:35" ht="15" customHeight="1" x14ac:dyDescent="0.45"/>
    <row r="276" spans="1:35" ht="15" customHeight="1" x14ac:dyDescent="0.45"/>
    <row r="277" spans="1:35" ht="15" customHeight="1" x14ac:dyDescent="0.45"/>
    <row r="278" spans="1:35" ht="15" customHeight="1" x14ac:dyDescent="0.45"/>
    <row r="279" spans="1:35" ht="15" customHeight="1" x14ac:dyDescent="0.45"/>
    <row r="280" spans="1:35" ht="15" customHeight="1" x14ac:dyDescent="0.45"/>
    <row r="281" spans="1:35" ht="15" customHeight="1" x14ac:dyDescent="0.45"/>
    <row r="282" spans="1:35" ht="15" customHeight="1" x14ac:dyDescent="0.45"/>
    <row r="283" spans="1:35" ht="15" customHeight="1" x14ac:dyDescent="0.45">
      <c r="A283" s="14" t="s">
        <v>152</v>
      </c>
      <c r="B283" s="14"/>
      <c r="C283" s="14"/>
      <c r="D283" s="14"/>
      <c r="E283" s="14"/>
      <c r="F283" s="15" t="s">
        <v>153</v>
      </c>
      <c r="G283" s="15"/>
      <c r="H283" s="15"/>
      <c r="I283" s="15"/>
      <c r="J283" s="15"/>
      <c r="K283" s="15"/>
      <c r="L283" s="15"/>
      <c r="M283" s="15"/>
      <c r="N283" s="15"/>
      <c r="O283" s="15"/>
      <c r="P283" s="15"/>
      <c r="Q283" s="15"/>
      <c r="R283" s="15"/>
      <c r="S283" s="15"/>
      <c r="T283" s="15"/>
      <c r="U283" s="15"/>
      <c r="V283" s="15"/>
      <c r="W283" s="15"/>
      <c r="X283" s="15"/>
      <c r="Y283" s="15"/>
      <c r="Z283" s="15"/>
      <c r="AA283" s="15"/>
      <c r="AB283" s="15"/>
      <c r="AC283" s="66" t="s">
        <v>151</v>
      </c>
      <c r="AD283" s="66"/>
      <c r="AE283" s="66"/>
      <c r="AF283" s="66"/>
      <c r="AG283" s="66"/>
      <c r="AH283" s="66"/>
      <c r="AI283" s="66"/>
    </row>
    <row r="284" spans="1:35" ht="15" customHeight="1" x14ac:dyDescent="0.45"/>
    <row r="285" spans="1:35" ht="15" customHeight="1" thickBot="1" x14ac:dyDescent="0.5">
      <c r="A285" s="78" t="s">
        <v>98</v>
      </c>
      <c r="B285" s="79"/>
      <c r="C285" s="80"/>
      <c r="D285" s="78" t="s">
        <v>99</v>
      </c>
      <c r="E285" s="79"/>
      <c r="F285" s="79"/>
      <c r="G285" s="79"/>
      <c r="H285" s="79"/>
      <c r="I285" s="79"/>
      <c r="J285" s="79"/>
      <c r="K285" s="79"/>
      <c r="L285" s="79"/>
      <c r="M285" s="79"/>
      <c r="N285" s="79"/>
      <c r="O285" s="79"/>
      <c r="P285" s="79"/>
      <c r="Q285" s="79"/>
      <c r="R285" s="79"/>
      <c r="S285" s="79"/>
      <c r="T285" s="79"/>
      <c r="U285" s="79"/>
      <c r="V285" s="79"/>
      <c r="W285" s="79"/>
      <c r="X285" s="79"/>
      <c r="Y285" s="79"/>
      <c r="Z285" s="79"/>
      <c r="AA285" s="79"/>
      <c r="AB285" s="79"/>
      <c r="AC285" s="80"/>
      <c r="AD285" s="78" t="s">
        <v>100</v>
      </c>
      <c r="AE285" s="79"/>
      <c r="AF285" s="79"/>
      <c r="AG285" s="79"/>
      <c r="AH285" s="79"/>
      <c r="AI285" s="80"/>
    </row>
    <row r="286" spans="1:35" ht="15" customHeight="1" thickTop="1" x14ac:dyDescent="0.45">
      <c r="A286" s="188"/>
      <c r="B286" s="189"/>
      <c r="C286" s="190"/>
      <c r="D286" s="191" t="s">
        <v>10</v>
      </c>
      <c r="E286" s="192"/>
      <c r="F286" s="192"/>
      <c r="G286" s="192"/>
      <c r="H286" s="192"/>
      <c r="I286" s="192"/>
      <c r="J286" s="192"/>
      <c r="K286" s="192"/>
      <c r="L286" s="192"/>
      <c r="M286" s="192"/>
      <c r="N286" s="192"/>
      <c r="O286" s="192"/>
      <c r="P286" s="192"/>
      <c r="Q286" s="192"/>
      <c r="R286" s="192"/>
      <c r="S286" s="192"/>
      <c r="T286" s="192"/>
      <c r="U286" s="192"/>
      <c r="V286" s="192"/>
      <c r="W286" s="192"/>
      <c r="X286" s="192"/>
      <c r="Y286" s="192"/>
      <c r="Z286" s="192"/>
      <c r="AA286" s="192"/>
      <c r="AB286" s="192"/>
      <c r="AC286" s="193"/>
      <c r="AD286" s="154"/>
      <c r="AE286" s="155"/>
      <c r="AF286" s="155"/>
      <c r="AG286" s="155"/>
      <c r="AH286" s="155"/>
      <c r="AI286" s="194"/>
    </row>
    <row r="287" spans="1:35" ht="15" customHeight="1" x14ac:dyDescent="0.45">
      <c r="A287" s="195" t="s">
        <v>101</v>
      </c>
      <c r="B287" s="196"/>
      <c r="C287" s="197"/>
      <c r="D287" s="198"/>
      <c r="E287" s="118"/>
      <c r="F287" s="199" t="s">
        <v>137</v>
      </c>
      <c r="G287" s="199"/>
      <c r="H287" s="52"/>
      <c r="I287" s="52"/>
      <c r="J287" s="52"/>
      <c r="K287" s="52"/>
      <c r="L287" s="52"/>
      <c r="M287" s="52"/>
      <c r="N287" s="52"/>
      <c r="O287" s="52"/>
      <c r="P287" s="52"/>
      <c r="Q287" s="52"/>
      <c r="R287" s="52"/>
      <c r="S287" s="52"/>
      <c r="T287" s="52"/>
      <c r="U287" s="52"/>
      <c r="V287" s="52"/>
      <c r="W287" s="52"/>
      <c r="X287" s="52"/>
      <c r="Y287" s="52"/>
      <c r="Z287" s="52"/>
      <c r="AA287" s="52"/>
      <c r="AB287" s="52"/>
      <c r="AC287" s="200"/>
      <c r="AD287" s="147" t="s">
        <v>154</v>
      </c>
      <c r="AE287" s="148"/>
      <c r="AF287" s="148"/>
      <c r="AG287" s="148"/>
      <c r="AH287" s="148"/>
      <c r="AI287" s="201"/>
    </row>
    <row r="288" spans="1:35" ht="15" customHeight="1" x14ac:dyDescent="0.45">
      <c r="A288" s="202" t="s">
        <v>155</v>
      </c>
      <c r="B288" s="117"/>
      <c r="C288" s="203"/>
      <c r="D288" s="198"/>
      <c r="E288" s="118"/>
      <c r="F288" s="117" t="s">
        <v>156</v>
      </c>
      <c r="G288" s="117"/>
      <c r="H288" s="117"/>
      <c r="I288" s="118"/>
      <c r="J288" s="134" t="s">
        <v>90</v>
      </c>
      <c r="K288" s="53" t="str">
        <f>IF(ISBLANK(Design_Road_Design_Vehicle_Type),"No Value",IF(Design_Road_Design_Vehicle_Type="Pedestrian Only",0,VLOOKUP(Design_Road_Design_Vehicle_Type,'[1]GCS Tables and Figures'!$A$5:$C$16,3,FALSE)))</f>
        <v>No Value</v>
      </c>
      <c r="L288" s="53"/>
      <c r="M288" s="53"/>
      <c r="N288" s="53"/>
      <c r="O288" s="124" t="s">
        <v>157</v>
      </c>
      <c r="P288" s="118"/>
      <c r="Q288" s="204" t="s">
        <v>158</v>
      </c>
      <c r="R288" s="204"/>
      <c r="S288" s="118"/>
      <c r="T288" s="118" t="s">
        <v>90</v>
      </c>
      <c r="U288" s="53" t="str">
        <f>IF(ISBLANK(Design_Road_Design_Vehicle_Type),"No Value",VLOOKUP(Design_Road_Design_Vehicle_Type,'[1]GCS Tables and Figures'!A5:C16,2,FALSE))</f>
        <v>No Value</v>
      </c>
      <c r="V288" s="53"/>
      <c r="W288" s="53"/>
      <c r="X288" s="53"/>
      <c r="Y288" s="53"/>
      <c r="Z288" s="53"/>
      <c r="AA288" s="53"/>
      <c r="AB288" s="53"/>
      <c r="AC288" s="119"/>
      <c r="AD288" s="154"/>
      <c r="AE288" s="155"/>
      <c r="AF288" s="155"/>
      <c r="AG288" s="155"/>
      <c r="AH288" s="155"/>
      <c r="AI288" s="194"/>
    </row>
    <row r="289" spans="1:35" ht="15" customHeight="1" x14ac:dyDescent="0.45">
      <c r="A289" s="116"/>
      <c r="B289" s="117"/>
      <c r="C289" s="203"/>
      <c r="D289" s="116"/>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c r="AB289" s="117"/>
      <c r="AC289" s="203"/>
      <c r="AD289" s="154"/>
      <c r="AE289" s="155"/>
      <c r="AF289" s="155"/>
      <c r="AG289" s="155"/>
      <c r="AH289" s="155"/>
      <c r="AI289" s="194"/>
    </row>
    <row r="290" spans="1:35" ht="15" customHeight="1" x14ac:dyDescent="0.45">
      <c r="A290" s="168" t="s">
        <v>159</v>
      </c>
      <c r="B290" s="169"/>
      <c r="C290" s="170"/>
      <c r="D290" s="205" t="s">
        <v>160</v>
      </c>
      <c r="E290" s="118"/>
      <c r="F290" s="118"/>
      <c r="G290" s="118"/>
      <c r="H290" s="118"/>
      <c r="I290" s="118"/>
      <c r="J290" s="118"/>
      <c r="K290" s="118"/>
      <c r="L290" s="118"/>
      <c r="M290" s="118"/>
      <c r="N290" s="118"/>
      <c r="O290" s="134" t="s">
        <v>90</v>
      </c>
      <c r="P290" s="89"/>
      <c r="Q290" s="89"/>
      <c r="R290" s="89"/>
      <c r="S290" s="89"/>
      <c r="T290" s="124" t="s">
        <v>157</v>
      </c>
      <c r="U290" s="118"/>
      <c r="V290" s="118"/>
      <c r="W290" s="118"/>
      <c r="X290" s="118"/>
      <c r="Y290" s="118"/>
      <c r="Z290" s="118"/>
      <c r="AA290" s="118"/>
      <c r="AB290" s="118"/>
      <c r="AC290" s="119"/>
      <c r="AD290" s="154" t="s">
        <v>161</v>
      </c>
      <c r="AE290" s="155"/>
      <c r="AF290" s="155"/>
      <c r="AG290" s="155"/>
      <c r="AH290" s="155"/>
      <c r="AI290" s="194"/>
    </row>
    <row r="291" spans="1:35" ht="15" customHeight="1" x14ac:dyDescent="0.45">
      <c r="A291" s="54" t="s">
        <v>162</v>
      </c>
      <c r="B291" s="55"/>
      <c r="C291" s="56"/>
      <c r="D291" s="205" t="s">
        <v>163</v>
      </c>
      <c r="E291" s="118"/>
      <c r="F291" s="118"/>
      <c r="G291" s="118"/>
      <c r="H291" s="118"/>
      <c r="I291" s="118"/>
      <c r="J291" s="118"/>
      <c r="K291" s="118"/>
      <c r="L291" s="118"/>
      <c r="M291" s="118"/>
      <c r="N291" s="118"/>
      <c r="O291" s="134" t="s">
        <v>90</v>
      </c>
      <c r="P291" s="206" t="str">
        <f>IF(OR(Design_Lookup_Design_Vehicle_Length="No Value",ISBLANK(Design_Measure_Clearance_Distance_Vehicle)), "No Value", Design_Lookup_Design_Vehicle_Length+Design_Measure_Clearance_Distance_Vehicle)</f>
        <v>No Value</v>
      </c>
      <c r="Q291" s="112"/>
      <c r="R291" s="112"/>
      <c r="S291" s="112"/>
      <c r="T291" s="124" t="s">
        <v>157</v>
      </c>
      <c r="U291" s="118"/>
      <c r="V291" s="118"/>
      <c r="W291" s="118"/>
      <c r="X291" s="118"/>
      <c r="Y291" s="118"/>
      <c r="Z291" s="118"/>
      <c r="AA291" s="118"/>
      <c r="AB291" s="118"/>
      <c r="AC291" s="119"/>
      <c r="AD291" s="154" t="s">
        <v>164</v>
      </c>
      <c r="AE291" s="155"/>
      <c r="AF291" s="155"/>
      <c r="AG291" s="155"/>
      <c r="AH291" s="155"/>
      <c r="AI291" s="194"/>
    </row>
    <row r="292" spans="1:35" ht="15" customHeight="1" x14ac:dyDescent="0.45">
      <c r="A292" s="116"/>
      <c r="B292" s="117"/>
      <c r="C292" s="203"/>
      <c r="D292" s="116"/>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c r="AB292" s="117"/>
      <c r="AC292" s="203"/>
      <c r="AD292" s="154"/>
      <c r="AE292" s="155"/>
      <c r="AF292" s="155"/>
      <c r="AG292" s="155"/>
      <c r="AH292" s="155"/>
      <c r="AI292" s="194"/>
    </row>
    <row r="293" spans="1:35" ht="15" customHeight="1" x14ac:dyDescent="0.45">
      <c r="A293" s="54" t="s">
        <v>162</v>
      </c>
      <c r="B293" s="55"/>
      <c r="C293" s="56"/>
      <c r="D293" s="205" t="s">
        <v>165</v>
      </c>
      <c r="E293" s="118"/>
      <c r="F293" s="118"/>
      <c r="G293" s="118"/>
      <c r="H293" s="118"/>
      <c r="I293" s="118"/>
      <c r="J293" s="118"/>
      <c r="K293" s="118"/>
      <c r="L293" s="118"/>
      <c r="M293" s="118"/>
      <c r="N293" s="118"/>
      <c r="O293" s="134" t="s">
        <v>90</v>
      </c>
      <c r="P293" s="207" t="str">
        <f>IF(I295="No Value","No Value",SUM(Design_Input_Reaction_Time,I295))</f>
        <v>No Value</v>
      </c>
      <c r="Q293" s="207"/>
      <c r="R293" s="207"/>
      <c r="S293" s="207"/>
      <c r="T293" s="124" t="s">
        <v>166</v>
      </c>
      <c r="U293" s="118"/>
      <c r="V293" s="118"/>
      <c r="W293" s="118"/>
      <c r="X293" s="118"/>
      <c r="Y293" s="118"/>
      <c r="Z293" s="118"/>
      <c r="AA293" s="118"/>
      <c r="AB293" s="118"/>
      <c r="AC293" s="119"/>
      <c r="AD293" s="154" t="s">
        <v>167</v>
      </c>
      <c r="AE293" s="155"/>
      <c r="AF293" s="155"/>
      <c r="AG293" s="155"/>
      <c r="AH293" s="155"/>
      <c r="AI293" s="194"/>
    </row>
    <row r="294" spans="1:35" ht="15" customHeight="1" x14ac:dyDescent="0.45">
      <c r="A294" s="202" t="s">
        <v>155</v>
      </c>
      <c r="B294" s="117"/>
      <c r="C294" s="203"/>
      <c r="D294" s="205"/>
      <c r="E294" s="118"/>
      <c r="F294" s="118"/>
      <c r="G294" s="208" t="s">
        <v>168</v>
      </c>
      <c r="H294" s="134" t="s">
        <v>90</v>
      </c>
      <c r="I294" s="53">
        <v>2</v>
      </c>
      <c r="J294" s="53"/>
      <c r="K294" s="53"/>
      <c r="L294" s="124" t="s">
        <v>166</v>
      </c>
      <c r="M294" s="118"/>
      <c r="N294" s="209" t="s">
        <v>169</v>
      </c>
      <c r="O294" s="209"/>
      <c r="P294" s="209"/>
      <c r="Q294" s="209"/>
      <c r="R294" s="209"/>
      <c r="S294" s="209"/>
      <c r="T294" s="209"/>
      <c r="U294" s="118"/>
      <c r="V294" s="118"/>
      <c r="W294" s="118"/>
      <c r="X294" s="118"/>
      <c r="Y294" s="118"/>
      <c r="Z294" s="118"/>
      <c r="AA294" s="118"/>
      <c r="AB294" s="118"/>
      <c r="AC294" s="119"/>
      <c r="AD294" s="154"/>
      <c r="AE294" s="155"/>
      <c r="AF294" s="155"/>
      <c r="AG294" s="155"/>
      <c r="AH294" s="155"/>
      <c r="AI294" s="194"/>
    </row>
    <row r="295" spans="1:35" ht="15" customHeight="1" x14ac:dyDescent="0.45">
      <c r="A295" s="54" t="s">
        <v>162</v>
      </c>
      <c r="B295" s="55"/>
      <c r="C295" s="56"/>
      <c r="D295" s="171"/>
      <c r="E295" s="117" t="s">
        <v>170</v>
      </c>
      <c r="F295" s="117"/>
      <c r="G295" s="117"/>
      <c r="H295" s="136" t="s">
        <v>90</v>
      </c>
      <c r="I295" s="210" t="str">
        <f>IF(OR(Design_Lookup_Vehicle_Departure_Time_Crossing="No Value",Design_Lookup_Grade_Adjustment_Factor="No Value"),"No Value",Design_Lookup_Vehicle_Departure_Time_Crossing*Design_Lookup_Grade_Adjustment_Factor)</f>
        <v>No Value</v>
      </c>
      <c r="J295" s="210"/>
      <c r="K295" s="210"/>
      <c r="L295" s="142" t="s">
        <v>166</v>
      </c>
      <c r="M295" s="142"/>
      <c r="N295" s="209" t="s">
        <v>171</v>
      </c>
      <c r="O295" s="209"/>
      <c r="P295" s="209"/>
      <c r="Q295" s="209"/>
      <c r="R295" s="209"/>
      <c r="S295" s="209"/>
      <c r="T295" s="209"/>
      <c r="U295" s="209"/>
      <c r="V295" s="209"/>
      <c r="W295" s="209"/>
      <c r="X295" s="209"/>
      <c r="Y295" s="209"/>
      <c r="Z295" s="209"/>
      <c r="AA295" s="209"/>
      <c r="AB295" s="142"/>
      <c r="AC295" s="172"/>
      <c r="AD295" s="154"/>
      <c r="AE295" s="155"/>
      <c r="AF295" s="155"/>
      <c r="AG295" s="155"/>
      <c r="AH295" s="155"/>
      <c r="AI295" s="194"/>
    </row>
    <row r="296" spans="1:35" ht="15" customHeight="1" x14ac:dyDescent="0.45">
      <c r="A296" s="202" t="s">
        <v>155</v>
      </c>
      <c r="B296" s="117"/>
      <c r="C296" s="203"/>
      <c r="D296" s="211"/>
      <c r="E296" s="124"/>
      <c r="F296" s="208"/>
      <c r="G296" s="208" t="s">
        <v>172</v>
      </c>
      <c r="H296" s="134" t="s">
        <v>90</v>
      </c>
      <c r="I296" s="210" t="str">
        <f>IF(OR(ISBLANK(Design_Lookup_Design_Vehicle_Class),Design_Calculate_Vehicle_Travel_Distance="No Value"),"No Value",IF(AND(Design_Lookup_Design_Vehicle_Class="Cars",NOT(Design_Calculate_Vehicle_Travel_Distance="No Value")),ROUND(MAX(4,-1.83359063314625E-07*Design_Calculate_Vehicle_Travel_Distance^4 + 0.000030862217902978*Design_Calculate_Vehicle_Travel_Distance^3 - 0.00243559236227734*Design_Calculate_Vehicle_Travel_Distance^2 + 0.194096256511465*Design_Calculate_Vehicle_Travel_Distance + 1.9653478726958),4),IF(AND(Design_Lookup_Design_Vehicle_Class="Single-Unit Trucks",NOT(Design_Calculate_Vehicle_Travel_Distance="No Value")),ROUND(MAX(6,2.95895110935529E-06*Design_Calculate_Vehicle_Travel_Distance^3 - 0.00120538991988588*$P$291^2 + 0.23080739982193*Design_Calculate_Vehicle_Travel_Distance + 3.11489082547138),4),IF(AND(OR($U$288="Tractor Trailers",Design_Lookup_Design_Vehicle_Class="Combination Vehicles",Design_Lookup_Design_Vehicle_Class="Buses"),NOT(Design_Calculate_Vehicle_Travel_Distance="No Value")),ROUND(MAX(7,2.43585710133203E-07*Design_Calculate_Vehicle_Travel_Distance^4 - 0.0000473118786681759*Design_Calculate_Vehicle_Travel_Distance^3 + 0.00169819852156627*Design_Calculate_Vehicle_Travel_Distance^2 + 0.211550565362998*Design_Calculate_Vehicle_Travel_Distance + 3.96662867415871),4),IF(AND(Design_Lookup_Design_Vehicle_Class="Pedestrian",NOT(Design_Calculate_Vehicle_Travel_Distance="No Value")),ROUND($J$302/1.22,4),0)))))</f>
        <v>No Value</v>
      </c>
      <c r="J296" s="210"/>
      <c r="K296" s="210"/>
      <c r="L296" s="124" t="s">
        <v>166</v>
      </c>
      <c r="M296" s="124"/>
      <c r="N296" s="209" t="s">
        <v>173</v>
      </c>
      <c r="O296" s="209"/>
      <c r="P296" s="209"/>
      <c r="Q296" s="209"/>
      <c r="R296" s="209"/>
      <c r="S296" s="209"/>
      <c r="T296" s="209"/>
      <c r="U296" s="209"/>
      <c r="V296" s="209"/>
      <c r="W296" s="209"/>
      <c r="X296" s="209"/>
      <c r="Y296" s="209"/>
      <c r="Z296" s="209"/>
      <c r="AA296" s="209"/>
      <c r="AB296" s="209"/>
      <c r="AC296" s="212"/>
      <c r="AD296" s="154" t="s">
        <v>174</v>
      </c>
      <c r="AE296" s="155"/>
      <c r="AF296" s="155"/>
      <c r="AG296" s="155"/>
      <c r="AH296" s="155"/>
      <c r="AI296" s="194"/>
    </row>
    <row r="297" spans="1:35" ht="15" customHeight="1" x14ac:dyDescent="0.45">
      <c r="A297" s="54" t="s">
        <v>159</v>
      </c>
      <c r="B297" s="55"/>
      <c r="C297" s="56"/>
      <c r="D297" s="211"/>
      <c r="E297" s="124"/>
      <c r="F297" s="208"/>
      <c r="G297" s="124"/>
      <c r="H297" s="134"/>
      <c r="I297" s="213"/>
      <c r="J297" s="213"/>
      <c r="K297" s="213"/>
      <c r="L297" s="124" t="s">
        <v>175</v>
      </c>
      <c r="M297" s="124"/>
      <c r="N297" s="209" t="s">
        <v>176</v>
      </c>
      <c r="O297" s="209"/>
      <c r="P297" s="209"/>
      <c r="Q297" s="209"/>
      <c r="R297" s="209"/>
      <c r="S297" s="209"/>
      <c r="T297" s="209"/>
      <c r="U297" s="209"/>
      <c r="V297" s="209"/>
      <c r="W297" s="209"/>
      <c r="X297" s="124"/>
      <c r="Y297" s="124"/>
      <c r="Z297" s="124"/>
      <c r="AA297" s="124"/>
      <c r="AB297" s="124"/>
      <c r="AC297" s="212"/>
      <c r="AD297" s="214"/>
      <c r="AE297" s="215"/>
      <c r="AF297" s="215"/>
      <c r="AG297" s="215"/>
      <c r="AH297" s="215"/>
      <c r="AI297" s="216"/>
    </row>
    <row r="298" spans="1:35" ht="15" customHeight="1" x14ac:dyDescent="0.45">
      <c r="A298" s="202" t="s">
        <v>155</v>
      </c>
      <c r="B298" s="117"/>
      <c r="C298" s="203"/>
      <c r="D298" s="198"/>
      <c r="E298" s="118"/>
      <c r="F298" s="118"/>
      <c r="G298" s="217" t="s">
        <v>177</v>
      </c>
      <c r="H298" s="134" t="s">
        <v>90</v>
      </c>
      <c r="I298" s="218" t="str">
        <f>IF(OR(ISBLANK(Design_Road_Max_Approach_Grade_Within_S),Design_Lookup_Design_Vehicle_Class="No Value"),"No Value",IF(Design_Lookup_Design_Vehicle_Class="Pedestrian",1,IF(Design_Road_Max_Approach_Grade_Within_S&gt;=0.04,VLOOKUP(Design_Lookup_Design_Vehicle_Class,'[1]GCS Tables and Figures'!A113:F117,6,FALSE),IF(Design_Road_Max_Approach_Grade_Within_S&lt;=-0.04,VLOOKUP(Design_Lookup_Design_Vehicle_Class,'[1]GCS Tables and Figures'!A113:F117,2,FALSE),IF(IF(Design_Road_Max_Approach_Grade_Within_S&gt;0,MROUND(Design_Road_Max_Approach_Grade_Within_S,0.02),MROUND($I$297,-0.02))=-0.04,VLOOKUP(Design_Lookup_Design_Vehicle_Class,'[1]GCS Tables and Figures'!A113:F117,2,FALSE),IF(IF(Design_Road_Max_Approach_Grade_Within_S&gt;0,MROUND(Design_Road_Max_Approach_Grade_Within_S,0.02),MROUND(Design_Road_Max_Approach_Grade_Within_S,-0.02))=-0.02,VLOOKUP(Design_Lookup_Design_Vehicle_Class,'[1]GCS Tables and Figures'!A113:F117,3,FALSE),IF(IF(Design_Road_Max_Approach_Grade_Within_S&gt;0,MROUND(Design_Road_Max_Approach_Grade_Within_S,0.02),MROUND($I$297,-0.02))=0,VLOOKUP(Design_Lookup_Design_Vehicle_Class,'[1]GCS Tables and Figures'!A113:F117,4,FALSE),IF(IF($I$297&gt;0,MROUND($I$297,0.02),MROUND($I$297,-0.02))=0.02,VLOOKUP(Design_Lookup_Design_Vehicle_Class,'[1]GCS Tables and Figures'!A113:F117,5,FALSE),IF(IF(Design_Road_Max_Approach_Grade_Within_S&gt;0,MROUND(Design_Road_Max_Approach_Grade_Within_S,0.02),MROUND(Design_Road_Max_Approach_Grade_Within_S,-0.02))=0.04,VLOOKUP(Design_Lookup_Design_Vehicle_Class,'[1]GCS Tables and Figures'!A113:F117,6,FALSE),0)))))))))</f>
        <v>No Value</v>
      </c>
      <c r="J298" s="218"/>
      <c r="K298" s="218"/>
      <c r="L298" s="124"/>
      <c r="M298" s="124"/>
      <c r="N298" s="209" t="s">
        <v>178</v>
      </c>
      <c r="O298" s="209"/>
      <c r="P298" s="209"/>
      <c r="Q298" s="209"/>
      <c r="R298" s="209"/>
      <c r="S298" s="209"/>
      <c r="T298" s="209"/>
      <c r="U298" s="209"/>
      <c r="V298" s="209"/>
      <c r="W298" s="209"/>
      <c r="X298" s="209"/>
      <c r="Y298" s="209"/>
      <c r="Z298" s="209"/>
      <c r="AA298" s="209"/>
      <c r="AB298" s="209"/>
      <c r="AC298" s="119"/>
      <c r="AD298" s="154" t="s">
        <v>179</v>
      </c>
      <c r="AE298" s="155"/>
      <c r="AF298" s="155"/>
      <c r="AG298" s="155"/>
      <c r="AH298" s="155"/>
      <c r="AI298" s="194"/>
    </row>
    <row r="299" spans="1:35" ht="15" customHeight="1" x14ac:dyDescent="0.45">
      <c r="A299" s="116"/>
      <c r="B299" s="117"/>
      <c r="C299" s="203"/>
      <c r="D299" s="116"/>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c r="AB299" s="117"/>
      <c r="AC299" s="203"/>
      <c r="AD299" s="154"/>
      <c r="AE299" s="155"/>
      <c r="AF299" s="155"/>
      <c r="AG299" s="155"/>
      <c r="AH299" s="155"/>
      <c r="AI299" s="194"/>
    </row>
    <row r="300" spans="1:35" ht="15" customHeight="1" x14ac:dyDescent="0.45">
      <c r="A300" s="168" t="s">
        <v>180</v>
      </c>
      <c r="B300" s="169"/>
      <c r="C300" s="170"/>
      <c r="D300" s="116" t="s">
        <v>181</v>
      </c>
      <c r="E300" s="117"/>
      <c r="F300" s="117"/>
      <c r="G300" s="117"/>
      <c r="H300" s="117"/>
      <c r="I300" s="117"/>
      <c r="J300" s="117"/>
      <c r="K300" s="117"/>
      <c r="L300" s="117"/>
      <c r="M300" s="117"/>
      <c r="N300" s="117"/>
      <c r="O300" s="117"/>
      <c r="P300" s="117"/>
      <c r="Q300" s="117"/>
      <c r="R300" s="117"/>
      <c r="S300" s="117"/>
      <c r="T300" s="117"/>
      <c r="U300" s="117"/>
      <c r="V300" s="118"/>
      <c r="W300" s="118"/>
      <c r="X300" s="219"/>
      <c r="Y300" s="219"/>
      <c r="Z300" s="219"/>
      <c r="AA300" s="219"/>
      <c r="AB300" s="219"/>
      <c r="AC300" s="119"/>
      <c r="AD300" s="154"/>
      <c r="AE300" s="155"/>
      <c r="AF300" s="155"/>
      <c r="AG300" s="155"/>
      <c r="AH300" s="155"/>
      <c r="AI300" s="194"/>
    </row>
    <row r="301" spans="1:35" ht="15" customHeight="1" x14ac:dyDescent="0.45">
      <c r="A301" s="202"/>
      <c r="B301" s="117"/>
      <c r="C301" s="203"/>
      <c r="D301" s="54" t="s">
        <v>182</v>
      </c>
      <c r="E301" s="55"/>
      <c r="F301" s="55"/>
      <c r="G301" s="55"/>
      <c r="H301" s="55"/>
      <c r="I301" s="55"/>
      <c r="J301" s="55"/>
      <c r="K301" s="55"/>
      <c r="L301" s="55"/>
      <c r="M301" s="55"/>
      <c r="N301" s="55"/>
      <c r="O301" s="55"/>
      <c r="P301" s="55"/>
      <c r="Q301" s="55"/>
      <c r="R301" s="55"/>
      <c r="S301" s="55"/>
      <c r="T301" s="55"/>
      <c r="U301" s="55"/>
      <c r="V301" s="55"/>
      <c r="W301" s="55"/>
      <c r="X301" s="55"/>
      <c r="Y301" s="55"/>
      <c r="Z301" s="55"/>
      <c r="AA301" s="55"/>
      <c r="AB301" s="55"/>
      <c r="AC301" s="56"/>
      <c r="AD301" s="154"/>
      <c r="AE301" s="155"/>
      <c r="AF301" s="155"/>
      <c r="AG301" s="155"/>
      <c r="AH301" s="155"/>
      <c r="AI301" s="194"/>
    </row>
    <row r="302" spans="1:35" ht="15" customHeight="1" x14ac:dyDescent="0.45">
      <c r="A302" s="117" t="s">
        <v>159</v>
      </c>
      <c r="B302" s="117"/>
      <c r="C302" s="203"/>
      <c r="D302" s="220"/>
      <c r="E302" s="221"/>
      <c r="F302" s="222" t="s">
        <v>183</v>
      </c>
      <c r="G302" s="222"/>
      <c r="H302" s="222"/>
      <c r="I302" s="223" t="s">
        <v>90</v>
      </c>
      <c r="J302" s="52"/>
      <c r="K302" s="52"/>
      <c r="L302" s="52"/>
      <c r="M302" s="52"/>
      <c r="N302" s="222" t="s">
        <v>157</v>
      </c>
      <c r="O302" s="221"/>
      <c r="P302" s="221"/>
      <c r="Q302" s="221"/>
      <c r="R302" s="118"/>
      <c r="S302" s="221"/>
      <c r="T302" s="221"/>
      <c r="U302" s="221"/>
      <c r="V302" s="221"/>
      <c r="W302" s="221"/>
      <c r="X302" s="221"/>
      <c r="Y302" s="221"/>
      <c r="Z302" s="221"/>
      <c r="AA302" s="221"/>
      <c r="AB302" s="221"/>
      <c r="AC302" s="224"/>
      <c r="AD302" s="225"/>
      <c r="AE302" s="226"/>
      <c r="AF302" s="226"/>
      <c r="AG302" s="226"/>
      <c r="AH302" s="226"/>
      <c r="AI302" s="227"/>
    </row>
    <row r="303" spans="1:35" ht="15" customHeight="1" x14ac:dyDescent="0.45">
      <c r="A303" s="202" t="s">
        <v>155</v>
      </c>
      <c r="B303" s="117"/>
      <c r="C303" s="203"/>
      <c r="D303" s="109"/>
      <c r="E303" s="110"/>
      <c r="F303" s="228" t="s">
        <v>184</v>
      </c>
      <c r="G303" s="110"/>
      <c r="H303" s="110"/>
      <c r="I303" s="136" t="s">
        <v>90</v>
      </c>
      <c r="J303" s="112">
        <v>1.22</v>
      </c>
      <c r="K303" s="112"/>
      <c r="L303" s="112"/>
      <c r="M303" s="112"/>
      <c r="N303" s="142" t="s">
        <v>185</v>
      </c>
      <c r="O303" s="110"/>
      <c r="P303" s="229" t="s">
        <v>186</v>
      </c>
      <c r="Q303" s="110"/>
      <c r="S303" s="110"/>
      <c r="T303" s="110"/>
      <c r="U303" s="110"/>
      <c r="V303" s="110"/>
      <c r="W303" s="110"/>
      <c r="X303" s="110"/>
      <c r="Y303" s="110"/>
      <c r="Z303" s="110"/>
      <c r="AA303" s="110"/>
      <c r="AB303" s="110"/>
      <c r="AC303" s="113"/>
      <c r="AD303" s="154"/>
      <c r="AE303" s="155"/>
      <c r="AF303" s="155"/>
      <c r="AG303" s="155"/>
      <c r="AH303" s="155"/>
      <c r="AI303" s="194"/>
    </row>
    <row r="304" spans="1:35" ht="15" customHeight="1" x14ac:dyDescent="0.45">
      <c r="A304" s="54" t="s">
        <v>162</v>
      </c>
      <c r="B304" s="55"/>
      <c r="C304" s="56"/>
      <c r="D304" s="198"/>
      <c r="E304" s="118"/>
      <c r="F304" s="208" t="s">
        <v>187</v>
      </c>
      <c r="G304" s="118"/>
      <c r="H304" s="118"/>
      <c r="I304" s="134" t="s">
        <v>90</v>
      </c>
      <c r="J304" s="230" t="str">
        <f>IF(ISBLANK(Design_Measure_Clearance_Distance_Pedestrian),"No Value",ROUNDUP(Design_Measure_Clearance_Distance_Pedestrian/1.22,0))</f>
        <v>No Value</v>
      </c>
      <c r="K304" s="162"/>
      <c r="L304" s="162"/>
      <c r="M304" s="162"/>
      <c r="N304" s="124" t="s">
        <v>166</v>
      </c>
      <c r="O304" s="118"/>
      <c r="P304" s="118"/>
      <c r="Q304" s="118"/>
      <c r="S304" s="118"/>
      <c r="T304" s="118"/>
      <c r="U304" s="118"/>
      <c r="V304" s="118"/>
      <c r="W304" s="118"/>
      <c r="X304" s="118"/>
      <c r="Y304" s="118"/>
      <c r="Z304" s="118"/>
      <c r="AA304" s="118"/>
      <c r="AB304" s="118"/>
      <c r="AC304" s="119"/>
      <c r="AD304" s="154"/>
      <c r="AE304" s="155"/>
      <c r="AF304" s="155"/>
      <c r="AG304" s="155"/>
      <c r="AH304" s="155"/>
      <c r="AI304" s="194"/>
    </row>
    <row r="305" spans="1:35" ht="15" customHeight="1" x14ac:dyDescent="0.45">
      <c r="A305" s="38"/>
      <c r="B305" s="38"/>
      <c r="C305" s="38"/>
      <c r="F305" s="231"/>
      <c r="I305" s="51"/>
      <c r="J305" s="232"/>
      <c r="K305" s="232"/>
      <c r="L305" s="232"/>
      <c r="M305" s="232"/>
      <c r="N305" s="6"/>
      <c r="AD305" s="233"/>
      <c r="AE305" s="233"/>
      <c r="AF305" s="233"/>
      <c r="AG305" s="233"/>
      <c r="AH305" s="233"/>
      <c r="AI305" s="233"/>
    </row>
    <row r="306" spans="1:35" ht="15" customHeight="1" x14ac:dyDescent="0.45">
      <c r="A306" s="234"/>
      <c r="B306" s="234"/>
      <c r="C306" s="234"/>
      <c r="D306" s="235" t="s">
        <v>188</v>
      </c>
      <c r="E306" s="236"/>
      <c r="F306" s="236"/>
      <c r="G306" s="236"/>
      <c r="H306" s="236"/>
      <c r="I306" s="236"/>
      <c r="J306" s="236"/>
      <c r="K306" s="236"/>
      <c r="L306" s="236"/>
      <c r="M306" s="236"/>
      <c r="N306" s="236"/>
      <c r="O306" s="236"/>
      <c r="P306" s="236"/>
      <c r="Q306" s="236"/>
      <c r="R306" s="236"/>
      <c r="S306" s="236"/>
      <c r="T306" s="236"/>
      <c r="U306" s="236"/>
      <c r="V306" s="236"/>
      <c r="W306" s="236"/>
      <c r="X306" s="236"/>
      <c r="Y306" s="236"/>
      <c r="Z306" s="236"/>
      <c r="AA306" s="236"/>
      <c r="AB306" s="236"/>
      <c r="AC306" s="237"/>
      <c r="AD306" s="238" t="s">
        <v>189</v>
      </c>
      <c r="AE306" s="239"/>
      <c r="AF306" s="239"/>
      <c r="AG306" s="239"/>
      <c r="AH306" s="239"/>
      <c r="AI306" s="240"/>
    </row>
    <row r="307" spans="1:35" ht="15" customHeight="1" x14ac:dyDescent="0.45">
      <c r="A307" s="234"/>
      <c r="B307" s="234"/>
      <c r="C307" s="234"/>
      <c r="D307" s="241"/>
      <c r="E307" s="242"/>
      <c r="F307" s="242"/>
      <c r="G307" s="242"/>
      <c r="H307" s="242"/>
      <c r="I307" s="242"/>
      <c r="J307" s="242"/>
      <c r="K307" s="242"/>
      <c r="L307" s="242"/>
      <c r="M307" s="242"/>
      <c r="N307" s="242"/>
      <c r="O307" s="242"/>
      <c r="P307" s="242"/>
      <c r="Q307" s="242"/>
      <c r="R307" s="242"/>
      <c r="S307" s="242"/>
      <c r="T307" s="242"/>
      <c r="U307" s="242"/>
      <c r="V307" s="242"/>
      <c r="W307" s="242"/>
      <c r="X307" s="242"/>
      <c r="Y307" s="242"/>
      <c r="Z307" s="242"/>
      <c r="AA307" s="242"/>
      <c r="AB307" s="242"/>
      <c r="AC307" s="243"/>
      <c r="AD307" s="244"/>
      <c r="AE307" s="245"/>
      <c r="AF307" s="245"/>
      <c r="AG307" s="245"/>
      <c r="AH307" s="245"/>
      <c r="AI307" s="246"/>
    </row>
    <row r="308" spans="1:35" ht="15" customHeight="1" x14ac:dyDescent="0.45">
      <c r="A308" s="54" t="s">
        <v>159</v>
      </c>
      <c r="B308" s="55"/>
      <c r="C308" s="55"/>
      <c r="D308" s="247" t="s">
        <v>190</v>
      </c>
      <c r="E308" s="248"/>
      <c r="F308" s="248"/>
      <c r="G308" s="248"/>
      <c r="H308" s="248"/>
      <c r="I308" s="248"/>
      <c r="J308" s="248"/>
      <c r="K308" s="248"/>
      <c r="L308" s="248"/>
      <c r="M308" s="248"/>
      <c r="N308" s="248"/>
      <c r="O308" s="248"/>
      <c r="P308" s="249"/>
      <c r="Q308" s="249"/>
      <c r="R308" s="249"/>
      <c r="S308" s="249"/>
      <c r="T308" s="249"/>
      <c r="U308" s="250" t="s">
        <v>157</v>
      </c>
      <c r="V308" s="248"/>
      <c r="W308" s="248"/>
      <c r="X308" s="248"/>
      <c r="Y308" s="248"/>
      <c r="Z308" s="248"/>
      <c r="AA308" s="248"/>
      <c r="AB308" s="248"/>
      <c r="AC308" s="251"/>
      <c r="AD308" s="244"/>
      <c r="AE308" s="245"/>
      <c r="AF308" s="245"/>
      <c r="AG308" s="245"/>
      <c r="AH308" s="245"/>
      <c r="AI308" s="246"/>
    </row>
    <row r="309" spans="1:35" ht="15" customHeight="1" x14ac:dyDescent="0.45">
      <c r="A309" s="252" t="s">
        <v>159</v>
      </c>
      <c r="B309" s="252"/>
      <c r="C309" s="252"/>
      <c r="D309" s="211" t="s">
        <v>191</v>
      </c>
      <c r="E309" s="118"/>
      <c r="F309" s="118"/>
      <c r="G309" s="118"/>
      <c r="H309" s="118"/>
      <c r="I309" s="118"/>
      <c r="J309" s="118"/>
      <c r="K309" s="118"/>
      <c r="L309" s="118"/>
      <c r="M309" s="118"/>
      <c r="N309" s="118"/>
      <c r="O309" s="118"/>
      <c r="P309" s="52"/>
      <c r="Q309" s="52"/>
      <c r="R309" s="52"/>
      <c r="S309" s="52"/>
      <c r="T309" s="52"/>
      <c r="U309" s="124" t="s">
        <v>157</v>
      </c>
      <c r="V309" s="118"/>
      <c r="W309" s="118"/>
      <c r="X309" s="118"/>
      <c r="Y309" s="118"/>
      <c r="Z309" s="118"/>
      <c r="AA309" s="118"/>
      <c r="AB309" s="118"/>
      <c r="AC309" s="119"/>
      <c r="AD309" s="244"/>
      <c r="AE309" s="245"/>
      <c r="AF309" s="245"/>
      <c r="AG309" s="245"/>
      <c r="AH309" s="245"/>
      <c r="AI309" s="246"/>
    </row>
    <row r="310" spans="1:35" ht="15" customHeight="1" x14ac:dyDescent="0.45">
      <c r="A310" s="252" t="s">
        <v>162</v>
      </c>
      <c r="B310" s="252"/>
      <c r="C310" s="252"/>
      <c r="D310" s="211" t="s">
        <v>192</v>
      </c>
      <c r="E310" s="118"/>
      <c r="F310" s="118"/>
      <c r="G310" s="118"/>
      <c r="H310" s="118"/>
      <c r="I310" s="118"/>
      <c r="J310" s="118"/>
      <c r="K310" s="118"/>
      <c r="L310" s="118"/>
      <c r="M310" s="118"/>
      <c r="N310" s="118"/>
      <c r="O310" s="118"/>
      <c r="P310" s="53" t="str">
        <f>IF(OR(ISBLANK(Design_Measure_Adjacent_Track_Separation_Distance),ISBLANK(Design_Measure_Adjacent_Track_Clearance_Distance)),"No Value",IF(OR(Design_Measure_Adjacent_Track_Separation_Distance&lt;30,Design_Measure_Adjacent_Track_Separation_Distance&gt;60),"N/A",IF(AND(Design_Measure_Adjacent_Track_Separation_Distance&gt;=30,Design_Measure_Adjacent_Track_Separation_Distance&lt;=60),ROUNDUP(SUM(20,MAX(0,Design_Measure_Adjacent_Track_Clearance_Distance-10.668)/3.048),0))))</f>
        <v>No Value</v>
      </c>
      <c r="Q310" s="53"/>
      <c r="R310" s="53"/>
      <c r="S310" s="53"/>
      <c r="T310" s="53"/>
      <c r="U310" s="124" t="s">
        <v>166</v>
      </c>
      <c r="V310" s="118"/>
      <c r="W310" s="118"/>
      <c r="X310" s="118"/>
      <c r="Y310" s="118"/>
      <c r="Z310" s="118"/>
      <c r="AA310" s="118"/>
      <c r="AB310" s="118"/>
      <c r="AC310" s="119"/>
      <c r="AD310" s="253"/>
      <c r="AE310" s="254"/>
      <c r="AF310" s="254"/>
      <c r="AG310" s="254"/>
      <c r="AH310" s="254"/>
      <c r="AI310" s="255"/>
    </row>
    <row r="311" spans="1:35" ht="15" customHeight="1" x14ac:dyDescent="0.45"/>
    <row r="312" spans="1:35" ht="15" customHeight="1" x14ac:dyDescent="0.45">
      <c r="A312" s="176" t="s">
        <v>193</v>
      </c>
      <c r="B312" s="177"/>
      <c r="C312" s="177"/>
      <c r="D312" s="177"/>
      <c r="E312" s="177"/>
      <c r="F312" s="177"/>
      <c r="G312" s="177"/>
      <c r="H312" s="177"/>
      <c r="I312" s="177"/>
      <c r="J312" s="177"/>
      <c r="K312" s="177"/>
      <c r="L312" s="177"/>
      <c r="M312" s="177"/>
      <c r="N312" s="177"/>
      <c r="O312" s="177"/>
      <c r="P312" s="177"/>
      <c r="Q312" s="177"/>
      <c r="R312" s="177"/>
      <c r="S312" s="177"/>
      <c r="T312" s="177"/>
      <c r="U312" s="177"/>
      <c r="V312" s="177"/>
      <c r="W312" s="177"/>
      <c r="X312" s="177"/>
      <c r="Y312" s="177"/>
      <c r="Z312" s="177"/>
      <c r="AA312" s="177"/>
      <c r="AB312" s="177"/>
      <c r="AC312" s="177"/>
      <c r="AD312" s="177"/>
      <c r="AE312" s="177"/>
      <c r="AF312" s="177"/>
      <c r="AG312" s="177"/>
      <c r="AH312" s="177"/>
      <c r="AI312" s="178"/>
    </row>
    <row r="313" spans="1:35" ht="15" customHeight="1" x14ac:dyDescent="0.45">
      <c r="A313" s="256"/>
      <c r="B313" s="257"/>
      <c r="C313" s="257"/>
      <c r="D313" s="257"/>
      <c r="E313" s="257"/>
      <c r="F313" s="257"/>
      <c r="G313" s="257"/>
      <c r="H313" s="257"/>
      <c r="I313" s="257"/>
      <c r="J313" s="257"/>
      <c r="K313" s="257"/>
      <c r="L313" s="257"/>
      <c r="M313" s="257"/>
      <c r="N313" s="257"/>
      <c r="O313" s="257"/>
      <c r="P313" s="257"/>
      <c r="Q313" s="257"/>
      <c r="R313" s="257"/>
      <c r="S313" s="257"/>
      <c r="T313" s="257"/>
      <c r="U313" s="257"/>
      <c r="V313" s="257"/>
      <c r="W313" s="257"/>
      <c r="X313" s="257"/>
      <c r="Y313" s="257"/>
      <c r="Z313" s="257"/>
      <c r="AA313" s="257"/>
      <c r="AB313" s="257"/>
      <c r="AC313" s="257"/>
      <c r="AD313" s="257"/>
      <c r="AE313" s="257"/>
      <c r="AF313" s="257"/>
      <c r="AG313" s="257"/>
      <c r="AH313" s="257"/>
      <c r="AI313" s="258"/>
    </row>
    <row r="314" spans="1:35" ht="15" customHeight="1" x14ac:dyDescent="0.45">
      <c r="A314" s="259"/>
      <c r="B314" s="260"/>
      <c r="C314" s="260"/>
      <c r="D314" s="260"/>
      <c r="E314" s="260"/>
      <c r="F314" s="260"/>
      <c r="G314" s="260"/>
      <c r="H314" s="260"/>
      <c r="I314" s="260"/>
      <c r="J314" s="260"/>
      <c r="K314" s="260"/>
      <c r="L314" s="260"/>
      <c r="M314" s="260"/>
      <c r="N314" s="260"/>
      <c r="O314" s="260"/>
      <c r="P314" s="260"/>
      <c r="Q314" s="260"/>
      <c r="R314" s="260"/>
      <c r="S314" s="260"/>
      <c r="T314" s="260"/>
      <c r="U314" s="260"/>
      <c r="V314" s="260"/>
      <c r="W314" s="260"/>
      <c r="X314" s="260"/>
      <c r="Y314" s="260"/>
      <c r="Z314" s="260"/>
      <c r="AA314" s="260"/>
      <c r="AB314" s="260"/>
      <c r="AC314" s="260"/>
      <c r="AD314" s="260"/>
      <c r="AE314" s="260"/>
      <c r="AF314" s="260"/>
      <c r="AG314" s="260"/>
      <c r="AH314" s="260"/>
      <c r="AI314" s="261"/>
    </row>
    <row r="315" spans="1:35" ht="15" customHeight="1" x14ac:dyDescent="0.45">
      <c r="A315" s="259"/>
      <c r="B315" s="260"/>
      <c r="C315" s="260"/>
      <c r="D315" s="260"/>
      <c r="E315" s="260"/>
      <c r="F315" s="260"/>
      <c r="G315" s="260"/>
      <c r="H315" s="260"/>
      <c r="I315" s="260"/>
      <c r="J315" s="260"/>
      <c r="K315" s="260"/>
      <c r="L315" s="260"/>
      <c r="M315" s="260"/>
      <c r="N315" s="260"/>
      <c r="O315" s="260"/>
      <c r="P315" s="260"/>
      <c r="Q315" s="260"/>
      <c r="R315" s="260"/>
      <c r="S315" s="260"/>
      <c r="T315" s="260"/>
      <c r="U315" s="260"/>
      <c r="V315" s="260"/>
      <c r="W315" s="260"/>
      <c r="X315" s="260"/>
      <c r="Y315" s="260"/>
      <c r="Z315" s="260"/>
      <c r="AA315" s="260"/>
      <c r="AB315" s="260"/>
      <c r="AC315" s="260"/>
      <c r="AD315" s="260"/>
      <c r="AE315" s="260"/>
      <c r="AF315" s="260"/>
      <c r="AG315" s="260"/>
      <c r="AH315" s="260"/>
      <c r="AI315" s="261"/>
    </row>
    <row r="316" spans="1:35" ht="15" customHeight="1" x14ac:dyDescent="0.45">
      <c r="A316" s="259"/>
      <c r="B316" s="260"/>
      <c r="C316" s="260"/>
      <c r="D316" s="260"/>
      <c r="E316" s="260"/>
      <c r="F316" s="260"/>
      <c r="G316" s="260"/>
      <c r="H316" s="260"/>
      <c r="I316" s="260"/>
      <c r="J316" s="260"/>
      <c r="K316" s="260"/>
      <c r="L316" s="260"/>
      <c r="M316" s="260"/>
      <c r="N316" s="260"/>
      <c r="O316" s="260"/>
      <c r="P316" s="260"/>
      <c r="Q316" s="260"/>
      <c r="R316" s="260"/>
      <c r="S316" s="260"/>
      <c r="T316" s="260"/>
      <c r="U316" s="260"/>
      <c r="V316" s="260"/>
      <c r="W316" s="260"/>
      <c r="X316" s="260"/>
      <c r="Y316" s="260"/>
      <c r="Z316" s="260"/>
      <c r="AA316" s="260"/>
      <c r="AB316" s="260"/>
      <c r="AC316" s="260"/>
      <c r="AD316" s="260"/>
      <c r="AE316" s="260"/>
      <c r="AF316" s="260"/>
      <c r="AG316" s="260"/>
      <c r="AH316" s="260"/>
      <c r="AI316" s="261"/>
    </row>
    <row r="317" spans="1:35" ht="15" customHeight="1" x14ac:dyDescent="0.45">
      <c r="A317" s="259"/>
      <c r="B317" s="260"/>
      <c r="C317" s="260"/>
      <c r="D317" s="260"/>
      <c r="E317" s="260"/>
      <c r="F317" s="260"/>
      <c r="G317" s="260"/>
      <c r="H317" s="260"/>
      <c r="I317" s="260"/>
      <c r="J317" s="260"/>
      <c r="K317" s="260"/>
      <c r="L317" s="260"/>
      <c r="M317" s="260"/>
      <c r="N317" s="260"/>
      <c r="O317" s="260"/>
      <c r="P317" s="260"/>
      <c r="Q317" s="260"/>
      <c r="R317" s="260"/>
      <c r="S317" s="260"/>
      <c r="T317" s="260"/>
      <c r="U317" s="260"/>
      <c r="V317" s="260"/>
      <c r="W317" s="260"/>
      <c r="X317" s="260"/>
      <c r="Y317" s="260"/>
      <c r="Z317" s="260"/>
      <c r="AA317" s="260"/>
      <c r="AB317" s="260"/>
      <c r="AC317" s="260"/>
      <c r="AD317" s="260"/>
      <c r="AE317" s="260"/>
      <c r="AF317" s="260"/>
      <c r="AG317" s="260"/>
      <c r="AH317" s="260"/>
      <c r="AI317" s="261"/>
    </row>
    <row r="318" spans="1:35" ht="15" customHeight="1" x14ac:dyDescent="0.45">
      <c r="A318" s="259"/>
      <c r="B318" s="260"/>
      <c r="C318" s="260"/>
      <c r="D318" s="260"/>
      <c r="E318" s="260"/>
      <c r="F318" s="260"/>
      <c r="G318" s="260"/>
      <c r="H318" s="260"/>
      <c r="I318" s="260"/>
      <c r="J318" s="260"/>
      <c r="K318" s="260"/>
      <c r="L318" s="260"/>
      <c r="M318" s="260"/>
      <c r="N318" s="260"/>
      <c r="O318" s="260"/>
      <c r="P318" s="260"/>
      <c r="Q318" s="260"/>
      <c r="R318" s="260"/>
      <c r="S318" s="260"/>
      <c r="T318" s="260"/>
      <c r="U318" s="260"/>
      <c r="V318" s="260"/>
      <c r="W318" s="260"/>
      <c r="X318" s="260"/>
      <c r="Y318" s="260"/>
      <c r="Z318" s="260"/>
      <c r="AA318" s="260"/>
      <c r="AB318" s="260"/>
      <c r="AC318" s="260"/>
      <c r="AD318" s="260"/>
      <c r="AE318" s="260"/>
      <c r="AF318" s="260"/>
      <c r="AG318" s="260"/>
      <c r="AH318" s="260"/>
      <c r="AI318" s="261"/>
    </row>
    <row r="319" spans="1:35" ht="15" customHeight="1" x14ac:dyDescent="0.45">
      <c r="A319" s="259"/>
      <c r="B319" s="260"/>
      <c r="C319" s="260"/>
      <c r="D319" s="260"/>
      <c r="E319" s="260"/>
      <c r="F319" s="260"/>
      <c r="G319" s="260"/>
      <c r="H319" s="260"/>
      <c r="I319" s="260"/>
      <c r="J319" s="260"/>
      <c r="K319" s="260"/>
      <c r="L319" s="260"/>
      <c r="M319" s="260"/>
      <c r="N319" s="260"/>
      <c r="O319" s="260"/>
      <c r="P319" s="260"/>
      <c r="Q319" s="260"/>
      <c r="R319" s="260"/>
      <c r="S319" s="260"/>
      <c r="T319" s="260"/>
      <c r="U319" s="260"/>
      <c r="V319" s="260"/>
      <c r="W319" s="260"/>
      <c r="X319" s="260"/>
      <c r="Y319" s="260"/>
      <c r="Z319" s="260"/>
      <c r="AA319" s="260"/>
      <c r="AB319" s="260"/>
      <c r="AC319" s="260"/>
      <c r="AD319" s="260"/>
      <c r="AE319" s="260"/>
      <c r="AF319" s="260"/>
      <c r="AG319" s="260"/>
      <c r="AH319" s="260"/>
      <c r="AI319" s="261"/>
    </row>
    <row r="320" spans="1:35" ht="15" customHeight="1" x14ac:dyDescent="0.45">
      <c r="A320" s="259"/>
      <c r="B320" s="260"/>
      <c r="C320" s="260"/>
      <c r="D320" s="260"/>
      <c r="E320" s="260"/>
      <c r="F320" s="260"/>
      <c r="G320" s="260"/>
      <c r="H320" s="260"/>
      <c r="I320" s="260"/>
      <c r="J320" s="260"/>
      <c r="K320" s="260"/>
      <c r="L320" s="260"/>
      <c r="M320" s="260"/>
      <c r="N320" s="260"/>
      <c r="O320" s="260"/>
      <c r="P320" s="260"/>
      <c r="Q320" s="260"/>
      <c r="R320" s="260"/>
      <c r="S320" s="260"/>
      <c r="T320" s="260"/>
      <c r="U320" s="260"/>
      <c r="V320" s="260"/>
      <c r="W320" s="260"/>
      <c r="X320" s="260"/>
      <c r="Y320" s="260"/>
      <c r="Z320" s="260"/>
      <c r="AA320" s="260"/>
      <c r="AB320" s="260"/>
      <c r="AC320" s="260"/>
      <c r="AD320" s="260"/>
      <c r="AE320" s="260"/>
      <c r="AF320" s="260"/>
      <c r="AG320" s="260"/>
      <c r="AH320" s="260"/>
      <c r="AI320" s="261"/>
    </row>
    <row r="321" spans="1:37" ht="15" customHeight="1" x14ac:dyDescent="0.45">
      <c r="A321" s="259"/>
      <c r="B321" s="260"/>
      <c r="C321" s="260"/>
      <c r="D321" s="260"/>
      <c r="E321" s="260"/>
      <c r="F321" s="260"/>
      <c r="G321" s="260"/>
      <c r="H321" s="260"/>
      <c r="I321" s="260"/>
      <c r="J321" s="260"/>
      <c r="K321" s="260"/>
      <c r="L321" s="260"/>
      <c r="M321" s="260"/>
      <c r="N321" s="260"/>
      <c r="O321" s="260"/>
      <c r="P321" s="260"/>
      <c r="Q321" s="260"/>
      <c r="R321" s="260"/>
      <c r="S321" s="260"/>
      <c r="T321" s="260"/>
      <c r="U321" s="260"/>
      <c r="V321" s="260"/>
      <c r="W321" s="260"/>
      <c r="X321" s="260"/>
      <c r="Y321" s="260"/>
      <c r="Z321" s="260"/>
      <c r="AA321" s="260"/>
      <c r="AB321" s="260"/>
      <c r="AC321" s="260"/>
      <c r="AD321" s="260"/>
      <c r="AE321" s="260"/>
      <c r="AF321" s="260"/>
      <c r="AG321" s="260"/>
      <c r="AH321" s="260"/>
      <c r="AI321" s="261"/>
    </row>
    <row r="322" spans="1:37" ht="15" customHeight="1" x14ac:dyDescent="0.45">
      <c r="A322" s="259"/>
      <c r="B322" s="260"/>
      <c r="C322" s="260"/>
      <c r="D322" s="260"/>
      <c r="E322" s="260"/>
      <c r="F322" s="260"/>
      <c r="G322" s="260"/>
      <c r="H322" s="260"/>
      <c r="I322" s="260"/>
      <c r="J322" s="260"/>
      <c r="K322" s="260"/>
      <c r="L322" s="260"/>
      <c r="M322" s="260"/>
      <c r="N322" s="260"/>
      <c r="O322" s="260"/>
      <c r="P322" s="260"/>
      <c r="Q322" s="260"/>
      <c r="R322" s="260"/>
      <c r="S322" s="260"/>
      <c r="T322" s="260"/>
      <c r="U322" s="260"/>
      <c r="V322" s="260"/>
      <c r="W322" s="260"/>
      <c r="X322" s="260"/>
      <c r="Y322" s="260"/>
      <c r="Z322" s="260"/>
      <c r="AA322" s="260"/>
      <c r="AB322" s="260"/>
      <c r="AC322" s="260"/>
      <c r="AD322" s="260"/>
      <c r="AE322" s="260"/>
      <c r="AF322" s="260"/>
      <c r="AG322" s="260"/>
      <c r="AH322" s="260"/>
      <c r="AI322" s="261"/>
    </row>
    <row r="323" spans="1:37" ht="15" customHeight="1" x14ac:dyDescent="0.45">
      <c r="A323" s="259"/>
      <c r="B323" s="260"/>
      <c r="C323" s="260"/>
      <c r="D323" s="260"/>
      <c r="E323" s="260"/>
      <c r="F323" s="260"/>
      <c r="G323" s="260"/>
      <c r="H323" s="260"/>
      <c r="I323" s="260"/>
      <c r="J323" s="260"/>
      <c r="K323" s="260"/>
      <c r="L323" s="260"/>
      <c r="M323" s="260"/>
      <c r="N323" s="260"/>
      <c r="O323" s="260"/>
      <c r="P323" s="260"/>
      <c r="Q323" s="260"/>
      <c r="R323" s="260"/>
      <c r="S323" s="260"/>
      <c r="T323" s="260"/>
      <c r="U323" s="260"/>
      <c r="V323" s="260"/>
      <c r="W323" s="260"/>
      <c r="X323" s="260"/>
      <c r="Y323" s="260"/>
      <c r="Z323" s="260"/>
      <c r="AA323" s="260"/>
      <c r="AB323" s="260"/>
      <c r="AC323" s="260"/>
      <c r="AD323" s="260"/>
      <c r="AE323" s="260"/>
      <c r="AF323" s="260"/>
      <c r="AG323" s="260"/>
      <c r="AH323" s="260"/>
      <c r="AI323" s="261"/>
    </row>
    <row r="324" spans="1:37" ht="15" customHeight="1" x14ac:dyDescent="0.45">
      <c r="A324" s="259"/>
      <c r="B324" s="260"/>
      <c r="C324" s="260"/>
      <c r="D324" s="260"/>
      <c r="E324" s="260"/>
      <c r="F324" s="260"/>
      <c r="G324" s="260"/>
      <c r="H324" s="260"/>
      <c r="I324" s="260"/>
      <c r="J324" s="260"/>
      <c r="K324" s="260"/>
      <c r="L324" s="260"/>
      <c r="M324" s="260"/>
      <c r="N324" s="260"/>
      <c r="O324" s="260"/>
      <c r="P324" s="260"/>
      <c r="Q324" s="260"/>
      <c r="R324" s="260"/>
      <c r="S324" s="260"/>
      <c r="T324" s="260"/>
      <c r="U324" s="260"/>
      <c r="V324" s="260"/>
      <c r="W324" s="260"/>
      <c r="X324" s="260"/>
      <c r="Y324" s="260"/>
      <c r="Z324" s="260"/>
      <c r="AA324" s="260"/>
      <c r="AB324" s="260"/>
      <c r="AC324" s="260"/>
      <c r="AD324" s="260"/>
      <c r="AE324" s="260"/>
      <c r="AF324" s="260"/>
      <c r="AG324" s="260"/>
      <c r="AH324" s="260"/>
      <c r="AI324" s="261"/>
    </row>
    <row r="325" spans="1:37" ht="15" customHeight="1" x14ac:dyDescent="0.45">
      <c r="A325" s="259"/>
      <c r="B325" s="260"/>
      <c r="C325" s="260"/>
      <c r="D325" s="260"/>
      <c r="E325" s="260"/>
      <c r="F325" s="260"/>
      <c r="G325" s="260"/>
      <c r="H325" s="260"/>
      <c r="I325" s="260"/>
      <c r="J325" s="260"/>
      <c r="K325" s="260"/>
      <c r="L325" s="260"/>
      <c r="M325" s="260"/>
      <c r="N325" s="260"/>
      <c r="O325" s="260"/>
      <c r="P325" s="260"/>
      <c r="Q325" s="260"/>
      <c r="R325" s="260"/>
      <c r="S325" s="260"/>
      <c r="T325" s="260"/>
      <c r="U325" s="260"/>
      <c r="V325" s="260"/>
      <c r="W325" s="260"/>
      <c r="X325" s="260"/>
      <c r="Y325" s="260"/>
      <c r="Z325" s="260"/>
      <c r="AA325" s="260"/>
      <c r="AB325" s="260"/>
      <c r="AC325" s="260"/>
      <c r="AD325" s="260"/>
      <c r="AE325" s="260"/>
      <c r="AF325" s="260"/>
      <c r="AG325" s="260"/>
      <c r="AH325" s="260"/>
      <c r="AI325" s="261"/>
    </row>
    <row r="326" spans="1:37" ht="15" customHeight="1" x14ac:dyDescent="0.45">
      <c r="A326" s="259"/>
      <c r="B326" s="260"/>
      <c r="C326" s="260"/>
      <c r="D326" s="260"/>
      <c r="E326" s="260"/>
      <c r="F326" s="260"/>
      <c r="G326" s="260"/>
      <c r="H326" s="260"/>
      <c r="I326" s="260"/>
      <c r="J326" s="260"/>
      <c r="K326" s="260"/>
      <c r="L326" s="260"/>
      <c r="M326" s="260"/>
      <c r="N326" s="260"/>
      <c r="O326" s="260"/>
      <c r="P326" s="260"/>
      <c r="Q326" s="260"/>
      <c r="R326" s="260"/>
      <c r="S326" s="260"/>
      <c r="T326" s="260"/>
      <c r="U326" s="260"/>
      <c r="V326" s="260"/>
      <c r="W326" s="260"/>
      <c r="X326" s="260"/>
      <c r="Y326" s="260"/>
      <c r="Z326" s="260"/>
      <c r="AA326" s="260"/>
      <c r="AB326" s="260"/>
      <c r="AC326" s="260"/>
      <c r="AD326" s="260"/>
      <c r="AE326" s="260"/>
      <c r="AF326" s="260"/>
      <c r="AG326" s="260"/>
      <c r="AH326" s="260"/>
      <c r="AI326" s="261"/>
    </row>
    <row r="327" spans="1:37" ht="15" customHeight="1" x14ac:dyDescent="0.45">
      <c r="A327" s="259"/>
      <c r="B327" s="260"/>
      <c r="C327" s="260"/>
      <c r="D327" s="260"/>
      <c r="E327" s="260"/>
      <c r="F327" s="260"/>
      <c r="G327" s="260"/>
      <c r="H327" s="260"/>
      <c r="I327" s="260"/>
      <c r="J327" s="260"/>
      <c r="K327" s="260"/>
      <c r="L327" s="260"/>
      <c r="M327" s="260"/>
      <c r="N327" s="260"/>
      <c r="O327" s="260"/>
      <c r="P327" s="260"/>
      <c r="Q327" s="260"/>
      <c r="R327" s="260"/>
      <c r="S327" s="260"/>
      <c r="T327" s="260"/>
      <c r="U327" s="260"/>
      <c r="V327" s="260"/>
      <c r="W327" s="260"/>
      <c r="X327" s="260"/>
      <c r="Y327" s="260"/>
      <c r="Z327" s="260"/>
      <c r="AA327" s="260"/>
      <c r="AB327" s="260"/>
      <c r="AC327" s="260"/>
      <c r="AD327" s="260"/>
      <c r="AE327" s="260"/>
      <c r="AF327" s="260"/>
      <c r="AG327" s="260"/>
      <c r="AH327" s="260"/>
      <c r="AI327" s="261"/>
    </row>
    <row r="328" spans="1:37" ht="15" customHeight="1" x14ac:dyDescent="0.45">
      <c r="A328" s="262"/>
      <c r="B328" s="263"/>
      <c r="C328" s="263"/>
      <c r="D328" s="263"/>
      <c r="E328" s="263"/>
      <c r="F328" s="263"/>
      <c r="G328" s="263"/>
      <c r="H328" s="263"/>
      <c r="I328" s="263"/>
      <c r="J328" s="263"/>
      <c r="K328" s="263"/>
      <c r="L328" s="263"/>
      <c r="M328" s="263"/>
      <c r="N328" s="263"/>
      <c r="O328" s="263"/>
      <c r="P328" s="263"/>
      <c r="Q328" s="263"/>
      <c r="R328" s="263"/>
      <c r="S328" s="263"/>
      <c r="T328" s="263"/>
      <c r="U328" s="263"/>
      <c r="V328" s="263"/>
      <c r="W328" s="263"/>
      <c r="X328" s="263"/>
      <c r="Y328" s="263"/>
      <c r="Z328" s="263"/>
      <c r="AA328" s="263"/>
      <c r="AB328" s="263"/>
      <c r="AC328" s="263"/>
      <c r="AD328" s="263"/>
      <c r="AE328" s="263"/>
      <c r="AF328" s="263"/>
      <c r="AG328" s="263"/>
      <c r="AH328" s="263"/>
      <c r="AI328" s="264"/>
    </row>
    <row r="329" spans="1:37" ht="15" customHeight="1" x14ac:dyDescent="0.45"/>
    <row r="330" spans="1:37" ht="15" customHeight="1" x14ac:dyDescent="0.45">
      <c r="A330" s="14" t="s">
        <v>194</v>
      </c>
      <c r="B330" s="14"/>
      <c r="C330" s="14"/>
      <c r="D330" s="14"/>
      <c r="E330" s="14"/>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66"/>
      <c r="AD330" s="66"/>
      <c r="AE330" s="66"/>
      <c r="AF330" s="66"/>
      <c r="AG330" s="66"/>
      <c r="AH330" s="66"/>
      <c r="AI330" s="66"/>
    </row>
    <row r="331" spans="1:37" ht="15" customHeight="1" x14ac:dyDescent="0.45"/>
    <row r="332" spans="1:37" ht="15" customHeight="1" x14ac:dyDescent="0.45"/>
    <row r="333" spans="1:37" ht="15" customHeight="1" x14ac:dyDescent="0.45"/>
    <row r="334" spans="1:37" ht="15" customHeight="1" x14ac:dyDescent="0.45"/>
    <row r="335" spans="1:37" ht="15" customHeight="1" x14ac:dyDescent="0.45">
      <c r="AK335" s="6" t="s">
        <v>195</v>
      </c>
    </row>
    <row r="336" spans="1:37" ht="15" customHeight="1" x14ac:dyDescent="0.45">
      <c r="AK336" s="6" t="s">
        <v>196</v>
      </c>
    </row>
    <row r="337" spans="37:37" ht="15" customHeight="1" x14ac:dyDescent="0.45">
      <c r="AK337" s="6" t="s">
        <v>197</v>
      </c>
    </row>
    <row r="338" spans="37:37" ht="15" customHeight="1" x14ac:dyDescent="0.45">
      <c r="AK338" s="6" t="s">
        <v>172</v>
      </c>
    </row>
    <row r="339" spans="37:37" ht="15" customHeight="1" x14ac:dyDescent="0.45"/>
    <row r="340" spans="37:37" ht="15" customHeight="1" x14ac:dyDescent="0.45"/>
    <row r="341" spans="37:37" ht="15" customHeight="1" x14ac:dyDescent="0.45"/>
    <row r="342" spans="37:37" ht="15" customHeight="1" x14ac:dyDescent="0.45"/>
    <row r="343" spans="37:37" ht="15" customHeight="1" x14ac:dyDescent="0.45"/>
    <row r="344" spans="37:37" ht="15" customHeight="1" x14ac:dyDescent="0.45"/>
    <row r="345" spans="37:37" ht="15" customHeight="1" x14ac:dyDescent="0.45"/>
    <row r="346" spans="37:37" ht="15" customHeight="1" x14ac:dyDescent="0.45"/>
    <row r="347" spans="37:37" ht="15" customHeight="1" x14ac:dyDescent="0.45"/>
    <row r="348" spans="37:37" ht="15" customHeight="1" x14ac:dyDescent="0.45"/>
    <row r="349" spans="37:37" ht="15" customHeight="1" x14ac:dyDescent="0.45"/>
    <row r="350" spans="37:37" ht="15" customHeight="1" x14ac:dyDescent="0.45"/>
    <row r="351" spans="37:37" ht="15" customHeight="1" x14ac:dyDescent="0.45"/>
    <row r="352" spans="37:37" ht="15" customHeight="1" x14ac:dyDescent="0.45"/>
    <row r="353" ht="15" customHeight="1" x14ac:dyDescent="0.45"/>
    <row r="354" ht="15" customHeight="1" x14ac:dyDescent="0.45"/>
    <row r="355" ht="15" customHeight="1" x14ac:dyDescent="0.45"/>
    <row r="356" ht="15" customHeight="1" x14ac:dyDescent="0.45"/>
    <row r="357" ht="15" customHeight="1" x14ac:dyDescent="0.45"/>
    <row r="358" ht="15" customHeight="1" x14ac:dyDescent="0.45"/>
    <row r="359" ht="15" customHeight="1" x14ac:dyDescent="0.45"/>
    <row r="360" ht="15" customHeight="1" x14ac:dyDescent="0.45"/>
    <row r="361" ht="15" customHeight="1" x14ac:dyDescent="0.45"/>
    <row r="362" ht="15" customHeight="1" x14ac:dyDescent="0.45"/>
    <row r="363" ht="15" customHeight="1" x14ac:dyDescent="0.45"/>
    <row r="364" ht="15" customHeight="1" x14ac:dyDescent="0.45"/>
    <row r="365" ht="15" customHeight="1" x14ac:dyDescent="0.45"/>
    <row r="366" ht="15" customHeight="1" x14ac:dyDescent="0.45"/>
    <row r="367" ht="15" customHeight="1" x14ac:dyDescent="0.45"/>
    <row r="368" ht="15" customHeight="1" x14ac:dyDescent="0.45"/>
    <row r="369" spans="1:35" ht="15" customHeight="1" x14ac:dyDescent="0.45"/>
    <row r="370" spans="1:35" ht="15" customHeight="1" x14ac:dyDescent="0.45"/>
    <row r="371" spans="1:35" ht="15" customHeight="1" x14ac:dyDescent="0.45"/>
    <row r="372" spans="1:35" ht="15" customHeight="1" x14ac:dyDescent="0.45"/>
    <row r="373" spans="1:35" ht="15" customHeight="1" x14ac:dyDescent="0.45"/>
    <row r="374" spans="1:35" ht="15" customHeight="1" x14ac:dyDescent="0.45"/>
    <row r="375" spans="1:35" ht="15" customHeight="1" x14ac:dyDescent="0.45"/>
    <row r="376" spans="1:35" ht="15" customHeight="1" x14ac:dyDescent="0.45"/>
    <row r="377" spans="1:35" ht="15" customHeight="1" x14ac:dyDescent="0.45"/>
    <row r="378" spans="1:35" ht="15" customHeight="1" x14ac:dyDescent="0.45"/>
    <row r="379" spans="1:35" ht="15" customHeight="1" x14ac:dyDescent="0.45">
      <c r="A379" s="14" t="s">
        <v>198</v>
      </c>
      <c r="B379" s="14"/>
      <c r="C379" s="14"/>
      <c r="D379" s="14"/>
      <c r="E379" s="14"/>
      <c r="F379" s="15" t="s">
        <v>199</v>
      </c>
      <c r="G379" s="15"/>
      <c r="H379" s="15"/>
      <c r="I379" s="15"/>
      <c r="J379" s="15"/>
      <c r="K379" s="15"/>
      <c r="L379" s="15"/>
      <c r="M379" s="15"/>
      <c r="N379" s="15"/>
      <c r="O379" s="15"/>
      <c r="P379" s="15"/>
      <c r="Q379" s="15"/>
      <c r="R379" s="15"/>
      <c r="S379" s="15"/>
      <c r="T379" s="15"/>
      <c r="U379" s="15"/>
      <c r="V379" s="15"/>
      <c r="W379" s="15"/>
      <c r="X379" s="15"/>
      <c r="Y379" s="15"/>
      <c r="Z379" s="15"/>
      <c r="AA379" s="15"/>
      <c r="AB379" s="15"/>
      <c r="AC379" s="66" t="s">
        <v>194</v>
      </c>
      <c r="AD379" s="66"/>
      <c r="AE379" s="66"/>
      <c r="AF379" s="66"/>
      <c r="AG379" s="66"/>
      <c r="AH379" s="66"/>
      <c r="AI379" s="66"/>
    </row>
    <row r="380" spans="1:35" ht="15" customHeight="1" x14ac:dyDescent="0.45"/>
    <row r="381" spans="1:35" ht="15" customHeight="1" thickBot="1" x14ac:dyDescent="0.5">
      <c r="A381" s="78" t="s">
        <v>98</v>
      </c>
      <c r="B381" s="79"/>
      <c r="C381" s="80"/>
      <c r="D381" s="78" t="s">
        <v>99</v>
      </c>
      <c r="E381" s="79"/>
      <c r="F381" s="79"/>
      <c r="G381" s="79"/>
      <c r="H381" s="79"/>
      <c r="I381" s="79"/>
      <c r="J381" s="79"/>
      <c r="K381" s="79"/>
      <c r="L381" s="79"/>
      <c r="M381" s="79"/>
      <c r="N381" s="79"/>
      <c r="O381" s="79"/>
      <c r="P381" s="79"/>
      <c r="Q381" s="79"/>
      <c r="R381" s="79"/>
      <c r="S381" s="79"/>
      <c r="T381" s="79"/>
      <c r="U381" s="79"/>
      <c r="V381" s="79"/>
      <c r="W381" s="79"/>
      <c r="X381" s="79"/>
      <c r="Y381" s="79"/>
      <c r="Z381" s="79"/>
      <c r="AA381" s="79"/>
      <c r="AB381" s="79"/>
      <c r="AC381" s="80"/>
      <c r="AD381" s="78" t="s">
        <v>100</v>
      </c>
      <c r="AE381" s="79"/>
      <c r="AF381" s="79"/>
      <c r="AG381" s="79"/>
      <c r="AH381" s="79"/>
      <c r="AI381" s="80"/>
    </row>
    <row r="382" spans="1:35" ht="15" customHeight="1" thickTop="1" x14ac:dyDescent="0.45">
      <c r="A382" s="188"/>
      <c r="B382" s="189"/>
      <c r="C382" s="190"/>
      <c r="D382" s="191"/>
      <c r="E382" s="192"/>
      <c r="F382" s="192"/>
      <c r="G382" s="192"/>
      <c r="H382" s="192"/>
      <c r="I382" s="192"/>
      <c r="J382" s="192"/>
      <c r="K382" s="192"/>
      <c r="L382" s="192"/>
      <c r="M382" s="192"/>
      <c r="N382" s="192"/>
      <c r="O382" s="192"/>
      <c r="P382" s="192"/>
      <c r="Q382" s="192"/>
      <c r="R382" s="192"/>
      <c r="S382" s="192"/>
      <c r="T382" s="192"/>
      <c r="U382" s="192"/>
      <c r="V382" s="192"/>
      <c r="W382" s="192"/>
      <c r="X382" s="192"/>
      <c r="Y382" s="192"/>
      <c r="Z382" s="192"/>
      <c r="AA382" s="192"/>
      <c r="AB382" s="192"/>
      <c r="AC382" s="193"/>
      <c r="AD382" s="143"/>
      <c r="AE382" s="103"/>
      <c r="AF382" s="103"/>
      <c r="AG382" s="103"/>
      <c r="AH382" s="103"/>
      <c r="AI382" s="104"/>
    </row>
    <row r="383" spans="1:35" ht="15" customHeight="1" x14ac:dyDescent="0.45">
      <c r="A383" s="265" t="s">
        <v>159</v>
      </c>
      <c r="B383" s="266"/>
      <c r="C383" s="267"/>
      <c r="D383" s="86" t="s">
        <v>200</v>
      </c>
      <c r="E383" s="87"/>
      <c r="F383" s="87"/>
      <c r="G383" s="87"/>
      <c r="H383" s="87"/>
      <c r="I383" s="87"/>
      <c r="J383" s="87"/>
      <c r="K383" s="87"/>
      <c r="L383" s="87"/>
      <c r="M383" s="87"/>
      <c r="N383" s="87"/>
      <c r="O383" s="87"/>
      <c r="P383" s="87"/>
      <c r="Q383" s="87"/>
      <c r="R383" s="87"/>
      <c r="S383" s="87"/>
      <c r="T383" s="87"/>
      <c r="U383" s="87"/>
      <c r="V383" s="87"/>
      <c r="W383" s="87"/>
      <c r="X383" s="87"/>
      <c r="Y383" s="87"/>
      <c r="Z383" s="87"/>
      <c r="AA383" s="87"/>
      <c r="AB383" s="87"/>
      <c r="AC383" s="268"/>
      <c r="AD383" s="269" t="s">
        <v>201</v>
      </c>
      <c r="AE383" s="148"/>
      <c r="AF383" s="148"/>
      <c r="AG383" s="148"/>
      <c r="AH383" s="148"/>
      <c r="AI383" s="201"/>
    </row>
    <row r="384" spans="1:35" ht="15" customHeight="1" x14ac:dyDescent="0.45">
      <c r="A384" s="270"/>
      <c r="B384" s="271"/>
      <c r="C384" s="272"/>
      <c r="D384" s="96" t="s">
        <v>202</v>
      </c>
      <c r="E384" s="97"/>
      <c r="F384" s="97"/>
      <c r="G384" s="97"/>
      <c r="H384" s="97"/>
      <c r="I384" s="97"/>
      <c r="J384" s="97"/>
      <c r="K384" s="97"/>
      <c r="L384" s="97"/>
      <c r="N384" s="51"/>
      <c r="O384" s="273"/>
      <c r="P384" s="273"/>
      <c r="Q384" s="97" t="str">
        <f>V$1 &amp; " Road Approach"</f>
        <v>N Road Approach</v>
      </c>
      <c r="R384" s="97"/>
      <c r="S384" s="97"/>
      <c r="T384" s="97"/>
      <c r="U384" s="97"/>
      <c r="V384" s="97"/>
      <c r="W384" s="273"/>
      <c r="X384" s="273"/>
      <c r="Y384" s="97" t="str">
        <f>Z$1&amp;" RoadApproach"</f>
        <v>S RoadApproach</v>
      </c>
      <c r="Z384" s="97"/>
      <c r="AA384" s="97"/>
      <c r="AB384" s="97"/>
      <c r="AC384" s="274"/>
      <c r="AD384" s="152"/>
      <c r="AE384" s="153"/>
      <c r="AF384" s="153"/>
      <c r="AG384" s="153"/>
      <c r="AH384" s="153"/>
      <c r="AI384" s="275"/>
    </row>
    <row r="385" spans="1:35" ht="15" customHeight="1" x14ac:dyDescent="0.45">
      <c r="A385" s="270"/>
      <c r="B385" s="271"/>
      <c r="C385" s="272"/>
      <c r="D385" s="96" t="s">
        <v>203</v>
      </c>
      <c r="E385" s="97"/>
      <c r="F385" s="97"/>
      <c r="G385" s="97"/>
      <c r="H385" s="97"/>
      <c r="I385" s="97"/>
      <c r="J385" s="97"/>
      <c r="K385" s="97"/>
      <c r="L385" s="97"/>
      <c r="N385" s="51"/>
      <c r="O385" s="273"/>
      <c r="P385" s="273"/>
      <c r="Q385" s="97" t="str">
        <f>V$1 &amp; " Road Approach"</f>
        <v>N Road Approach</v>
      </c>
      <c r="R385" s="97"/>
      <c r="S385" s="97"/>
      <c r="T385" s="97"/>
      <c r="U385" s="97"/>
      <c r="V385" s="97"/>
      <c r="W385" s="273"/>
      <c r="X385" s="273"/>
      <c r="Y385" s="97" t="str">
        <f>Z$1 &amp; " Road Approach"</f>
        <v>S Road Approach</v>
      </c>
      <c r="Z385" s="97"/>
      <c r="AA385" s="97"/>
      <c r="AB385" s="97"/>
      <c r="AC385" s="274"/>
      <c r="AD385" s="152"/>
      <c r="AE385" s="153"/>
      <c r="AF385" s="153"/>
      <c r="AG385" s="153"/>
      <c r="AH385" s="153"/>
      <c r="AI385" s="275"/>
    </row>
    <row r="386" spans="1:35" ht="15" customHeight="1" x14ac:dyDescent="0.45">
      <c r="A386" s="276"/>
      <c r="B386" s="277"/>
      <c r="C386" s="278"/>
      <c r="D386" s="279" t="s">
        <v>204</v>
      </c>
      <c r="E386" s="111"/>
      <c r="F386" s="111"/>
      <c r="G386" s="111"/>
      <c r="H386" s="111"/>
      <c r="I386" s="111"/>
      <c r="J386" s="111"/>
      <c r="K386" s="111"/>
      <c r="L386" s="111"/>
      <c r="M386" s="111"/>
      <c r="N386" s="111"/>
      <c r="O386" s="280"/>
      <c r="P386" s="280"/>
      <c r="Q386" s="111" t="str">
        <f>V$1 &amp; " Road Approach"</f>
        <v>N Road Approach</v>
      </c>
      <c r="R386" s="111"/>
      <c r="S386" s="111"/>
      <c r="T386" s="111"/>
      <c r="U386" s="111"/>
      <c r="V386" s="111"/>
      <c r="W386" s="280"/>
      <c r="X386" s="280"/>
      <c r="Y386" s="111" t="str">
        <f>Z$1 &amp; " Road Approach"</f>
        <v>S Road Approach</v>
      </c>
      <c r="Z386" s="111"/>
      <c r="AA386" s="111"/>
      <c r="AB386" s="111"/>
      <c r="AC386" s="281"/>
      <c r="AD386" s="154"/>
      <c r="AE386" s="155"/>
      <c r="AF386" s="155"/>
      <c r="AG386" s="155"/>
      <c r="AH386" s="155"/>
      <c r="AI386" s="194"/>
    </row>
    <row r="387" spans="1:35" ht="15" customHeight="1" x14ac:dyDescent="0.45">
      <c r="A387" s="265" t="s">
        <v>180</v>
      </c>
      <c r="B387" s="266"/>
      <c r="C387" s="267"/>
      <c r="D387" s="86" t="s">
        <v>205</v>
      </c>
      <c r="E387" s="87"/>
      <c r="F387" s="87"/>
      <c r="G387" s="87"/>
      <c r="H387" s="87"/>
      <c r="I387" s="87"/>
      <c r="J387" s="87"/>
      <c r="K387" s="87"/>
      <c r="L387" s="87"/>
      <c r="M387" s="87"/>
      <c r="N387" s="87"/>
      <c r="O387" s="87"/>
      <c r="P387" s="87"/>
      <c r="Q387" s="87"/>
      <c r="R387" s="87"/>
      <c r="S387" s="87"/>
      <c r="T387" s="87"/>
      <c r="U387" s="87"/>
      <c r="V387" s="87"/>
      <c r="X387" s="89"/>
      <c r="Y387" s="89"/>
      <c r="Z387" s="89"/>
      <c r="AA387" s="89"/>
      <c r="AB387" s="18"/>
      <c r="AC387" s="19"/>
      <c r="AD387" s="147"/>
      <c r="AE387" s="148"/>
      <c r="AF387" s="148"/>
      <c r="AG387" s="148"/>
      <c r="AH387" s="148"/>
      <c r="AI387" s="201"/>
    </row>
    <row r="388" spans="1:35" ht="15" customHeight="1" x14ac:dyDescent="0.45">
      <c r="A388" s="270"/>
      <c r="B388" s="271"/>
      <c r="C388" s="272"/>
      <c r="D388" s="282" t="s">
        <v>206</v>
      </c>
      <c r="E388" s="175"/>
      <c r="F388" s="175"/>
      <c r="G388" s="175"/>
      <c r="H388" s="175"/>
      <c r="I388" s="175"/>
      <c r="J388" s="175"/>
      <c r="K388" s="175"/>
      <c r="L388" s="175"/>
      <c r="M388" s="175"/>
      <c r="N388" s="175"/>
      <c r="O388" s="175"/>
      <c r="P388" s="175"/>
      <c r="Q388" s="175"/>
      <c r="R388" s="175"/>
      <c r="S388" s="175"/>
      <c r="T388" s="175"/>
      <c r="U388" s="175"/>
      <c r="V388" s="175"/>
      <c r="X388" s="48"/>
      <c r="Y388" s="48"/>
      <c r="Z388" s="48"/>
      <c r="AA388" s="48"/>
      <c r="AC388" s="25"/>
      <c r="AD388" s="154"/>
      <c r="AE388" s="155"/>
      <c r="AF388" s="155"/>
      <c r="AG388" s="155"/>
      <c r="AH388" s="155"/>
      <c r="AI388" s="194"/>
    </row>
    <row r="389" spans="1:35" ht="15" customHeight="1" x14ac:dyDescent="0.45">
      <c r="A389" s="276"/>
      <c r="B389" s="277"/>
      <c r="C389" s="278"/>
      <c r="D389" s="282"/>
      <c r="E389" s="175"/>
      <c r="F389" s="175"/>
      <c r="G389" s="175"/>
      <c r="H389" s="175"/>
      <c r="I389" s="175"/>
      <c r="J389" s="175"/>
      <c r="K389" s="175"/>
      <c r="L389" s="175"/>
      <c r="M389" s="175"/>
      <c r="N389" s="175"/>
      <c r="O389" s="175"/>
      <c r="P389" s="175"/>
      <c r="Q389" s="175"/>
      <c r="R389" s="175"/>
      <c r="S389" s="175"/>
      <c r="T389" s="175"/>
      <c r="U389" s="175"/>
      <c r="V389" s="175"/>
      <c r="W389" s="110"/>
      <c r="X389" s="48"/>
      <c r="Y389" s="48"/>
      <c r="Z389" s="48"/>
      <c r="AA389" s="48"/>
      <c r="AB389" s="110"/>
      <c r="AC389" s="113"/>
      <c r="AD389" s="147"/>
      <c r="AE389" s="148"/>
      <c r="AF389" s="148"/>
      <c r="AG389" s="148"/>
      <c r="AH389" s="148"/>
      <c r="AI389" s="201"/>
    </row>
    <row r="390" spans="1:35" ht="15" customHeight="1" x14ac:dyDescent="0.45">
      <c r="A390" s="265" t="s">
        <v>180</v>
      </c>
      <c r="B390" s="266"/>
      <c r="C390" s="267"/>
      <c r="D390" s="283" t="s">
        <v>207</v>
      </c>
      <c r="E390" s="284"/>
      <c r="F390" s="284"/>
      <c r="G390" s="284"/>
      <c r="H390" s="284"/>
      <c r="I390" s="284"/>
      <c r="J390" s="284"/>
      <c r="K390" s="284"/>
      <c r="L390" s="284"/>
      <c r="M390" s="284"/>
      <c r="N390" s="284"/>
      <c r="O390" s="284"/>
      <c r="P390" s="284"/>
      <c r="Q390" s="284"/>
      <c r="R390" s="284"/>
      <c r="S390" s="284"/>
      <c r="T390" s="284"/>
      <c r="U390" s="284"/>
      <c r="V390" s="284"/>
      <c r="W390" s="18"/>
      <c r="X390" s="89"/>
      <c r="Y390" s="89"/>
      <c r="Z390" s="89"/>
      <c r="AA390" s="89"/>
      <c r="AB390" s="89"/>
      <c r="AC390" s="19"/>
      <c r="AD390" s="152"/>
      <c r="AE390" s="153"/>
      <c r="AF390" s="153"/>
      <c r="AG390" s="153"/>
      <c r="AH390" s="153"/>
      <c r="AI390" s="275"/>
    </row>
    <row r="391" spans="1:35" ht="15" customHeight="1" x14ac:dyDescent="0.45">
      <c r="A391" s="276"/>
      <c r="B391" s="277"/>
      <c r="C391" s="278"/>
      <c r="D391" s="285"/>
      <c r="E391" s="286"/>
      <c r="F391" s="286"/>
      <c r="G391" s="286"/>
      <c r="H391" s="286"/>
      <c r="I391" s="286"/>
      <c r="J391" s="286"/>
      <c r="K391" s="286"/>
      <c r="L391" s="286"/>
      <c r="M391" s="286"/>
      <c r="N391" s="286"/>
      <c r="O391" s="286"/>
      <c r="P391" s="286"/>
      <c r="Q391" s="286"/>
      <c r="R391" s="286"/>
      <c r="S391" s="286"/>
      <c r="T391" s="286"/>
      <c r="U391" s="286"/>
      <c r="V391" s="286"/>
      <c r="W391" s="142"/>
      <c r="X391" s="48"/>
      <c r="Y391" s="48"/>
      <c r="Z391" s="48"/>
      <c r="AA391" s="48"/>
      <c r="AB391" s="48"/>
      <c r="AC391" s="113"/>
      <c r="AD391" s="154"/>
      <c r="AE391" s="155"/>
      <c r="AF391" s="155"/>
      <c r="AG391" s="155"/>
      <c r="AH391" s="155"/>
      <c r="AI391" s="194"/>
    </row>
    <row r="392" spans="1:35" ht="15" customHeight="1" x14ac:dyDescent="0.45"/>
    <row r="393" spans="1:35" ht="15" customHeight="1" x14ac:dyDescent="0.45">
      <c r="A393" s="176" t="s">
        <v>208</v>
      </c>
      <c r="B393" s="177"/>
      <c r="C393" s="177"/>
      <c r="D393" s="177"/>
      <c r="E393" s="177"/>
      <c r="F393" s="177"/>
      <c r="G393" s="177"/>
      <c r="H393" s="177"/>
      <c r="I393" s="177"/>
      <c r="J393" s="177"/>
      <c r="K393" s="177"/>
      <c r="L393" s="177"/>
      <c r="M393" s="177"/>
      <c r="N393" s="177"/>
      <c r="O393" s="177"/>
      <c r="P393" s="177"/>
      <c r="Q393" s="177"/>
      <c r="R393" s="177"/>
      <c r="S393" s="177"/>
      <c r="T393" s="177"/>
      <c r="U393" s="177"/>
      <c r="V393" s="177"/>
      <c r="W393" s="177"/>
      <c r="X393" s="177"/>
      <c r="Y393" s="177"/>
      <c r="Z393" s="177"/>
      <c r="AA393" s="177"/>
      <c r="AB393" s="177"/>
      <c r="AC393" s="177"/>
      <c r="AD393" s="177"/>
      <c r="AE393" s="177"/>
      <c r="AF393" s="177"/>
      <c r="AG393" s="177"/>
      <c r="AH393" s="177"/>
      <c r="AI393" s="178"/>
    </row>
    <row r="394" spans="1:35" ht="15" customHeight="1" x14ac:dyDescent="0.45">
      <c r="A394" s="256"/>
      <c r="B394" s="257"/>
      <c r="C394" s="257"/>
      <c r="D394" s="257"/>
      <c r="E394" s="257"/>
      <c r="F394" s="257"/>
      <c r="G394" s="257"/>
      <c r="H394" s="257"/>
      <c r="I394" s="257"/>
      <c r="J394" s="257"/>
      <c r="K394" s="257"/>
      <c r="L394" s="257"/>
      <c r="M394" s="257"/>
      <c r="N394" s="257"/>
      <c r="O394" s="257"/>
      <c r="P394" s="257"/>
      <c r="Q394" s="257"/>
      <c r="R394" s="257"/>
      <c r="S394" s="257"/>
      <c r="T394" s="257"/>
      <c r="U394" s="257"/>
      <c r="V394" s="257"/>
      <c r="W394" s="257"/>
      <c r="X394" s="257"/>
      <c r="Y394" s="257"/>
      <c r="Z394" s="257"/>
      <c r="AA394" s="257"/>
      <c r="AB394" s="257"/>
      <c r="AC394" s="257"/>
      <c r="AD394" s="257"/>
      <c r="AE394" s="257"/>
      <c r="AF394" s="257"/>
      <c r="AG394" s="257"/>
      <c r="AH394" s="257"/>
      <c r="AI394" s="258"/>
    </row>
    <row r="395" spans="1:35" ht="15" customHeight="1" x14ac:dyDescent="0.45">
      <c r="A395" s="259"/>
      <c r="B395" s="260"/>
      <c r="C395" s="260"/>
      <c r="D395" s="260"/>
      <c r="E395" s="260"/>
      <c r="F395" s="260"/>
      <c r="G395" s="260"/>
      <c r="H395" s="260"/>
      <c r="I395" s="260"/>
      <c r="J395" s="260"/>
      <c r="K395" s="260"/>
      <c r="L395" s="260"/>
      <c r="M395" s="260"/>
      <c r="N395" s="260"/>
      <c r="O395" s="260"/>
      <c r="P395" s="260"/>
      <c r="Q395" s="260"/>
      <c r="R395" s="260"/>
      <c r="S395" s="260"/>
      <c r="T395" s="260"/>
      <c r="U395" s="260"/>
      <c r="V395" s="260"/>
      <c r="W395" s="260"/>
      <c r="X395" s="260"/>
      <c r="Y395" s="260"/>
      <c r="Z395" s="260"/>
      <c r="AA395" s="260"/>
      <c r="AB395" s="260"/>
      <c r="AC395" s="260"/>
      <c r="AD395" s="260"/>
      <c r="AE395" s="260"/>
      <c r="AF395" s="260"/>
      <c r="AG395" s="260"/>
      <c r="AH395" s="260"/>
      <c r="AI395" s="261"/>
    </row>
    <row r="396" spans="1:35" ht="15" customHeight="1" x14ac:dyDescent="0.45">
      <c r="A396" s="259"/>
      <c r="B396" s="260"/>
      <c r="C396" s="260"/>
      <c r="D396" s="260"/>
      <c r="E396" s="260"/>
      <c r="F396" s="260"/>
      <c r="G396" s="260"/>
      <c r="H396" s="260"/>
      <c r="I396" s="260"/>
      <c r="J396" s="260"/>
      <c r="K396" s="260"/>
      <c r="L396" s="260"/>
      <c r="M396" s="260"/>
      <c r="N396" s="260"/>
      <c r="O396" s="260"/>
      <c r="P396" s="260"/>
      <c r="Q396" s="260"/>
      <c r="R396" s="260"/>
      <c r="S396" s="260"/>
      <c r="T396" s="260"/>
      <c r="U396" s="260"/>
      <c r="V396" s="260"/>
      <c r="W396" s="260"/>
      <c r="X396" s="260"/>
      <c r="Y396" s="260"/>
      <c r="Z396" s="260"/>
      <c r="AA396" s="260"/>
      <c r="AB396" s="260"/>
      <c r="AC396" s="260"/>
      <c r="AD396" s="260"/>
      <c r="AE396" s="260"/>
      <c r="AF396" s="260"/>
      <c r="AG396" s="260"/>
      <c r="AH396" s="260"/>
      <c r="AI396" s="261"/>
    </row>
    <row r="397" spans="1:35" ht="15" customHeight="1" x14ac:dyDescent="0.45">
      <c r="A397" s="259"/>
      <c r="B397" s="260"/>
      <c r="C397" s="260"/>
      <c r="D397" s="260"/>
      <c r="E397" s="260"/>
      <c r="F397" s="260"/>
      <c r="G397" s="260"/>
      <c r="H397" s="260"/>
      <c r="I397" s="260"/>
      <c r="J397" s="260"/>
      <c r="K397" s="260"/>
      <c r="L397" s="260"/>
      <c r="M397" s="260"/>
      <c r="N397" s="260"/>
      <c r="O397" s="260"/>
      <c r="P397" s="260"/>
      <c r="Q397" s="260"/>
      <c r="R397" s="260"/>
      <c r="S397" s="260"/>
      <c r="T397" s="260"/>
      <c r="U397" s="260"/>
      <c r="V397" s="260"/>
      <c r="W397" s="260"/>
      <c r="X397" s="260"/>
      <c r="Y397" s="260"/>
      <c r="Z397" s="260"/>
      <c r="AA397" s="260"/>
      <c r="AB397" s="260"/>
      <c r="AC397" s="260"/>
      <c r="AD397" s="260"/>
      <c r="AE397" s="260"/>
      <c r="AF397" s="260"/>
      <c r="AG397" s="260"/>
      <c r="AH397" s="260"/>
      <c r="AI397" s="261"/>
    </row>
    <row r="398" spans="1:35" ht="15" customHeight="1" x14ac:dyDescent="0.45">
      <c r="A398" s="259"/>
      <c r="B398" s="260"/>
      <c r="C398" s="260"/>
      <c r="D398" s="260"/>
      <c r="E398" s="260"/>
      <c r="F398" s="260"/>
      <c r="G398" s="260"/>
      <c r="H398" s="260"/>
      <c r="I398" s="260"/>
      <c r="J398" s="260"/>
      <c r="K398" s="260"/>
      <c r="L398" s="260"/>
      <c r="M398" s="260"/>
      <c r="N398" s="260"/>
      <c r="O398" s="260"/>
      <c r="P398" s="260"/>
      <c r="Q398" s="260"/>
      <c r="R398" s="260"/>
      <c r="S398" s="260"/>
      <c r="T398" s="260"/>
      <c r="U398" s="260"/>
      <c r="V398" s="260"/>
      <c r="W398" s="260"/>
      <c r="X398" s="260"/>
      <c r="Y398" s="260"/>
      <c r="Z398" s="260"/>
      <c r="AA398" s="260"/>
      <c r="AB398" s="260"/>
      <c r="AC398" s="260"/>
      <c r="AD398" s="260"/>
      <c r="AE398" s="260"/>
      <c r="AF398" s="260"/>
      <c r="AG398" s="260"/>
      <c r="AH398" s="260"/>
      <c r="AI398" s="261"/>
    </row>
    <row r="399" spans="1:35" ht="15" customHeight="1" x14ac:dyDescent="0.45">
      <c r="A399" s="259"/>
      <c r="B399" s="260"/>
      <c r="C399" s="260"/>
      <c r="D399" s="260"/>
      <c r="E399" s="260"/>
      <c r="F399" s="260"/>
      <c r="G399" s="260"/>
      <c r="H399" s="260"/>
      <c r="I399" s="260"/>
      <c r="J399" s="260"/>
      <c r="K399" s="260"/>
      <c r="L399" s="260"/>
      <c r="M399" s="260"/>
      <c r="N399" s="260"/>
      <c r="O399" s="260"/>
      <c r="P399" s="260"/>
      <c r="Q399" s="260"/>
      <c r="R399" s="260"/>
      <c r="S399" s="260"/>
      <c r="T399" s="260"/>
      <c r="U399" s="260"/>
      <c r="V399" s="260"/>
      <c r="W399" s="260"/>
      <c r="X399" s="260"/>
      <c r="Y399" s="260"/>
      <c r="Z399" s="260"/>
      <c r="AA399" s="260"/>
      <c r="AB399" s="260"/>
      <c r="AC399" s="260"/>
      <c r="AD399" s="260"/>
      <c r="AE399" s="260"/>
      <c r="AF399" s="260"/>
      <c r="AG399" s="260"/>
      <c r="AH399" s="260"/>
      <c r="AI399" s="261"/>
    </row>
    <row r="400" spans="1:35" ht="15" customHeight="1" x14ac:dyDescent="0.45">
      <c r="A400" s="259"/>
      <c r="B400" s="260"/>
      <c r="C400" s="260"/>
      <c r="D400" s="260"/>
      <c r="E400" s="260"/>
      <c r="F400" s="260"/>
      <c r="G400" s="260"/>
      <c r="H400" s="260"/>
      <c r="I400" s="260"/>
      <c r="J400" s="260"/>
      <c r="K400" s="260"/>
      <c r="L400" s="260"/>
      <c r="M400" s="260"/>
      <c r="N400" s="260"/>
      <c r="O400" s="260"/>
      <c r="P400" s="260"/>
      <c r="Q400" s="260"/>
      <c r="R400" s="260"/>
      <c r="S400" s="260"/>
      <c r="T400" s="260"/>
      <c r="U400" s="260"/>
      <c r="V400" s="260"/>
      <c r="W400" s="260"/>
      <c r="X400" s="260"/>
      <c r="Y400" s="260"/>
      <c r="Z400" s="260"/>
      <c r="AA400" s="260"/>
      <c r="AB400" s="260"/>
      <c r="AC400" s="260"/>
      <c r="AD400" s="260"/>
      <c r="AE400" s="260"/>
      <c r="AF400" s="260"/>
      <c r="AG400" s="260"/>
      <c r="AH400" s="260"/>
      <c r="AI400" s="261"/>
    </row>
    <row r="401" spans="1:35" ht="15" customHeight="1" x14ac:dyDescent="0.45">
      <c r="A401" s="259"/>
      <c r="B401" s="260"/>
      <c r="C401" s="260"/>
      <c r="D401" s="260"/>
      <c r="E401" s="260"/>
      <c r="F401" s="260"/>
      <c r="G401" s="260"/>
      <c r="H401" s="260"/>
      <c r="I401" s="260"/>
      <c r="J401" s="260"/>
      <c r="K401" s="260"/>
      <c r="L401" s="260"/>
      <c r="M401" s="260"/>
      <c r="N401" s="260"/>
      <c r="O401" s="260"/>
      <c r="P401" s="260"/>
      <c r="Q401" s="260"/>
      <c r="R401" s="260"/>
      <c r="S401" s="260"/>
      <c r="T401" s="260"/>
      <c r="U401" s="260"/>
      <c r="V401" s="260"/>
      <c r="W401" s="260"/>
      <c r="X401" s="260"/>
      <c r="Y401" s="260"/>
      <c r="Z401" s="260"/>
      <c r="AA401" s="260"/>
      <c r="AB401" s="260"/>
      <c r="AC401" s="260"/>
      <c r="AD401" s="260"/>
      <c r="AE401" s="260"/>
      <c r="AF401" s="260"/>
      <c r="AG401" s="260"/>
      <c r="AH401" s="260"/>
      <c r="AI401" s="261"/>
    </row>
    <row r="402" spans="1:35" ht="15" customHeight="1" x14ac:dyDescent="0.45">
      <c r="A402" s="259"/>
      <c r="B402" s="260"/>
      <c r="C402" s="260"/>
      <c r="D402" s="260"/>
      <c r="E402" s="260"/>
      <c r="F402" s="260"/>
      <c r="G402" s="260"/>
      <c r="H402" s="260"/>
      <c r="I402" s="260"/>
      <c r="J402" s="260"/>
      <c r="K402" s="260"/>
      <c r="L402" s="260"/>
      <c r="M402" s="260"/>
      <c r="N402" s="260"/>
      <c r="O402" s="260"/>
      <c r="P402" s="260"/>
      <c r="Q402" s="260"/>
      <c r="R402" s="260"/>
      <c r="S402" s="260"/>
      <c r="T402" s="260"/>
      <c r="U402" s="260"/>
      <c r="V402" s="260"/>
      <c r="W402" s="260"/>
      <c r="X402" s="260"/>
      <c r="Y402" s="260"/>
      <c r="Z402" s="260"/>
      <c r="AA402" s="260"/>
      <c r="AB402" s="260"/>
      <c r="AC402" s="260"/>
      <c r="AD402" s="260"/>
      <c r="AE402" s="260"/>
      <c r="AF402" s="260"/>
      <c r="AG402" s="260"/>
      <c r="AH402" s="260"/>
      <c r="AI402" s="261"/>
    </row>
    <row r="403" spans="1:35" ht="15" customHeight="1" x14ac:dyDescent="0.45">
      <c r="A403" s="259"/>
      <c r="B403" s="260"/>
      <c r="C403" s="260"/>
      <c r="D403" s="260"/>
      <c r="E403" s="260"/>
      <c r="F403" s="260"/>
      <c r="G403" s="260"/>
      <c r="H403" s="260"/>
      <c r="I403" s="260"/>
      <c r="J403" s="260"/>
      <c r="K403" s="260"/>
      <c r="L403" s="260"/>
      <c r="M403" s="260"/>
      <c r="N403" s="260"/>
      <c r="O403" s="260"/>
      <c r="P403" s="260"/>
      <c r="Q403" s="260"/>
      <c r="R403" s="260"/>
      <c r="S403" s="260"/>
      <c r="T403" s="260"/>
      <c r="U403" s="260"/>
      <c r="V403" s="260"/>
      <c r="W403" s="260"/>
      <c r="X403" s="260"/>
      <c r="Y403" s="260"/>
      <c r="Z403" s="260"/>
      <c r="AA403" s="260"/>
      <c r="AB403" s="260"/>
      <c r="AC403" s="260"/>
      <c r="AD403" s="260"/>
      <c r="AE403" s="260"/>
      <c r="AF403" s="260"/>
      <c r="AG403" s="260"/>
      <c r="AH403" s="260"/>
      <c r="AI403" s="261"/>
    </row>
    <row r="404" spans="1:35" ht="15" customHeight="1" x14ac:dyDescent="0.45">
      <c r="A404" s="259"/>
      <c r="B404" s="260"/>
      <c r="C404" s="260"/>
      <c r="D404" s="260"/>
      <c r="E404" s="260"/>
      <c r="F404" s="260"/>
      <c r="G404" s="260"/>
      <c r="H404" s="260"/>
      <c r="I404" s="260"/>
      <c r="J404" s="260"/>
      <c r="K404" s="260"/>
      <c r="L404" s="260"/>
      <c r="M404" s="260"/>
      <c r="N404" s="260"/>
      <c r="O404" s="260"/>
      <c r="P404" s="260"/>
      <c r="Q404" s="260"/>
      <c r="R404" s="260"/>
      <c r="S404" s="260"/>
      <c r="T404" s="260"/>
      <c r="U404" s="260"/>
      <c r="V404" s="260"/>
      <c r="W404" s="260"/>
      <c r="X404" s="260"/>
      <c r="Y404" s="260"/>
      <c r="Z404" s="260"/>
      <c r="AA404" s="260"/>
      <c r="AB404" s="260"/>
      <c r="AC404" s="260"/>
      <c r="AD404" s="260"/>
      <c r="AE404" s="260"/>
      <c r="AF404" s="260"/>
      <c r="AG404" s="260"/>
      <c r="AH404" s="260"/>
      <c r="AI404" s="261"/>
    </row>
    <row r="405" spans="1:35" ht="15" customHeight="1" x14ac:dyDescent="0.45">
      <c r="A405" s="259"/>
      <c r="B405" s="260"/>
      <c r="C405" s="260"/>
      <c r="D405" s="260"/>
      <c r="E405" s="260"/>
      <c r="F405" s="260"/>
      <c r="G405" s="260"/>
      <c r="H405" s="260"/>
      <c r="I405" s="260"/>
      <c r="J405" s="260"/>
      <c r="K405" s="260"/>
      <c r="L405" s="260"/>
      <c r="M405" s="260"/>
      <c r="N405" s="260"/>
      <c r="O405" s="260"/>
      <c r="P405" s="260"/>
      <c r="Q405" s="260"/>
      <c r="R405" s="260"/>
      <c r="S405" s="260"/>
      <c r="T405" s="260"/>
      <c r="U405" s="260"/>
      <c r="V405" s="260"/>
      <c r="W405" s="260"/>
      <c r="X405" s="260"/>
      <c r="Y405" s="260"/>
      <c r="Z405" s="260"/>
      <c r="AA405" s="260"/>
      <c r="AB405" s="260"/>
      <c r="AC405" s="260"/>
      <c r="AD405" s="260"/>
      <c r="AE405" s="260"/>
      <c r="AF405" s="260"/>
      <c r="AG405" s="260"/>
      <c r="AH405" s="260"/>
      <c r="AI405" s="261"/>
    </row>
    <row r="406" spans="1:35" ht="15" customHeight="1" x14ac:dyDescent="0.45">
      <c r="A406" s="259"/>
      <c r="B406" s="260"/>
      <c r="C406" s="260"/>
      <c r="D406" s="260"/>
      <c r="E406" s="260"/>
      <c r="F406" s="260"/>
      <c r="G406" s="260"/>
      <c r="H406" s="260"/>
      <c r="I406" s="260"/>
      <c r="J406" s="260"/>
      <c r="K406" s="260"/>
      <c r="L406" s="260"/>
      <c r="M406" s="260"/>
      <c r="N406" s="260"/>
      <c r="O406" s="260"/>
      <c r="P406" s="260"/>
      <c r="Q406" s="260"/>
      <c r="R406" s="260"/>
      <c r="S406" s="260"/>
      <c r="T406" s="260"/>
      <c r="U406" s="260"/>
      <c r="V406" s="260"/>
      <c r="W406" s="260"/>
      <c r="X406" s="260"/>
      <c r="Y406" s="260"/>
      <c r="Z406" s="260"/>
      <c r="AA406" s="260"/>
      <c r="AB406" s="260"/>
      <c r="AC406" s="260"/>
      <c r="AD406" s="260"/>
      <c r="AE406" s="260"/>
      <c r="AF406" s="260"/>
      <c r="AG406" s="260"/>
      <c r="AH406" s="260"/>
      <c r="AI406" s="261"/>
    </row>
    <row r="407" spans="1:35" ht="15" customHeight="1" x14ac:dyDescent="0.45">
      <c r="A407" s="259"/>
      <c r="B407" s="260"/>
      <c r="C407" s="260"/>
      <c r="D407" s="260"/>
      <c r="E407" s="260"/>
      <c r="F407" s="260"/>
      <c r="G407" s="260"/>
      <c r="H407" s="260"/>
      <c r="I407" s="260"/>
      <c r="J407" s="260"/>
      <c r="K407" s="260"/>
      <c r="L407" s="260"/>
      <c r="M407" s="260"/>
      <c r="N407" s="260"/>
      <c r="O407" s="260"/>
      <c r="P407" s="260"/>
      <c r="Q407" s="260"/>
      <c r="R407" s="260"/>
      <c r="S407" s="260"/>
      <c r="T407" s="260"/>
      <c r="U407" s="260"/>
      <c r="V407" s="260"/>
      <c r="W407" s="260"/>
      <c r="X407" s="260"/>
      <c r="Y407" s="260"/>
      <c r="Z407" s="260"/>
      <c r="AA407" s="260"/>
      <c r="AB407" s="260"/>
      <c r="AC407" s="260"/>
      <c r="AD407" s="260"/>
      <c r="AE407" s="260"/>
      <c r="AF407" s="260"/>
      <c r="AG407" s="260"/>
      <c r="AH407" s="260"/>
      <c r="AI407" s="261"/>
    </row>
    <row r="408" spans="1:35" ht="15" customHeight="1" x14ac:dyDescent="0.45">
      <c r="A408" s="259"/>
      <c r="B408" s="260"/>
      <c r="C408" s="260"/>
      <c r="D408" s="260"/>
      <c r="E408" s="260"/>
      <c r="F408" s="260"/>
      <c r="G408" s="260"/>
      <c r="H408" s="260"/>
      <c r="I408" s="260"/>
      <c r="J408" s="260"/>
      <c r="K408" s="260"/>
      <c r="L408" s="260"/>
      <c r="M408" s="260"/>
      <c r="N408" s="260"/>
      <c r="O408" s="260"/>
      <c r="P408" s="260"/>
      <c r="Q408" s="260"/>
      <c r="R408" s="260"/>
      <c r="S408" s="260"/>
      <c r="T408" s="260"/>
      <c r="U408" s="260"/>
      <c r="V408" s="260"/>
      <c r="W408" s="260"/>
      <c r="X408" s="260"/>
      <c r="Y408" s="260"/>
      <c r="Z408" s="260"/>
      <c r="AA408" s="260"/>
      <c r="AB408" s="260"/>
      <c r="AC408" s="260"/>
      <c r="AD408" s="260"/>
      <c r="AE408" s="260"/>
      <c r="AF408" s="260"/>
      <c r="AG408" s="260"/>
      <c r="AH408" s="260"/>
      <c r="AI408" s="261"/>
    </row>
    <row r="409" spans="1:35" ht="15" customHeight="1" x14ac:dyDescent="0.45">
      <c r="A409" s="259"/>
      <c r="B409" s="260"/>
      <c r="C409" s="260"/>
      <c r="D409" s="260"/>
      <c r="E409" s="260"/>
      <c r="F409" s="260"/>
      <c r="G409" s="260"/>
      <c r="H409" s="260"/>
      <c r="I409" s="260"/>
      <c r="J409" s="260"/>
      <c r="K409" s="260"/>
      <c r="L409" s="260"/>
      <c r="M409" s="260"/>
      <c r="N409" s="260"/>
      <c r="O409" s="260"/>
      <c r="P409" s="260"/>
      <c r="Q409" s="260"/>
      <c r="R409" s="260"/>
      <c r="S409" s="260"/>
      <c r="T409" s="260"/>
      <c r="U409" s="260"/>
      <c r="V409" s="260"/>
      <c r="W409" s="260"/>
      <c r="X409" s="260"/>
      <c r="Y409" s="260"/>
      <c r="Z409" s="260"/>
      <c r="AA409" s="260"/>
      <c r="AB409" s="260"/>
      <c r="AC409" s="260"/>
      <c r="AD409" s="260"/>
      <c r="AE409" s="260"/>
      <c r="AF409" s="260"/>
      <c r="AG409" s="260"/>
      <c r="AH409" s="260"/>
      <c r="AI409" s="261"/>
    </row>
    <row r="410" spans="1:35" ht="15" customHeight="1" x14ac:dyDescent="0.45">
      <c r="A410" s="259"/>
      <c r="B410" s="260"/>
      <c r="C410" s="260"/>
      <c r="D410" s="260"/>
      <c r="E410" s="260"/>
      <c r="F410" s="260"/>
      <c r="G410" s="260"/>
      <c r="H410" s="260"/>
      <c r="I410" s="260"/>
      <c r="J410" s="260"/>
      <c r="K410" s="260"/>
      <c r="L410" s="260"/>
      <c r="M410" s="260"/>
      <c r="N410" s="260"/>
      <c r="O410" s="260"/>
      <c r="P410" s="260"/>
      <c r="Q410" s="260"/>
      <c r="R410" s="260"/>
      <c r="S410" s="260"/>
      <c r="T410" s="260"/>
      <c r="U410" s="260"/>
      <c r="V410" s="260"/>
      <c r="W410" s="260"/>
      <c r="X410" s="260"/>
      <c r="Y410" s="260"/>
      <c r="Z410" s="260"/>
      <c r="AA410" s="260"/>
      <c r="AB410" s="260"/>
      <c r="AC410" s="260"/>
      <c r="AD410" s="260"/>
      <c r="AE410" s="260"/>
      <c r="AF410" s="260"/>
      <c r="AG410" s="260"/>
      <c r="AH410" s="260"/>
      <c r="AI410" s="261"/>
    </row>
    <row r="411" spans="1:35" ht="15" customHeight="1" x14ac:dyDescent="0.45">
      <c r="A411" s="259"/>
      <c r="B411" s="260"/>
      <c r="C411" s="260"/>
      <c r="D411" s="260"/>
      <c r="E411" s="260"/>
      <c r="F411" s="260"/>
      <c r="G411" s="260"/>
      <c r="H411" s="260"/>
      <c r="I411" s="260"/>
      <c r="J411" s="260"/>
      <c r="K411" s="260"/>
      <c r="L411" s="260"/>
      <c r="M411" s="260"/>
      <c r="N411" s="260"/>
      <c r="O411" s="260"/>
      <c r="P411" s="260"/>
      <c r="Q411" s="260"/>
      <c r="R411" s="260"/>
      <c r="S411" s="260"/>
      <c r="T411" s="260"/>
      <c r="U411" s="260"/>
      <c r="V411" s="260"/>
      <c r="W411" s="260"/>
      <c r="X411" s="260"/>
      <c r="Y411" s="260"/>
      <c r="Z411" s="260"/>
      <c r="AA411" s="260"/>
      <c r="AB411" s="260"/>
      <c r="AC411" s="260"/>
      <c r="AD411" s="260"/>
      <c r="AE411" s="260"/>
      <c r="AF411" s="260"/>
      <c r="AG411" s="260"/>
      <c r="AH411" s="260"/>
      <c r="AI411" s="261"/>
    </row>
    <row r="412" spans="1:35" ht="15" customHeight="1" x14ac:dyDescent="0.45">
      <c r="A412" s="259"/>
      <c r="B412" s="260"/>
      <c r="C412" s="260"/>
      <c r="D412" s="260"/>
      <c r="E412" s="260"/>
      <c r="F412" s="260"/>
      <c r="G412" s="260"/>
      <c r="H412" s="260"/>
      <c r="I412" s="260"/>
      <c r="J412" s="260"/>
      <c r="K412" s="260"/>
      <c r="L412" s="260"/>
      <c r="M412" s="260"/>
      <c r="N412" s="260"/>
      <c r="O412" s="260"/>
      <c r="P412" s="260"/>
      <c r="Q412" s="260"/>
      <c r="R412" s="260"/>
      <c r="S412" s="260"/>
      <c r="T412" s="260"/>
      <c r="U412" s="260"/>
      <c r="V412" s="260"/>
      <c r="W412" s="260"/>
      <c r="X412" s="260"/>
      <c r="Y412" s="260"/>
      <c r="Z412" s="260"/>
      <c r="AA412" s="260"/>
      <c r="AB412" s="260"/>
      <c r="AC412" s="260"/>
      <c r="AD412" s="260"/>
      <c r="AE412" s="260"/>
      <c r="AF412" s="260"/>
      <c r="AG412" s="260"/>
      <c r="AH412" s="260"/>
      <c r="AI412" s="261"/>
    </row>
    <row r="413" spans="1:35" ht="15" customHeight="1" x14ac:dyDescent="0.45">
      <c r="A413" s="259"/>
      <c r="B413" s="260"/>
      <c r="C413" s="260"/>
      <c r="D413" s="260"/>
      <c r="E413" s="260"/>
      <c r="F413" s="260"/>
      <c r="G413" s="260"/>
      <c r="H413" s="260"/>
      <c r="I413" s="260"/>
      <c r="J413" s="260"/>
      <c r="K413" s="260"/>
      <c r="L413" s="260"/>
      <c r="M413" s="260"/>
      <c r="N413" s="260"/>
      <c r="O413" s="260"/>
      <c r="P413" s="260"/>
      <c r="Q413" s="260"/>
      <c r="R413" s="260"/>
      <c r="S413" s="260"/>
      <c r="T413" s="260"/>
      <c r="U413" s="260"/>
      <c r="V413" s="260"/>
      <c r="W413" s="260"/>
      <c r="X413" s="260"/>
      <c r="Y413" s="260"/>
      <c r="Z413" s="260"/>
      <c r="AA413" s="260"/>
      <c r="AB413" s="260"/>
      <c r="AC413" s="260"/>
      <c r="AD413" s="260"/>
      <c r="AE413" s="260"/>
      <c r="AF413" s="260"/>
      <c r="AG413" s="260"/>
      <c r="AH413" s="260"/>
      <c r="AI413" s="261"/>
    </row>
    <row r="414" spans="1:35" ht="15" customHeight="1" x14ac:dyDescent="0.45">
      <c r="A414" s="259"/>
      <c r="B414" s="260"/>
      <c r="C414" s="260"/>
      <c r="D414" s="260"/>
      <c r="E414" s="260"/>
      <c r="F414" s="260"/>
      <c r="G414" s="260"/>
      <c r="H414" s="260"/>
      <c r="I414" s="260"/>
      <c r="J414" s="260"/>
      <c r="K414" s="260"/>
      <c r="L414" s="260"/>
      <c r="M414" s="260"/>
      <c r="N414" s="260"/>
      <c r="O414" s="260"/>
      <c r="P414" s="260"/>
      <c r="Q414" s="260"/>
      <c r="R414" s="260"/>
      <c r="S414" s="260"/>
      <c r="T414" s="260"/>
      <c r="U414" s="260"/>
      <c r="V414" s="260"/>
      <c r="W414" s="260"/>
      <c r="X414" s="260"/>
      <c r="Y414" s="260"/>
      <c r="Z414" s="260"/>
      <c r="AA414" s="260"/>
      <c r="AB414" s="260"/>
      <c r="AC414" s="260"/>
      <c r="AD414" s="260"/>
      <c r="AE414" s="260"/>
      <c r="AF414" s="260"/>
      <c r="AG414" s="260"/>
      <c r="AH414" s="260"/>
      <c r="AI414" s="261"/>
    </row>
    <row r="415" spans="1:35" ht="15" customHeight="1" x14ac:dyDescent="0.45">
      <c r="A415" s="259"/>
      <c r="B415" s="260"/>
      <c r="C415" s="260"/>
      <c r="D415" s="260"/>
      <c r="E415" s="260"/>
      <c r="F415" s="260"/>
      <c r="G415" s="260"/>
      <c r="H415" s="260"/>
      <c r="I415" s="260"/>
      <c r="J415" s="260"/>
      <c r="K415" s="260"/>
      <c r="L415" s="260"/>
      <c r="M415" s="260"/>
      <c r="N415" s="260"/>
      <c r="O415" s="260"/>
      <c r="P415" s="260"/>
      <c r="Q415" s="260"/>
      <c r="R415" s="260"/>
      <c r="S415" s="260"/>
      <c r="T415" s="260"/>
      <c r="U415" s="260"/>
      <c r="V415" s="260"/>
      <c r="W415" s="260"/>
      <c r="X415" s="260"/>
      <c r="Y415" s="260"/>
      <c r="Z415" s="260"/>
      <c r="AA415" s="260"/>
      <c r="AB415" s="260"/>
      <c r="AC415" s="260"/>
      <c r="AD415" s="260"/>
      <c r="AE415" s="260"/>
      <c r="AF415" s="260"/>
      <c r="AG415" s="260"/>
      <c r="AH415" s="260"/>
      <c r="AI415" s="261"/>
    </row>
    <row r="416" spans="1:35" ht="15" customHeight="1" x14ac:dyDescent="0.45">
      <c r="A416" s="259"/>
      <c r="B416" s="260"/>
      <c r="C416" s="260"/>
      <c r="D416" s="260"/>
      <c r="E416" s="260"/>
      <c r="F416" s="260"/>
      <c r="G416" s="260"/>
      <c r="H416" s="260"/>
      <c r="I416" s="260"/>
      <c r="J416" s="260"/>
      <c r="K416" s="260"/>
      <c r="L416" s="260"/>
      <c r="M416" s="260"/>
      <c r="N416" s="260"/>
      <c r="O416" s="260"/>
      <c r="P416" s="260"/>
      <c r="Q416" s="260"/>
      <c r="R416" s="260"/>
      <c r="S416" s="260"/>
      <c r="T416" s="260"/>
      <c r="U416" s="260"/>
      <c r="V416" s="260"/>
      <c r="W416" s="260"/>
      <c r="X416" s="260"/>
      <c r="Y416" s="260"/>
      <c r="Z416" s="260"/>
      <c r="AA416" s="260"/>
      <c r="AB416" s="260"/>
      <c r="AC416" s="260"/>
      <c r="AD416" s="260"/>
      <c r="AE416" s="260"/>
      <c r="AF416" s="260"/>
      <c r="AG416" s="260"/>
      <c r="AH416" s="260"/>
      <c r="AI416" s="261"/>
    </row>
    <row r="417" spans="1:35" ht="15" customHeight="1" x14ac:dyDescent="0.45">
      <c r="A417" s="259"/>
      <c r="B417" s="260"/>
      <c r="C417" s="260"/>
      <c r="D417" s="260"/>
      <c r="E417" s="260"/>
      <c r="F417" s="260"/>
      <c r="G417" s="260"/>
      <c r="H417" s="260"/>
      <c r="I417" s="260"/>
      <c r="J417" s="260"/>
      <c r="K417" s="260"/>
      <c r="L417" s="260"/>
      <c r="M417" s="260"/>
      <c r="N417" s="260"/>
      <c r="O417" s="260"/>
      <c r="P417" s="260"/>
      <c r="Q417" s="260"/>
      <c r="R417" s="260"/>
      <c r="S417" s="260"/>
      <c r="T417" s="260"/>
      <c r="U417" s="260"/>
      <c r="V417" s="260"/>
      <c r="W417" s="260"/>
      <c r="X417" s="260"/>
      <c r="Y417" s="260"/>
      <c r="Z417" s="260"/>
      <c r="AA417" s="260"/>
      <c r="AB417" s="260"/>
      <c r="AC417" s="260"/>
      <c r="AD417" s="260"/>
      <c r="AE417" s="260"/>
      <c r="AF417" s="260"/>
      <c r="AG417" s="260"/>
      <c r="AH417" s="260"/>
      <c r="AI417" s="261"/>
    </row>
    <row r="418" spans="1:35" ht="15" customHeight="1" x14ac:dyDescent="0.45">
      <c r="A418" s="259"/>
      <c r="B418" s="260"/>
      <c r="C418" s="260"/>
      <c r="D418" s="260"/>
      <c r="E418" s="260"/>
      <c r="F418" s="260"/>
      <c r="G418" s="260"/>
      <c r="H418" s="260"/>
      <c r="I418" s="260"/>
      <c r="J418" s="260"/>
      <c r="K418" s="260"/>
      <c r="L418" s="260"/>
      <c r="M418" s="260"/>
      <c r="N418" s="260"/>
      <c r="O418" s="260"/>
      <c r="P418" s="260"/>
      <c r="Q418" s="260"/>
      <c r="R418" s="260"/>
      <c r="S418" s="260"/>
      <c r="T418" s="260"/>
      <c r="U418" s="260"/>
      <c r="V418" s="260"/>
      <c r="W418" s="260"/>
      <c r="X418" s="260"/>
      <c r="Y418" s="260"/>
      <c r="Z418" s="260"/>
      <c r="AA418" s="260"/>
      <c r="AB418" s="260"/>
      <c r="AC418" s="260"/>
      <c r="AD418" s="260"/>
      <c r="AE418" s="260"/>
      <c r="AF418" s="260"/>
      <c r="AG418" s="260"/>
      <c r="AH418" s="260"/>
      <c r="AI418" s="261"/>
    </row>
    <row r="419" spans="1:35" ht="15" customHeight="1" x14ac:dyDescent="0.45">
      <c r="A419" s="259"/>
      <c r="B419" s="260"/>
      <c r="C419" s="260"/>
      <c r="D419" s="260"/>
      <c r="E419" s="260"/>
      <c r="F419" s="260"/>
      <c r="G419" s="260"/>
      <c r="H419" s="260"/>
      <c r="I419" s="260"/>
      <c r="J419" s="260"/>
      <c r="K419" s="260"/>
      <c r="L419" s="260"/>
      <c r="M419" s="260"/>
      <c r="N419" s="260"/>
      <c r="O419" s="260"/>
      <c r="P419" s="260"/>
      <c r="Q419" s="260"/>
      <c r="R419" s="260"/>
      <c r="S419" s="260"/>
      <c r="T419" s="260"/>
      <c r="U419" s="260"/>
      <c r="V419" s="260"/>
      <c r="W419" s="260"/>
      <c r="X419" s="260"/>
      <c r="Y419" s="260"/>
      <c r="Z419" s="260"/>
      <c r="AA419" s="260"/>
      <c r="AB419" s="260"/>
      <c r="AC419" s="260"/>
      <c r="AD419" s="260"/>
      <c r="AE419" s="260"/>
      <c r="AF419" s="260"/>
      <c r="AG419" s="260"/>
      <c r="AH419" s="260"/>
      <c r="AI419" s="261"/>
    </row>
    <row r="420" spans="1:35" ht="15" customHeight="1" x14ac:dyDescent="0.45">
      <c r="A420" s="259"/>
      <c r="B420" s="260"/>
      <c r="C420" s="260"/>
      <c r="D420" s="260"/>
      <c r="E420" s="260"/>
      <c r="F420" s="260"/>
      <c r="G420" s="260"/>
      <c r="H420" s="260"/>
      <c r="I420" s="260"/>
      <c r="J420" s="260"/>
      <c r="K420" s="260"/>
      <c r="L420" s="260"/>
      <c r="M420" s="260"/>
      <c r="N420" s="260"/>
      <c r="O420" s="260"/>
      <c r="P420" s="260"/>
      <c r="Q420" s="260"/>
      <c r="R420" s="260"/>
      <c r="S420" s="260"/>
      <c r="T420" s="260"/>
      <c r="U420" s="260"/>
      <c r="V420" s="260"/>
      <c r="W420" s="260"/>
      <c r="X420" s="260"/>
      <c r="Y420" s="260"/>
      <c r="Z420" s="260"/>
      <c r="AA420" s="260"/>
      <c r="AB420" s="260"/>
      <c r="AC420" s="260"/>
      <c r="AD420" s="260"/>
      <c r="AE420" s="260"/>
      <c r="AF420" s="260"/>
      <c r="AG420" s="260"/>
      <c r="AH420" s="260"/>
      <c r="AI420" s="261"/>
    </row>
    <row r="421" spans="1:35" ht="15" customHeight="1" x14ac:dyDescent="0.45">
      <c r="A421" s="259"/>
      <c r="B421" s="260"/>
      <c r="C421" s="260"/>
      <c r="D421" s="260"/>
      <c r="E421" s="260"/>
      <c r="F421" s="260"/>
      <c r="G421" s="260"/>
      <c r="H421" s="260"/>
      <c r="I421" s="260"/>
      <c r="J421" s="260"/>
      <c r="K421" s="260"/>
      <c r="L421" s="260"/>
      <c r="M421" s="260"/>
      <c r="N421" s="260"/>
      <c r="O421" s="260"/>
      <c r="P421" s="260"/>
      <c r="Q421" s="260"/>
      <c r="R421" s="260"/>
      <c r="S421" s="260"/>
      <c r="T421" s="260"/>
      <c r="U421" s="260"/>
      <c r="V421" s="260"/>
      <c r="W421" s="260"/>
      <c r="X421" s="260"/>
      <c r="Y421" s="260"/>
      <c r="Z421" s="260"/>
      <c r="AA421" s="260"/>
      <c r="AB421" s="260"/>
      <c r="AC421" s="260"/>
      <c r="AD421" s="260"/>
      <c r="AE421" s="260"/>
      <c r="AF421" s="260"/>
      <c r="AG421" s="260"/>
      <c r="AH421" s="260"/>
      <c r="AI421" s="261"/>
    </row>
    <row r="422" spans="1:35" ht="15" customHeight="1" x14ac:dyDescent="0.45">
      <c r="A422" s="259"/>
      <c r="B422" s="260"/>
      <c r="C422" s="260"/>
      <c r="D422" s="260"/>
      <c r="E422" s="260"/>
      <c r="F422" s="260"/>
      <c r="G422" s="260"/>
      <c r="H422" s="260"/>
      <c r="I422" s="260"/>
      <c r="J422" s="260"/>
      <c r="K422" s="260"/>
      <c r="L422" s="260"/>
      <c r="M422" s="260"/>
      <c r="N422" s="260"/>
      <c r="O422" s="260"/>
      <c r="P422" s="260"/>
      <c r="Q422" s="260"/>
      <c r="R422" s="260"/>
      <c r="S422" s="260"/>
      <c r="T422" s="260"/>
      <c r="U422" s="260"/>
      <c r="V422" s="260"/>
      <c r="W422" s="260"/>
      <c r="X422" s="260"/>
      <c r="Y422" s="260"/>
      <c r="Z422" s="260"/>
      <c r="AA422" s="260"/>
      <c r="AB422" s="260"/>
      <c r="AC422" s="260"/>
      <c r="AD422" s="260"/>
      <c r="AE422" s="260"/>
      <c r="AF422" s="260"/>
      <c r="AG422" s="260"/>
      <c r="AH422" s="260"/>
      <c r="AI422" s="261"/>
    </row>
    <row r="423" spans="1:35" ht="15" customHeight="1" x14ac:dyDescent="0.45">
      <c r="A423" s="259"/>
      <c r="B423" s="260"/>
      <c r="C423" s="260"/>
      <c r="D423" s="260"/>
      <c r="E423" s="260"/>
      <c r="F423" s="260"/>
      <c r="G423" s="260"/>
      <c r="H423" s="260"/>
      <c r="I423" s="260"/>
      <c r="J423" s="260"/>
      <c r="K423" s="260"/>
      <c r="L423" s="260"/>
      <c r="M423" s="260"/>
      <c r="N423" s="260"/>
      <c r="O423" s="260"/>
      <c r="P423" s="260"/>
      <c r="Q423" s="260"/>
      <c r="R423" s="260"/>
      <c r="S423" s="260"/>
      <c r="T423" s="260"/>
      <c r="U423" s="260"/>
      <c r="V423" s="260"/>
      <c r="W423" s="260"/>
      <c r="X423" s="260"/>
      <c r="Y423" s="260"/>
      <c r="Z423" s="260"/>
      <c r="AA423" s="260"/>
      <c r="AB423" s="260"/>
      <c r="AC423" s="260"/>
      <c r="AD423" s="260"/>
      <c r="AE423" s="260"/>
      <c r="AF423" s="260"/>
      <c r="AG423" s="260"/>
      <c r="AH423" s="260"/>
      <c r="AI423" s="261"/>
    </row>
    <row r="424" spans="1:35" ht="15" customHeight="1" x14ac:dyDescent="0.45">
      <c r="A424" s="259"/>
      <c r="B424" s="260"/>
      <c r="C424" s="260"/>
      <c r="D424" s="260"/>
      <c r="E424" s="260"/>
      <c r="F424" s="260"/>
      <c r="G424" s="260"/>
      <c r="H424" s="260"/>
      <c r="I424" s="260"/>
      <c r="J424" s="260"/>
      <c r="K424" s="260"/>
      <c r="L424" s="260"/>
      <c r="M424" s="260"/>
      <c r="N424" s="260"/>
      <c r="O424" s="260"/>
      <c r="P424" s="260"/>
      <c r="Q424" s="260"/>
      <c r="R424" s="260"/>
      <c r="S424" s="260"/>
      <c r="T424" s="260"/>
      <c r="U424" s="260"/>
      <c r="V424" s="260"/>
      <c r="W424" s="260"/>
      <c r="X424" s="260"/>
      <c r="Y424" s="260"/>
      <c r="Z424" s="260"/>
      <c r="AA424" s="260"/>
      <c r="AB424" s="260"/>
      <c r="AC424" s="260"/>
      <c r="AD424" s="260"/>
      <c r="AE424" s="260"/>
      <c r="AF424" s="260"/>
      <c r="AG424" s="260"/>
      <c r="AH424" s="260"/>
      <c r="AI424" s="261"/>
    </row>
    <row r="425" spans="1:35" ht="15" customHeight="1" x14ac:dyDescent="0.45">
      <c r="A425" s="259"/>
      <c r="B425" s="260"/>
      <c r="C425" s="260"/>
      <c r="D425" s="260"/>
      <c r="E425" s="260"/>
      <c r="F425" s="260"/>
      <c r="G425" s="260"/>
      <c r="H425" s="260"/>
      <c r="I425" s="260"/>
      <c r="J425" s="260"/>
      <c r="K425" s="260"/>
      <c r="L425" s="260"/>
      <c r="M425" s="260"/>
      <c r="N425" s="260"/>
      <c r="O425" s="260"/>
      <c r="P425" s="260"/>
      <c r="Q425" s="260"/>
      <c r="R425" s="260"/>
      <c r="S425" s="260"/>
      <c r="T425" s="260"/>
      <c r="U425" s="260"/>
      <c r="V425" s="260"/>
      <c r="W425" s="260"/>
      <c r="X425" s="260"/>
      <c r="Y425" s="260"/>
      <c r="Z425" s="260"/>
      <c r="AA425" s="260"/>
      <c r="AB425" s="260"/>
      <c r="AC425" s="260"/>
      <c r="AD425" s="260"/>
      <c r="AE425" s="260"/>
      <c r="AF425" s="260"/>
      <c r="AG425" s="260"/>
      <c r="AH425" s="260"/>
      <c r="AI425" s="261"/>
    </row>
    <row r="426" spans="1:35" ht="15" customHeight="1" x14ac:dyDescent="0.45">
      <c r="A426" s="259"/>
      <c r="B426" s="260"/>
      <c r="C426" s="260"/>
      <c r="D426" s="260"/>
      <c r="E426" s="260"/>
      <c r="F426" s="260"/>
      <c r="G426" s="260"/>
      <c r="H426" s="260"/>
      <c r="I426" s="260"/>
      <c r="J426" s="260"/>
      <c r="K426" s="260"/>
      <c r="L426" s="260"/>
      <c r="M426" s="260"/>
      <c r="N426" s="260"/>
      <c r="O426" s="260"/>
      <c r="P426" s="260"/>
      <c r="Q426" s="260"/>
      <c r="R426" s="260"/>
      <c r="S426" s="260"/>
      <c r="T426" s="260"/>
      <c r="U426" s="260"/>
      <c r="V426" s="260"/>
      <c r="W426" s="260"/>
      <c r="X426" s="260"/>
      <c r="Y426" s="260"/>
      <c r="Z426" s="260"/>
      <c r="AA426" s="260"/>
      <c r="AB426" s="260"/>
      <c r="AC426" s="260"/>
      <c r="AD426" s="260"/>
      <c r="AE426" s="260"/>
      <c r="AF426" s="260"/>
      <c r="AG426" s="260"/>
      <c r="AH426" s="260"/>
      <c r="AI426" s="261"/>
    </row>
    <row r="427" spans="1:35" ht="15" customHeight="1" x14ac:dyDescent="0.45">
      <c r="A427" s="259"/>
      <c r="B427" s="260"/>
      <c r="C427" s="260"/>
      <c r="D427" s="260"/>
      <c r="E427" s="260"/>
      <c r="F427" s="260"/>
      <c r="G427" s="260"/>
      <c r="H427" s="260"/>
      <c r="I427" s="260"/>
      <c r="J427" s="260"/>
      <c r="K427" s="260"/>
      <c r="L427" s="260"/>
      <c r="M427" s="260"/>
      <c r="N427" s="260"/>
      <c r="O427" s="260"/>
      <c r="P427" s="260"/>
      <c r="Q427" s="260"/>
      <c r="R427" s="260"/>
      <c r="S427" s="260"/>
      <c r="T427" s="260"/>
      <c r="U427" s="260"/>
      <c r="V427" s="260"/>
      <c r="W427" s="260"/>
      <c r="X427" s="260"/>
      <c r="Y427" s="260"/>
      <c r="Z427" s="260"/>
      <c r="AA427" s="260"/>
      <c r="AB427" s="260"/>
      <c r="AC427" s="260"/>
      <c r="AD427" s="260"/>
      <c r="AE427" s="260"/>
      <c r="AF427" s="260"/>
      <c r="AG427" s="260"/>
      <c r="AH427" s="260"/>
      <c r="AI427" s="261"/>
    </row>
    <row r="428" spans="1:35" ht="15" customHeight="1" x14ac:dyDescent="0.45">
      <c r="A428" s="259"/>
      <c r="B428" s="260"/>
      <c r="C428" s="260"/>
      <c r="D428" s="260"/>
      <c r="E428" s="260"/>
      <c r="F428" s="260"/>
      <c r="G428" s="260"/>
      <c r="H428" s="260"/>
      <c r="I428" s="260"/>
      <c r="J428" s="260"/>
      <c r="K428" s="260"/>
      <c r="L428" s="260"/>
      <c r="M428" s="260"/>
      <c r="N428" s="260"/>
      <c r="O428" s="260"/>
      <c r="P428" s="260"/>
      <c r="Q428" s="260"/>
      <c r="R428" s="260"/>
      <c r="S428" s="260"/>
      <c r="T428" s="260"/>
      <c r="U428" s="260"/>
      <c r="V428" s="260"/>
      <c r="W428" s="260"/>
      <c r="X428" s="260"/>
      <c r="Y428" s="260"/>
      <c r="Z428" s="260"/>
      <c r="AA428" s="260"/>
      <c r="AB428" s="260"/>
      <c r="AC428" s="260"/>
      <c r="AD428" s="260"/>
      <c r="AE428" s="260"/>
      <c r="AF428" s="260"/>
      <c r="AG428" s="260"/>
      <c r="AH428" s="260"/>
      <c r="AI428" s="261"/>
    </row>
    <row r="429" spans="1:35" ht="15" customHeight="1" x14ac:dyDescent="0.45">
      <c r="A429" s="259"/>
      <c r="B429" s="260"/>
      <c r="C429" s="260"/>
      <c r="D429" s="260"/>
      <c r="E429" s="260"/>
      <c r="F429" s="260"/>
      <c r="G429" s="260"/>
      <c r="H429" s="260"/>
      <c r="I429" s="260"/>
      <c r="J429" s="260"/>
      <c r="K429" s="260"/>
      <c r="L429" s="260"/>
      <c r="M429" s="260"/>
      <c r="N429" s="260"/>
      <c r="O429" s="260"/>
      <c r="P429" s="260"/>
      <c r="Q429" s="260"/>
      <c r="R429" s="260"/>
      <c r="S429" s="260"/>
      <c r="T429" s="260"/>
      <c r="U429" s="260"/>
      <c r="V429" s="260"/>
      <c r="W429" s="260"/>
      <c r="X429" s="260"/>
      <c r="Y429" s="260"/>
      <c r="Z429" s="260"/>
      <c r="AA429" s="260"/>
      <c r="AB429" s="260"/>
      <c r="AC429" s="260"/>
      <c r="AD429" s="260"/>
      <c r="AE429" s="260"/>
      <c r="AF429" s="260"/>
      <c r="AG429" s="260"/>
      <c r="AH429" s="260"/>
      <c r="AI429" s="261"/>
    </row>
    <row r="430" spans="1:35" ht="15" customHeight="1" x14ac:dyDescent="0.45">
      <c r="A430" s="259"/>
      <c r="B430" s="260"/>
      <c r="C430" s="260"/>
      <c r="D430" s="260"/>
      <c r="E430" s="260"/>
      <c r="F430" s="260"/>
      <c r="G430" s="260"/>
      <c r="H430" s="260"/>
      <c r="I430" s="260"/>
      <c r="J430" s="260"/>
      <c r="K430" s="260"/>
      <c r="L430" s="260"/>
      <c r="M430" s="260"/>
      <c r="N430" s="260"/>
      <c r="O430" s="260"/>
      <c r="P430" s="260"/>
      <c r="Q430" s="260"/>
      <c r="R430" s="260"/>
      <c r="S430" s="260"/>
      <c r="T430" s="260"/>
      <c r="U430" s="260"/>
      <c r="V430" s="260"/>
      <c r="W430" s="260"/>
      <c r="X430" s="260"/>
      <c r="Y430" s="260"/>
      <c r="Z430" s="260"/>
      <c r="AA430" s="260"/>
      <c r="AB430" s="260"/>
      <c r="AC430" s="260"/>
      <c r="AD430" s="260"/>
      <c r="AE430" s="260"/>
      <c r="AF430" s="260"/>
      <c r="AG430" s="260"/>
      <c r="AH430" s="260"/>
      <c r="AI430" s="261"/>
    </row>
    <row r="431" spans="1:35" ht="15" customHeight="1" x14ac:dyDescent="0.45">
      <c r="A431" s="259"/>
      <c r="B431" s="260"/>
      <c r="C431" s="260"/>
      <c r="D431" s="260"/>
      <c r="E431" s="260"/>
      <c r="F431" s="260"/>
      <c r="G431" s="260"/>
      <c r="H431" s="260"/>
      <c r="I431" s="260"/>
      <c r="J431" s="260"/>
      <c r="K431" s="260"/>
      <c r="L431" s="260"/>
      <c r="M431" s="260"/>
      <c r="N431" s="260"/>
      <c r="O431" s="260"/>
      <c r="P431" s="260"/>
      <c r="Q431" s="260"/>
      <c r="R431" s="260"/>
      <c r="S431" s="260"/>
      <c r="T431" s="260"/>
      <c r="U431" s="260"/>
      <c r="V431" s="260"/>
      <c r="W431" s="260"/>
      <c r="X431" s="260"/>
      <c r="Y431" s="260"/>
      <c r="Z431" s="260"/>
      <c r="AA431" s="260"/>
      <c r="AB431" s="260"/>
      <c r="AC431" s="260"/>
      <c r="AD431" s="260"/>
      <c r="AE431" s="260"/>
      <c r="AF431" s="260"/>
      <c r="AG431" s="260"/>
      <c r="AH431" s="260"/>
      <c r="AI431" s="261"/>
    </row>
    <row r="432" spans="1:35" ht="15" customHeight="1" x14ac:dyDescent="0.45">
      <c r="A432" s="259"/>
      <c r="B432" s="260"/>
      <c r="C432" s="260"/>
      <c r="D432" s="260"/>
      <c r="E432" s="260"/>
      <c r="F432" s="260"/>
      <c r="G432" s="260"/>
      <c r="H432" s="260"/>
      <c r="I432" s="260"/>
      <c r="J432" s="260"/>
      <c r="K432" s="260"/>
      <c r="L432" s="260"/>
      <c r="M432" s="260"/>
      <c r="N432" s="260"/>
      <c r="O432" s="260"/>
      <c r="P432" s="260"/>
      <c r="Q432" s="260"/>
      <c r="R432" s="260"/>
      <c r="S432" s="260"/>
      <c r="T432" s="260"/>
      <c r="U432" s="260"/>
      <c r="V432" s="260"/>
      <c r="W432" s="260"/>
      <c r="X432" s="260"/>
      <c r="Y432" s="260"/>
      <c r="Z432" s="260"/>
      <c r="AA432" s="260"/>
      <c r="AB432" s="260"/>
      <c r="AC432" s="260"/>
      <c r="AD432" s="260"/>
      <c r="AE432" s="260"/>
      <c r="AF432" s="260"/>
      <c r="AG432" s="260"/>
      <c r="AH432" s="260"/>
      <c r="AI432" s="261"/>
    </row>
    <row r="433" spans="1:35" ht="15" customHeight="1" x14ac:dyDescent="0.45">
      <c r="A433" s="259"/>
      <c r="B433" s="260"/>
      <c r="C433" s="260"/>
      <c r="D433" s="260"/>
      <c r="E433" s="260"/>
      <c r="F433" s="260"/>
      <c r="G433" s="260"/>
      <c r="H433" s="260"/>
      <c r="I433" s="260"/>
      <c r="J433" s="260"/>
      <c r="K433" s="260"/>
      <c r="L433" s="260"/>
      <c r="M433" s="260"/>
      <c r="N433" s="260"/>
      <c r="O433" s="260"/>
      <c r="P433" s="260"/>
      <c r="Q433" s="260"/>
      <c r="R433" s="260"/>
      <c r="S433" s="260"/>
      <c r="T433" s="260"/>
      <c r="U433" s="260"/>
      <c r="V433" s="260"/>
      <c r="W433" s="260"/>
      <c r="X433" s="260"/>
      <c r="Y433" s="260"/>
      <c r="Z433" s="260"/>
      <c r="AA433" s="260"/>
      <c r="AB433" s="260"/>
      <c r="AC433" s="260"/>
      <c r="AD433" s="260"/>
      <c r="AE433" s="260"/>
      <c r="AF433" s="260"/>
      <c r="AG433" s="260"/>
      <c r="AH433" s="260"/>
      <c r="AI433" s="261"/>
    </row>
    <row r="434" spans="1:35" ht="15" customHeight="1" x14ac:dyDescent="0.45">
      <c r="A434" s="262"/>
      <c r="B434" s="263"/>
      <c r="C434" s="263"/>
      <c r="D434" s="263"/>
      <c r="E434" s="263"/>
      <c r="F434" s="263"/>
      <c r="G434" s="263"/>
      <c r="H434" s="263"/>
      <c r="I434" s="263"/>
      <c r="J434" s="263"/>
      <c r="K434" s="263"/>
      <c r="L434" s="263"/>
      <c r="M434" s="263"/>
      <c r="N434" s="263"/>
      <c r="O434" s="263"/>
      <c r="P434" s="263"/>
      <c r="Q434" s="263"/>
      <c r="R434" s="263"/>
      <c r="S434" s="263"/>
      <c r="T434" s="263"/>
      <c r="U434" s="263"/>
      <c r="V434" s="263"/>
      <c r="W434" s="263"/>
      <c r="X434" s="263"/>
      <c r="Y434" s="263"/>
      <c r="Z434" s="263"/>
      <c r="AA434" s="263"/>
      <c r="AB434" s="263"/>
      <c r="AC434" s="263"/>
      <c r="AD434" s="263"/>
      <c r="AE434" s="263"/>
      <c r="AF434" s="263"/>
      <c r="AG434" s="263"/>
      <c r="AH434" s="263"/>
      <c r="AI434" s="264"/>
    </row>
    <row r="435" spans="1:35" ht="15" customHeight="1" x14ac:dyDescent="0.45"/>
    <row r="436" spans="1:35" ht="15" customHeight="1" x14ac:dyDescent="0.45">
      <c r="A436" s="14" t="s">
        <v>209</v>
      </c>
      <c r="B436" s="14"/>
      <c r="C436" s="14"/>
      <c r="D436" s="14"/>
      <c r="E436" s="14"/>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66"/>
      <c r="AD436" s="66"/>
      <c r="AE436" s="66"/>
      <c r="AF436" s="66"/>
      <c r="AG436" s="66"/>
      <c r="AH436" s="66"/>
      <c r="AI436" s="66"/>
    </row>
    <row r="437" spans="1:35" ht="15" customHeight="1" x14ac:dyDescent="0.45"/>
    <row r="438" spans="1:35" ht="15" customHeight="1" x14ac:dyDescent="0.45"/>
    <row r="439" spans="1:35" ht="15" customHeight="1" x14ac:dyDescent="0.45"/>
    <row r="440" spans="1:35" ht="15" customHeight="1" x14ac:dyDescent="0.45"/>
    <row r="441" spans="1:35" ht="15" customHeight="1" x14ac:dyDescent="0.45"/>
    <row r="442" spans="1:35" ht="15" customHeight="1" x14ac:dyDescent="0.45"/>
    <row r="443" spans="1:35" ht="15" customHeight="1" x14ac:dyDescent="0.45"/>
    <row r="444" spans="1:35" ht="15" customHeight="1" x14ac:dyDescent="0.45"/>
    <row r="445" spans="1:35" ht="15" customHeight="1" x14ac:dyDescent="0.45"/>
    <row r="446" spans="1:35" ht="15" customHeight="1" x14ac:dyDescent="0.45"/>
    <row r="447" spans="1:35" ht="15" customHeight="1" x14ac:dyDescent="0.45"/>
    <row r="448" spans="1:35" ht="15" customHeight="1" x14ac:dyDescent="0.45"/>
    <row r="449" ht="15" customHeight="1" x14ac:dyDescent="0.45"/>
    <row r="450" ht="15" customHeight="1" x14ac:dyDescent="0.45"/>
    <row r="451" ht="15" customHeight="1" x14ac:dyDescent="0.45"/>
    <row r="452" ht="15" customHeight="1" x14ac:dyDescent="0.45"/>
    <row r="453" ht="15" customHeight="1" x14ac:dyDescent="0.45"/>
    <row r="454" ht="15" customHeight="1" x14ac:dyDescent="0.45"/>
    <row r="455" ht="15" customHeight="1" x14ac:dyDescent="0.45"/>
    <row r="456" ht="15" customHeight="1" x14ac:dyDescent="0.45"/>
    <row r="457" ht="15" customHeight="1" x14ac:dyDescent="0.45"/>
    <row r="458" ht="15" customHeight="1" x14ac:dyDescent="0.45"/>
    <row r="459" ht="15" customHeight="1" x14ac:dyDescent="0.45"/>
    <row r="460" ht="15" customHeight="1" x14ac:dyDescent="0.45"/>
    <row r="461" ht="15" customHeight="1" x14ac:dyDescent="0.45"/>
    <row r="462" ht="15" customHeight="1" x14ac:dyDescent="0.45"/>
    <row r="463" ht="15" customHeight="1" x14ac:dyDescent="0.45"/>
    <row r="464" ht="15" customHeight="1" x14ac:dyDescent="0.45"/>
    <row r="465" ht="15" customHeight="1" x14ac:dyDescent="0.45"/>
    <row r="466" ht="15" customHeight="1" x14ac:dyDescent="0.45"/>
    <row r="467" ht="15" customHeight="1" x14ac:dyDescent="0.45"/>
    <row r="468" ht="15" customHeight="1" x14ac:dyDescent="0.45"/>
    <row r="469" ht="15" customHeight="1" x14ac:dyDescent="0.45"/>
    <row r="470" ht="15" customHeight="1" x14ac:dyDescent="0.45"/>
    <row r="471" ht="15" customHeight="1" x14ac:dyDescent="0.45"/>
    <row r="472" ht="15" customHeight="1" x14ac:dyDescent="0.45"/>
    <row r="473" ht="15" customHeight="1" x14ac:dyDescent="0.45"/>
    <row r="474" ht="15" customHeight="1" x14ac:dyDescent="0.45"/>
    <row r="475" ht="15" customHeight="1" x14ac:dyDescent="0.45"/>
    <row r="476" ht="15" customHeight="1" x14ac:dyDescent="0.45"/>
    <row r="477" ht="15" customHeight="1" x14ac:dyDescent="0.45"/>
    <row r="478" ht="15" customHeight="1" x14ac:dyDescent="0.45"/>
    <row r="479" ht="15" customHeight="1" x14ac:dyDescent="0.45"/>
    <row r="480" ht="15" customHeight="1" x14ac:dyDescent="0.45"/>
    <row r="481" spans="1:35" ht="15" customHeight="1" x14ac:dyDescent="0.45"/>
    <row r="482" spans="1:35" ht="15" customHeight="1" x14ac:dyDescent="0.45"/>
    <row r="483" spans="1:35" ht="15" customHeight="1" x14ac:dyDescent="0.45"/>
    <row r="484" spans="1:35" ht="15" customHeight="1" x14ac:dyDescent="0.45"/>
    <row r="485" spans="1:35" ht="15" customHeight="1" x14ac:dyDescent="0.45">
      <c r="A485" s="14" t="s">
        <v>210</v>
      </c>
      <c r="B485" s="14"/>
      <c r="C485" s="14"/>
      <c r="D485" s="14"/>
      <c r="E485" s="14"/>
      <c r="F485" s="15" t="s">
        <v>211</v>
      </c>
      <c r="G485" s="15"/>
      <c r="H485" s="15"/>
      <c r="I485" s="15"/>
      <c r="J485" s="15"/>
      <c r="K485" s="15"/>
      <c r="L485" s="15"/>
      <c r="M485" s="15"/>
      <c r="N485" s="15"/>
      <c r="O485" s="15"/>
      <c r="P485" s="15"/>
      <c r="Q485" s="15"/>
      <c r="R485" s="15"/>
      <c r="S485" s="15"/>
      <c r="T485" s="15"/>
      <c r="U485" s="15"/>
      <c r="V485" s="15"/>
      <c r="W485" s="15"/>
      <c r="X485" s="15"/>
      <c r="Y485" s="15"/>
      <c r="Z485" s="15"/>
      <c r="AA485" s="15"/>
      <c r="AB485" s="15"/>
      <c r="AC485" s="66" t="s">
        <v>212</v>
      </c>
      <c r="AD485" s="66"/>
      <c r="AE485" s="66"/>
      <c r="AF485" s="66"/>
      <c r="AG485" s="66"/>
      <c r="AH485" s="66"/>
      <c r="AI485" s="66"/>
    </row>
    <row r="486" spans="1:35" ht="15" customHeight="1" x14ac:dyDescent="0.45"/>
    <row r="487" spans="1:35" ht="15" customHeight="1" thickBot="1" x14ac:dyDescent="0.5">
      <c r="A487" s="78" t="s">
        <v>98</v>
      </c>
      <c r="B487" s="79"/>
      <c r="C487" s="80"/>
      <c r="D487" s="78" t="s">
        <v>99</v>
      </c>
      <c r="E487" s="79"/>
      <c r="F487" s="79"/>
      <c r="G487" s="79"/>
      <c r="H487" s="79"/>
      <c r="I487" s="79"/>
      <c r="J487" s="79"/>
      <c r="K487" s="79"/>
      <c r="L487" s="79"/>
      <c r="M487" s="79"/>
      <c r="N487" s="79"/>
      <c r="O487" s="79"/>
      <c r="P487" s="79"/>
      <c r="Q487" s="79"/>
      <c r="R487" s="79"/>
      <c r="S487" s="79"/>
      <c r="T487" s="79"/>
      <c r="U487" s="79"/>
      <c r="V487" s="79"/>
      <c r="W487" s="79"/>
      <c r="X487" s="79"/>
      <c r="Y487" s="79"/>
      <c r="Z487" s="79"/>
      <c r="AA487" s="79"/>
      <c r="AB487" s="79"/>
      <c r="AC487" s="80"/>
      <c r="AD487" s="78" t="s">
        <v>100</v>
      </c>
      <c r="AE487" s="79"/>
      <c r="AF487" s="79"/>
      <c r="AG487" s="79"/>
      <c r="AH487" s="79"/>
      <c r="AI487" s="80"/>
    </row>
    <row r="488" spans="1:35" ht="15" customHeight="1" thickTop="1" x14ac:dyDescent="0.45">
      <c r="A488" s="164" t="s">
        <v>180</v>
      </c>
      <c r="B488" s="165"/>
      <c r="C488" s="166"/>
      <c r="D488" s="287" t="s">
        <v>213</v>
      </c>
      <c r="E488" s="288"/>
      <c r="F488" s="288"/>
      <c r="G488" s="288"/>
      <c r="H488" s="288"/>
      <c r="I488" s="288"/>
      <c r="J488" s="288"/>
      <c r="K488" s="288"/>
      <c r="L488" s="288"/>
      <c r="M488" s="288"/>
      <c r="N488" s="288"/>
      <c r="O488" s="288"/>
      <c r="P488" s="288"/>
      <c r="Q488" s="288"/>
      <c r="R488" s="288"/>
      <c r="S488" s="288"/>
      <c r="T488" s="288"/>
      <c r="U488" s="288"/>
      <c r="V488" s="288"/>
      <c r="W488" s="288"/>
      <c r="X488" s="288"/>
      <c r="Z488" s="289"/>
      <c r="AA488" s="289"/>
      <c r="AB488" s="289"/>
      <c r="AC488" s="19"/>
      <c r="AD488" s="147" t="s">
        <v>214</v>
      </c>
      <c r="AE488" s="148"/>
      <c r="AF488" s="148"/>
      <c r="AG488" s="148"/>
      <c r="AH488" s="148"/>
      <c r="AI488" s="201"/>
    </row>
    <row r="489" spans="1:35" ht="15" customHeight="1" x14ac:dyDescent="0.45">
      <c r="A489" s="159"/>
      <c r="B489" s="160"/>
      <c r="C489" s="161"/>
      <c r="D489" s="285"/>
      <c r="E489" s="286"/>
      <c r="F489" s="286"/>
      <c r="G489" s="286"/>
      <c r="H489" s="286"/>
      <c r="I489" s="286"/>
      <c r="J489" s="286"/>
      <c r="K489" s="286"/>
      <c r="L489" s="286"/>
      <c r="M489" s="286"/>
      <c r="N489" s="286"/>
      <c r="O489" s="286"/>
      <c r="P489" s="286"/>
      <c r="Q489" s="286"/>
      <c r="R489" s="286"/>
      <c r="S489" s="286"/>
      <c r="T489" s="286"/>
      <c r="U489" s="286"/>
      <c r="V489" s="286"/>
      <c r="W489" s="286"/>
      <c r="X489" s="286"/>
      <c r="Y489" s="40"/>
      <c r="Z489" s="48"/>
      <c r="AA489" s="48"/>
      <c r="AB489" s="48"/>
      <c r="AC489" s="290"/>
      <c r="AD489" s="154"/>
      <c r="AE489" s="155"/>
      <c r="AF489" s="155"/>
      <c r="AG489" s="155"/>
      <c r="AH489" s="155"/>
      <c r="AI489" s="194"/>
    </row>
    <row r="490" spans="1:35" ht="15" customHeight="1" x14ac:dyDescent="0.45">
      <c r="A490" s="164" t="s">
        <v>180</v>
      </c>
      <c r="B490" s="165"/>
      <c r="C490" s="165"/>
      <c r="D490" s="86" t="s">
        <v>215</v>
      </c>
      <c r="E490" s="87"/>
      <c r="F490" s="87"/>
      <c r="G490" s="87"/>
      <c r="H490" s="87"/>
      <c r="I490" s="87"/>
      <c r="J490" s="87"/>
      <c r="K490" s="87"/>
      <c r="L490" s="87"/>
      <c r="M490" s="18"/>
      <c r="N490" s="89"/>
      <c r="O490" s="89"/>
      <c r="P490" s="89"/>
      <c r="Q490" s="89"/>
      <c r="R490" s="89"/>
      <c r="S490" s="89"/>
      <c r="T490" s="89"/>
      <c r="U490" s="89"/>
      <c r="V490" s="89"/>
      <c r="W490" s="89"/>
      <c r="X490" s="89"/>
      <c r="Y490" s="89"/>
      <c r="Z490" s="89"/>
      <c r="AA490" s="89"/>
      <c r="AB490" s="89"/>
      <c r="AC490" s="291"/>
      <c r="AD490" s="155"/>
      <c r="AE490" s="155"/>
      <c r="AF490" s="155"/>
      <c r="AG490" s="155"/>
      <c r="AH490" s="155"/>
      <c r="AI490" s="194"/>
    </row>
    <row r="491" spans="1:35" ht="15" customHeight="1" x14ac:dyDescent="0.45">
      <c r="A491" s="159"/>
      <c r="B491" s="160"/>
      <c r="C491" s="160"/>
      <c r="D491" s="279" t="s">
        <v>216</v>
      </c>
      <c r="E491" s="111"/>
      <c r="F491" s="111"/>
      <c r="G491" s="111"/>
      <c r="H491" s="111"/>
      <c r="I491" s="111"/>
      <c r="J491" s="111"/>
      <c r="K491" s="111"/>
      <c r="L491" s="111"/>
      <c r="M491" s="142"/>
      <c r="N491" s="48"/>
      <c r="O491" s="48"/>
      <c r="P491" s="48"/>
      <c r="Q491" s="48"/>
      <c r="R491" s="48"/>
      <c r="S491" s="48"/>
      <c r="T491" s="48"/>
      <c r="U491" s="48"/>
      <c r="V491" s="48"/>
      <c r="W491" s="48"/>
      <c r="X491" s="48"/>
      <c r="Y491" s="48"/>
      <c r="Z491" s="48"/>
      <c r="AA491" s="48"/>
      <c r="AB491" s="48"/>
      <c r="AC491" s="49"/>
      <c r="AD491" s="155"/>
      <c r="AE491" s="155"/>
      <c r="AF491" s="155"/>
      <c r="AG491" s="155"/>
      <c r="AH491" s="155"/>
      <c r="AI491" s="194"/>
    </row>
    <row r="492" spans="1:35" ht="15" customHeight="1" x14ac:dyDescent="0.45">
      <c r="A492" s="292" t="s">
        <v>180</v>
      </c>
      <c r="B492" s="293"/>
      <c r="C492" s="294"/>
      <c r="D492" s="86" t="s">
        <v>217</v>
      </c>
      <c r="E492" s="87"/>
      <c r="F492" s="87"/>
      <c r="G492" s="87"/>
      <c r="H492" s="87"/>
      <c r="I492" s="87"/>
      <c r="J492" s="87"/>
      <c r="K492" s="87"/>
      <c r="N492" s="89"/>
      <c r="O492" s="89"/>
      <c r="P492" s="89"/>
      <c r="Q492" s="89"/>
      <c r="R492" s="89"/>
      <c r="S492" s="89"/>
      <c r="T492" s="89"/>
      <c r="U492" s="89"/>
      <c r="V492" s="89"/>
      <c r="W492" s="89"/>
      <c r="X492" s="89"/>
      <c r="Y492" s="89"/>
      <c r="Z492" s="89"/>
      <c r="AA492" s="89"/>
      <c r="AB492" s="89"/>
      <c r="AC492" s="291"/>
      <c r="AD492" s="147"/>
      <c r="AE492" s="148"/>
      <c r="AF492" s="148"/>
      <c r="AG492" s="148"/>
      <c r="AH492" s="148"/>
      <c r="AI492" s="201"/>
    </row>
    <row r="493" spans="1:35" ht="15" customHeight="1" x14ac:dyDescent="0.45">
      <c r="A493" s="295"/>
      <c r="B493" s="296"/>
      <c r="C493" s="297"/>
      <c r="D493" s="279" t="s">
        <v>218</v>
      </c>
      <c r="E493" s="111"/>
      <c r="F493" s="111"/>
      <c r="G493" s="111"/>
      <c r="H493" s="111"/>
      <c r="I493" s="111"/>
      <c r="J493" s="111"/>
      <c r="K493" s="111"/>
      <c r="L493" s="111"/>
      <c r="N493" s="2"/>
      <c r="O493" s="2"/>
      <c r="P493" s="2"/>
      <c r="Q493" s="2"/>
      <c r="R493" s="2"/>
      <c r="S493" s="2"/>
      <c r="T493" s="2"/>
      <c r="U493" s="2"/>
      <c r="V493" s="2"/>
      <c r="W493" s="2"/>
      <c r="X493" s="2"/>
      <c r="Y493" s="2"/>
      <c r="Z493" s="2"/>
      <c r="AA493" s="2"/>
      <c r="AB493" s="2"/>
      <c r="AC493" s="39"/>
      <c r="AD493" s="154"/>
      <c r="AE493" s="155"/>
      <c r="AF493" s="155"/>
      <c r="AG493" s="155"/>
      <c r="AH493" s="155"/>
      <c r="AI493" s="194"/>
    </row>
    <row r="494" spans="1:35" ht="15" customHeight="1" x14ac:dyDescent="0.45">
      <c r="A494" s="164" t="s">
        <v>159</v>
      </c>
      <c r="B494" s="165"/>
      <c r="C494" s="166"/>
      <c r="D494" s="31" t="s">
        <v>219</v>
      </c>
      <c r="E494" s="32"/>
      <c r="F494" s="32"/>
      <c r="G494" s="32"/>
      <c r="H494" s="32"/>
      <c r="I494" s="32"/>
      <c r="J494" s="32"/>
      <c r="K494" s="32"/>
      <c r="L494" s="32"/>
      <c r="M494" s="88" t="s">
        <v>90</v>
      </c>
      <c r="N494" s="298"/>
      <c r="O494" s="298"/>
      <c r="P494" s="298"/>
      <c r="Q494" s="90" t="s">
        <v>157</v>
      </c>
      <c r="R494" s="18"/>
      <c r="S494" s="18"/>
      <c r="T494" s="18"/>
      <c r="U494" s="18"/>
      <c r="V494" s="18"/>
      <c r="W494" s="18"/>
      <c r="X494" s="18"/>
      <c r="Y494" s="18"/>
      <c r="Z494" s="18"/>
      <c r="AA494" s="18"/>
      <c r="AB494" s="18"/>
      <c r="AC494" s="19"/>
      <c r="AD494" s="269" t="s">
        <v>220</v>
      </c>
      <c r="AE494" s="148"/>
      <c r="AF494" s="148"/>
      <c r="AG494" s="148"/>
      <c r="AH494" s="148"/>
      <c r="AI494" s="201"/>
    </row>
    <row r="495" spans="1:35" ht="15" customHeight="1" x14ac:dyDescent="0.45">
      <c r="A495" s="299"/>
      <c r="B495" s="300"/>
      <c r="C495" s="301"/>
      <c r="D495" s="20" t="s">
        <v>221</v>
      </c>
      <c r="E495" s="21"/>
      <c r="F495" s="21"/>
      <c r="G495" s="21"/>
      <c r="H495" s="21"/>
      <c r="I495" s="21"/>
      <c r="J495" s="21"/>
      <c r="K495" s="21"/>
      <c r="L495" s="6"/>
      <c r="Z495" s="6"/>
      <c r="AA495" s="6"/>
      <c r="AB495" s="6"/>
      <c r="AC495" s="290"/>
      <c r="AD495" s="152"/>
      <c r="AE495" s="153"/>
      <c r="AF495" s="153"/>
      <c r="AG495" s="153"/>
      <c r="AH495" s="153"/>
      <c r="AI495" s="275"/>
    </row>
    <row r="496" spans="1:35" ht="15" customHeight="1" x14ac:dyDescent="0.45">
      <c r="A496" s="299"/>
      <c r="B496" s="300"/>
      <c r="C496" s="301"/>
      <c r="D496" s="302"/>
      <c r="E496" s="6"/>
      <c r="F496" s="51" t="s">
        <v>90</v>
      </c>
      <c r="G496" s="42"/>
      <c r="H496" s="42"/>
      <c r="I496" s="42"/>
      <c r="J496" s="6" t="s">
        <v>157</v>
      </c>
      <c r="K496" s="6"/>
      <c r="L496" s="6"/>
      <c r="M496" s="6"/>
      <c r="Y496" s="6"/>
      <c r="Z496" s="6"/>
      <c r="AA496" s="6"/>
      <c r="AB496" s="6"/>
      <c r="AC496" s="290"/>
      <c r="AD496" s="152"/>
      <c r="AE496" s="153"/>
      <c r="AF496" s="153"/>
      <c r="AG496" s="153"/>
      <c r="AH496" s="153"/>
      <c r="AI496" s="275"/>
    </row>
    <row r="497" spans="1:35" ht="15" customHeight="1" x14ac:dyDescent="0.45">
      <c r="A497" s="299"/>
      <c r="B497" s="300"/>
      <c r="C497" s="301"/>
      <c r="D497" s="20" t="s">
        <v>222</v>
      </c>
      <c r="E497" s="21"/>
      <c r="F497" s="21"/>
      <c r="G497" s="21"/>
      <c r="H497" s="21"/>
      <c r="I497" s="21"/>
      <c r="J497" s="6"/>
      <c r="K497" s="6"/>
      <c r="L497" s="6"/>
      <c r="Z497" s="6"/>
      <c r="AA497" s="6"/>
      <c r="AB497" s="6"/>
      <c r="AC497" s="290"/>
      <c r="AD497" s="152"/>
      <c r="AE497" s="153"/>
      <c r="AF497" s="153"/>
      <c r="AG497" s="153"/>
      <c r="AH497" s="153"/>
      <c r="AI497" s="275"/>
    </row>
    <row r="498" spans="1:35" ht="15" customHeight="1" x14ac:dyDescent="0.45">
      <c r="A498" s="299"/>
      <c r="B498" s="300"/>
      <c r="C498" s="301"/>
      <c r="D498" s="302"/>
      <c r="E498" s="6"/>
      <c r="F498" s="51" t="s">
        <v>90</v>
      </c>
      <c r="G498" s="42"/>
      <c r="H498" s="42"/>
      <c r="I498" s="42"/>
      <c r="J498" s="97" t="str">
        <f>"m on " &amp; V$1 &amp; " Road Approach"</f>
        <v>m on N Road Approach</v>
      </c>
      <c r="K498" s="97"/>
      <c r="L498" s="97"/>
      <c r="M498" s="97"/>
      <c r="N498" s="97"/>
      <c r="O498" s="97"/>
      <c r="Q498" s="51" t="s">
        <v>90</v>
      </c>
      <c r="R498" s="42"/>
      <c r="S498" s="42"/>
      <c r="T498" s="42"/>
      <c r="U498" s="97" t="str">
        <f>"m on " &amp; Z$1 &amp; " Road Approach"</f>
        <v>m on S Road Approach</v>
      </c>
      <c r="V498" s="97"/>
      <c r="W498" s="97"/>
      <c r="X498" s="97"/>
      <c r="Y498" s="97"/>
      <c r="Z498" s="97"/>
      <c r="AA498" s="6"/>
      <c r="AB498" s="6"/>
      <c r="AC498" s="290"/>
      <c r="AD498" s="152"/>
      <c r="AE498" s="153"/>
      <c r="AF498" s="153"/>
      <c r="AG498" s="153"/>
      <c r="AH498" s="153"/>
      <c r="AI498" s="275"/>
    </row>
    <row r="499" spans="1:35" ht="15" customHeight="1" x14ac:dyDescent="0.45">
      <c r="A499" s="299"/>
      <c r="B499" s="300"/>
      <c r="C499" s="301"/>
      <c r="D499" s="20" t="s">
        <v>223</v>
      </c>
      <c r="E499" s="21"/>
      <c r="F499" s="21"/>
      <c r="G499" s="21"/>
      <c r="H499" s="21"/>
      <c r="I499" s="21"/>
      <c r="J499" s="21"/>
      <c r="K499" s="6"/>
      <c r="L499" s="6"/>
      <c r="Z499" s="6"/>
      <c r="AA499" s="6"/>
      <c r="AB499" s="6"/>
      <c r="AC499" s="290"/>
      <c r="AD499" s="152"/>
      <c r="AE499" s="153"/>
      <c r="AF499" s="153"/>
      <c r="AG499" s="153"/>
      <c r="AH499" s="153"/>
      <c r="AI499" s="275"/>
    </row>
    <row r="500" spans="1:35" ht="15" customHeight="1" x14ac:dyDescent="0.45">
      <c r="A500" s="299"/>
      <c r="B500" s="300"/>
      <c r="C500" s="301"/>
      <c r="D500" s="302"/>
      <c r="E500" s="6"/>
      <c r="F500" s="51" t="s">
        <v>90</v>
      </c>
      <c r="G500" s="42"/>
      <c r="H500" s="42"/>
      <c r="I500" s="42"/>
      <c r="J500" s="97" t="str">
        <f>"m on " &amp; N$1 &amp; " Rail Approach"</f>
        <v>m on E Rail Approach</v>
      </c>
      <c r="K500" s="97"/>
      <c r="L500" s="97"/>
      <c r="M500" s="97"/>
      <c r="N500" s="97"/>
      <c r="O500" s="97"/>
      <c r="Q500" s="51" t="s">
        <v>90</v>
      </c>
      <c r="R500" s="42"/>
      <c r="S500" s="42"/>
      <c r="T500" s="42"/>
      <c r="U500" s="97" t="str">
        <f>"m on " &amp; R$1 &amp; " Rail Apporach"</f>
        <v>m on W Rail Apporach</v>
      </c>
      <c r="V500" s="97"/>
      <c r="W500" s="97"/>
      <c r="X500" s="97"/>
      <c r="Y500" s="97"/>
      <c r="Z500" s="97"/>
      <c r="AA500" s="6"/>
      <c r="AB500" s="6"/>
      <c r="AC500" s="290"/>
      <c r="AD500" s="152"/>
      <c r="AE500" s="153"/>
      <c r="AF500" s="153"/>
      <c r="AG500" s="153"/>
      <c r="AH500" s="153"/>
      <c r="AI500" s="275"/>
    </row>
    <row r="501" spans="1:35" ht="15" customHeight="1" x14ac:dyDescent="0.45">
      <c r="A501" s="299"/>
      <c r="B501" s="300"/>
      <c r="C501" s="301"/>
      <c r="D501" s="20" t="s">
        <v>224</v>
      </c>
      <c r="E501" s="21"/>
      <c r="F501" s="21"/>
      <c r="G501" s="21"/>
      <c r="H501" s="21"/>
      <c r="I501" s="21"/>
      <c r="J501" s="21"/>
      <c r="K501" s="21"/>
      <c r="L501" s="21"/>
      <c r="M501" s="21"/>
      <c r="N501" s="21"/>
      <c r="O501" s="21"/>
      <c r="P501" s="21"/>
      <c r="Q501" s="21"/>
      <c r="R501" s="6"/>
      <c r="S501" s="6"/>
      <c r="T501" s="6"/>
      <c r="AA501" s="6"/>
      <c r="AB501" s="6"/>
      <c r="AC501" s="290"/>
      <c r="AD501" s="152"/>
      <c r="AE501" s="153"/>
      <c r="AF501" s="153"/>
      <c r="AG501" s="153"/>
      <c r="AH501" s="153"/>
      <c r="AI501" s="275"/>
    </row>
    <row r="502" spans="1:35" ht="15" customHeight="1" x14ac:dyDescent="0.45">
      <c r="A502" s="299"/>
      <c r="B502" s="300"/>
      <c r="C502" s="301"/>
      <c r="D502" s="302"/>
      <c r="E502" s="6"/>
      <c r="F502" s="51" t="s">
        <v>90</v>
      </c>
      <c r="G502" s="42"/>
      <c r="H502" s="42"/>
      <c r="I502" s="42"/>
      <c r="J502" s="97" t="str">
        <f>"m on " &amp; N$1 &amp; " Rail Approach"</f>
        <v>m on E Rail Approach</v>
      </c>
      <c r="K502" s="97"/>
      <c r="L502" s="97"/>
      <c r="M502" s="97"/>
      <c r="N502" s="97"/>
      <c r="O502" s="97"/>
      <c r="Q502" s="51" t="s">
        <v>90</v>
      </c>
      <c r="R502" s="42"/>
      <c r="S502" s="42"/>
      <c r="T502" s="42"/>
      <c r="U502" s="97" t="str">
        <f>"m on " &amp; R$1 &amp; " Rail Approach"</f>
        <v>m on W Rail Approach</v>
      </c>
      <c r="V502" s="97"/>
      <c r="W502" s="97"/>
      <c r="X502" s="97"/>
      <c r="Y502" s="97"/>
      <c r="Z502" s="97"/>
      <c r="AA502" s="6"/>
      <c r="AB502" s="6"/>
      <c r="AC502" s="290"/>
      <c r="AD502" s="152"/>
      <c r="AE502" s="153"/>
      <c r="AF502" s="153"/>
      <c r="AG502" s="153"/>
      <c r="AH502" s="153"/>
      <c r="AI502" s="275"/>
    </row>
    <row r="503" spans="1:35" ht="15" customHeight="1" x14ac:dyDescent="0.45">
      <c r="A503" s="299"/>
      <c r="B503" s="300"/>
      <c r="C503" s="301"/>
      <c r="D503" s="20" t="s">
        <v>225</v>
      </c>
      <c r="E503" s="21"/>
      <c r="F503" s="21"/>
      <c r="G503" s="21"/>
      <c r="H503" s="21"/>
      <c r="I503" s="21"/>
      <c r="J503" s="21"/>
      <c r="K503" s="21"/>
      <c r="L503" s="21"/>
      <c r="M503" s="21"/>
      <c r="N503" s="21"/>
      <c r="O503" s="21"/>
      <c r="P503" s="21"/>
      <c r="Q503" s="21"/>
      <c r="R503" s="21"/>
      <c r="S503" s="21"/>
      <c r="T503" s="21"/>
      <c r="U503" s="21"/>
      <c r="V503" s="6"/>
      <c r="W503" s="6"/>
      <c r="X503" s="6"/>
      <c r="Y503" s="6"/>
      <c r="Z503" s="6"/>
      <c r="AA503" s="6"/>
      <c r="AB503" s="6"/>
      <c r="AC503" s="290"/>
      <c r="AD503" s="152"/>
      <c r="AE503" s="153"/>
      <c r="AF503" s="153"/>
      <c r="AG503" s="153"/>
      <c r="AH503" s="153"/>
      <c r="AI503" s="275"/>
    </row>
    <row r="504" spans="1:35" ht="15" customHeight="1" x14ac:dyDescent="0.45">
      <c r="A504" s="299"/>
      <c r="B504" s="300"/>
      <c r="C504" s="301"/>
      <c r="D504" s="302"/>
      <c r="E504" s="6"/>
      <c r="F504" s="51" t="s">
        <v>90</v>
      </c>
      <c r="G504" s="42"/>
      <c r="H504" s="42"/>
      <c r="I504" s="42"/>
      <c r="J504" s="97" t="str">
        <f>"m on " &amp; N$1 &amp; " Rail Approach"</f>
        <v>m on E Rail Approach</v>
      </c>
      <c r="K504" s="97"/>
      <c r="L504" s="97"/>
      <c r="M504" s="97"/>
      <c r="N504" s="97"/>
      <c r="O504" s="97"/>
      <c r="Q504" s="51" t="s">
        <v>90</v>
      </c>
      <c r="R504" s="42"/>
      <c r="S504" s="42"/>
      <c r="T504" s="42"/>
      <c r="U504" s="97" t="str">
        <f>"m on " &amp; R$1 &amp; " Rail Approach"</f>
        <v>m on W Rail Approach</v>
      </c>
      <c r="V504" s="97"/>
      <c r="W504" s="97"/>
      <c r="X504" s="97"/>
      <c r="Y504" s="97"/>
      <c r="Z504" s="97"/>
      <c r="AA504" s="6"/>
      <c r="AB504" s="6"/>
      <c r="AC504" s="290"/>
      <c r="AD504" s="152"/>
      <c r="AE504" s="153"/>
      <c r="AF504" s="153"/>
      <c r="AG504" s="153"/>
      <c r="AH504" s="153"/>
      <c r="AI504" s="275"/>
    </row>
    <row r="505" spans="1:35" ht="15" customHeight="1" x14ac:dyDescent="0.45">
      <c r="A505" s="299"/>
      <c r="B505" s="300"/>
      <c r="C505" s="301"/>
      <c r="D505" s="20" t="s">
        <v>226</v>
      </c>
      <c r="E505" s="21"/>
      <c r="F505" s="21"/>
      <c r="G505" s="21"/>
      <c r="H505" s="21"/>
      <c r="I505" s="21"/>
      <c r="J505" s="21"/>
      <c r="K505" s="21"/>
      <c r="L505" s="6"/>
      <c r="M505" s="6"/>
      <c r="N505" s="6"/>
      <c r="O505" s="6"/>
      <c r="P505" s="6"/>
      <c r="Q505" s="6"/>
      <c r="R505" s="6"/>
      <c r="S505" s="6"/>
      <c r="T505" s="6"/>
      <c r="U505" s="6"/>
      <c r="V505" s="6"/>
      <c r="W505" s="6"/>
      <c r="X505" s="6"/>
      <c r="Y505" s="6"/>
      <c r="Z505" s="6"/>
      <c r="AA505" s="6"/>
      <c r="AB505" s="6"/>
      <c r="AC505" s="290"/>
      <c r="AD505" s="152"/>
      <c r="AE505" s="153"/>
      <c r="AF505" s="153"/>
      <c r="AG505" s="153"/>
      <c r="AH505" s="153"/>
      <c r="AI505" s="275"/>
    </row>
    <row r="506" spans="1:35" ht="15" customHeight="1" x14ac:dyDescent="0.45">
      <c r="A506" s="299"/>
      <c r="B506" s="300"/>
      <c r="C506" s="301"/>
      <c r="D506" s="302"/>
      <c r="E506" s="6"/>
      <c r="F506" s="51" t="s">
        <v>90</v>
      </c>
      <c r="G506" s="42"/>
      <c r="H506" s="42"/>
      <c r="I506" s="42"/>
      <c r="J506" s="97" t="str">
        <f>"m on " &amp; N$1 &amp; " Rail Approach"</f>
        <v>m on E Rail Approach</v>
      </c>
      <c r="K506" s="97"/>
      <c r="L506" s="97"/>
      <c r="M506" s="97"/>
      <c r="N506" s="97"/>
      <c r="O506" s="97"/>
      <c r="Q506" s="51" t="s">
        <v>90</v>
      </c>
      <c r="R506" s="42"/>
      <c r="S506" s="42"/>
      <c r="T506" s="42"/>
      <c r="U506" s="97" t="str">
        <f>"m on " &amp; R$1 &amp; " Rail Approach"</f>
        <v>m on W Rail Approach</v>
      </c>
      <c r="V506" s="97"/>
      <c r="W506" s="97"/>
      <c r="X506" s="97"/>
      <c r="Y506" s="97"/>
      <c r="Z506" s="97"/>
      <c r="AA506" s="6"/>
      <c r="AB506" s="6"/>
      <c r="AC506" s="290"/>
      <c r="AD506" s="152"/>
      <c r="AE506" s="153"/>
      <c r="AF506" s="153"/>
      <c r="AG506" s="153"/>
      <c r="AH506" s="153"/>
      <c r="AI506" s="275"/>
    </row>
    <row r="507" spans="1:35" ht="15" customHeight="1" x14ac:dyDescent="0.45">
      <c r="A507" s="299"/>
      <c r="B507" s="300"/>
      <c r="C507" s="301"/>
      <c r="D507" s="20" t="s">
        <v>227</v>
      </c>
      <c r="E507" s="21"/>
      <c r="F507" s="21"/>
      <c r="G507" s="21"/>
      <c r="H507" s="21"/>
      <c r="I507" s="21"/>
      <c r="J507" s="21"/>
      <c r="K507" s="21"/>
      <c r="L507" s="21"/>
      <c r="M507" s="21"/>
      <c r="N507" s="21"/>
      <c r="O507" s="21"/>
      <c r="P507" s="21"/>
      <c r="Q507" s="6"/>
      <c r="R507" s="6"/>
      <c r="S507" s="6"/>
      <c r="T507" s="6"/>
      <c r="U507" s="6"/>
      <c r="V507" s="6"/>
      <c r="W507" s="6"/>
      <c r="X507" s="6"/>
      <c r="Y507" s="6"/>
      <c r="Z507" s="6"/>
      <c r="AA507" s="6"/>
      <c r="AB507" s="6"/>
      <c r="AC507" s="290"/>
      <c r="AD507" s="152"/>
      <c r="AE507" s="153"/>
      <c r="AF507" s="153"/>
      <c r="AG507" s="153"/>
      <c r="AH507" s="153"/>
      <c r="AI507" s="275"/>
    </row>
    <row r="508" spans="1:35" ht="15" customHeight="1" x14ac:dyDescent="0.45">
      <c r="A508" s="299"/>
      <c r="B508" s="300"/>
      <c r="C508" s="301"/>
      <c r="D508" s="302"/>
      <c r="E508" s="6"/>
      <c r="F508" s="51" t="s">
        <v>90</v>
      </c>
      <c r="G508" s="303"/>
      <c r="H508" s="303"/>
      <c r="I508" s="303"/>
      <c r="J508" s="111" t="str">
        <f>"m on " &amp; N$1 &amp; " Rail Approach"</f>
        <v>m on E Rail Approach</v>
      </c>
      <c r="K508" s="111"/>
      <c r="L508" s="111"/>
      <c r="M508" s="111"/>
      <c r="N508" s="111"/>
      <c r="O508" s="111"/>
      <c r="Q508" s="51" t="s">
        <v>90</v>
      </c>
      <c r="R508" s="303"/>
      <c r="S508" s="303"/>
      <c r="T508" s="303"/>
      <c r="U508" s="111" t="str">
        <f>"m on " &amp; R$1 &amp; " Rail Apporach"</f>
        <v>m on W Rail Apporach</v>
      </c>
      <c r="V508" s="111"/>
      <c r="W508" s="111"/>
      <c r="X508" s="111"/>
      <c r="Y508" s="111"/>
      <c r="Z508" s="111"/>
      <c r="AA508" s="6"/>
      <c r="AB508" s="6"/>
      <c r="AC508" s="290"/>
      <c r="AD508" s="152"/>
      <c r="AE508" s="153"/>
      <c r="AF508" s="153"/>
      <c r="AG508" s="153"/>
      <c r="AH508" s="153"/>
      <c r="AI508" s="275"/>
    </row>
    <row r="509" spans="1:35" ht="15" customHeight="1" x14ac:dyDescent="0.45">
      <c r="A509" s="116"/>
      <c r="B509" s="117"/>
      <c r="C509" s="203"/>
      <c r="D509" s="116"/>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c r="AB509" s="117"/>
      <c r="AC509" s="203"/>
      <c r="AD509" s="214"/>
      <c r="AE509" s="215"/>
      <c r="AF509" s="215"/>
      <c r="AG509" s="215"/>
      <c r="AH509" s="215"/>
      <c r="AI509" s="216"/>
    </row>
    <row r="510" spans="1:35" ht="15" customHeight="1" x14ac:dyDescent="0.45">
      <c r="A510" s="302"/>
      <c r="B510" s="6"/>
      <c r="C510" s="6"/>
      <c r="D510" s="54" t="s">
        <v>228</v>
      </c>
      <c r="E510" s="55"/>
      <c r="F510" s="55"/>
      <c r="G510" s="55"/>
      <c r="H510" s="55"/>
      <c r="I510" s="6"/>
      <c r="J510" s="6"/>
      <c r="K510" s="6"/>
      <c r="L510" s="6"/>
      <c r="M510" s="6"/>
      <c r="N510" s="6"/>
      <c r="O510" s="6"/>
      <c r="P510" s="6"/>
      <c r="Q510" s="6"/>
      <c r="R510" s="6"/>
      <c r="S510" s="6"/>
      <c r="T510" s="6"/>
      <c r="U510" s="6"/>
      <c r="V510" s="6"/>
      <c r="W510" s="6"/>
      <c r="X510" s="6"/>
      <c r="Y510" s="6"/>
      <c r="Z510" s="6"/>
      <c r="AA510" s="6"/>
      <c r="AB510" s="6"/>
      <c r="AC510" s="6"/>
      <c r="AD510" s="214"/>
      <c r="AE510" s="215"/>
      <c r="AF510" s="215"/>
      <c r="AG510" s="215"/>
      <c r="AH510" s="215"/>
      <c r="AI510" s="216"/>
    </row>
    <row r="511" spans="1:35" ht="15" customHeight="1" x14ac:dyDescent="0.45">
      <c r="A511" s="195" t="s">
        <v>101</v>
      </c>
      <c r="B511" s="196"/>
      <c r="C511" s="197"/>
      <c r="D511" s="116" t="s">
        <v>229</v>
      </c>
      <c r="E511" s="117"/>
      <c r="F511" s="117"/>
      <c r="G511" s="117"/>
      <c r="H511" s="117"/>
      <c r="I511" s="134" t="s">
        <v>90</v>
      </c>
      <c r="J511" s="52"/>
      <c r="K511" s="52"/>
      <c r="L511" s="124" t="s">
        <v>230</v>
      </c>
      <c r="M511" s="118"/>
      <c r="N511" s="124"/>
      <c r="O511" s="117" t="s">
        <v>231</v>
      </c>
      <c r="P511" s="117"/>
      <c r="Q511" s="117"/>
      <c r="R511" s="117"/>
      <c r="S511" s="117"/>
      <c r="T511" s="117"/>
      <c r="U511" s="117"/>
      <c r="V511" s="117"/>
      <c r="W511" s="117"/>
      <c r="X511" s="117"/>
      <c r="Y511" s="117"/>
      <c r="Z511" s="124"/>
      <c r="AA511" s="124"/>
      <c r="AB511" s="124"/>
      <c r="AC511" s="212"/>
      <c r="AD511" s="214" t="s">
        <v>232</v>
      </c>
      <c r="AE511" s="215"/>
      <c r="AF511" s="215"/>
      <c r="AG511" s="215"/>
      <c r="AH511" s="215"/>
      <c r="AI511" s="216"/>
    </row>
    <row r="512" spans="1:35" ht="15" customHeight="1" x14ac:dyDescent="0.45">
      <c r="A512" s="195" t="s">
        <v>101</v>
      </c>
      <c r="B512" s="196"/>
      <c r="C512" s="197"/>
      <c r="D512" s="116" t="s">
        <v>233</v>
      </c>
      <c r="E512" s="117"/>
      <c r="F512" s="117"/>
      <c r="G512" s="117"/>
      <c r="H512" s="117"/>
      <c r="I512" s="134" t="s">
        <v>90</v>
      </c>
      <c r="J512" s="52"/>
      <c r="K512" s="52"/>
      <c r="L512" s="124" t="s">
        <v>230</v>
      </c>
      <c r="M512" s="118"/>
      <c r="N512" s="124"/>
      <c r="O512" s="117" t="s">
        <v>234</v>
      </c>
      <c r="P512" s="117"/>
      <c r="Q512" s="117"/>
      <c r="R512" s="117"/>
      <c r="S512" s="117"/>
      <c r="T512" s="117"/>
      <c r="U512" s="117"/>
      <c r="V512" s="117"/>
      <c r="W512" s="117"/>
      <c r="X512" s="117"/>
      <c r="Y512" s="117"/>
      <c r="Z512" s="124"/>
      <c r="AA512" s="124"/>
      <c r="AB512" s="124"/>
      <c r="AC512" s="212"/>
      <c r="AD512" s="214" t="s">
        <v>232</v>
      </c>
      <c r="AE512" s="215"/>
      <c r="AF512" s="215"/>
      <c r="AG512" s="215"/>
      <c r="AH512" s="215"/>
      <c r="AI512" s="216"/>
    </row>
    <row r="513" spans="1:35" ht="15" customHeight="1" x14ac:dyDescent="0.45">
      <c r="A513" s="116"/>
      <c r="B513" s="117"/>
      <c r="C513" s="203"/>
      <c r="D513" s="116"/>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c r="AB513" s="117"/>
      <c r="AC513" s="203"/>
      <c r="AD513" s="154"/>
      <c r="AE513" s="155"/>
      <c r="AF513" s="155"/>
      <c r="AG513" s="155"/>
      <c r="AH513" s="155"/>
      <c r="AI513" s="194"/>
    </row>
    <row r="514" spans="1:35" ht="15" customHeight="1" x14ac:dyDescent="0.45">
      <c r="A514" s="195" t="s">
        <v>101</v>
      </c>
      <c r="B514" s="196"/>
      <c r="C514" s="197"/>
      <c r="D514" s="116" t="s">
        <v>235</v>
      </c>
      <c r="E514" s="117"/>
      <c r="F514" s="117"/>
      <c r="G514" s="117"/>
      <c r="H514" s="117"/>
      <c r="I514" s="117"/>
      <c r="J514" s="134" t="s">
        <v>90</v>
      </c>
      <c r="K514" s="52"/>
      <c r="L514" s="52"/>
      <c r="M514" s="124" t="s">
        <v>230</v>
      </c>
      <c r="N514" s="124"/>
      <c r="O514" s="124"/>
      <c r="P514" s="117" t="s">
        <v>236</v>
      </c>
      <c r="Q514" s="117"/>
      <c r="R514" s="117"/>
      <c r="S514" s="117"/>
      <c r="T514" s="117"/>
      <c r="U514" s="117"/>
      <c r="V514" s="117"/>
      <c r="W514" s="124"/>
      <c r="X514" s="124"/>
      <c r="Y514" s="124"/>
      <c r="Z514" s="124"/>
      <c r="AA514" s="124"/>
      <c r="AB514" s="124"/>
      <c r="AC514" s="212"/>
      <c r="AD514" s="214" t="s">
        <v>232</v>
      </c>
      <c r="AE514" s="215"/>
      <c r="AF514" s="215"/>
      <c r="AG514" s="215"/>
      <c r="AH514" s="215"/>
      <c r="AI514" s="216"/>
    </row>
    <row r="515" spans="1:35" ht="15" customHeight="1" x14ac:dyDescent="0.45">
      <c r="A515" s="195" t="s">
        <v>101</v>
      </c>
      <c r="B515" s="196"/>
      <c r="C515" s="197"/>
      <c r="D515" s="116" t="s">
        <v>237</v>
      </c>
      <c r="E515" s="117"/>
      <c r="F515" s="117"/>
      <c r="G515" s="117"/>
      <c r="H515" s="117"/>
      <c r="I515" s="117"/>
      <c r="J515" s="134" t="s">
        <v>90</v>
      </c>
      <c r="K515" s="52"/>
      <c r="L515" s="52"/>
      <c r="M515" s="124" t="s">
        <v>230</v>
      </c>
      <c r="N515" s="124"/>
      <c r="O515" s="124"/>
      <c r="P515" s="117" t="s">
        <v>238</v>
      </c>
      <c r="Q515" s="117"/>
      <c r="R515" s="117"/>
      <c r="S515" s="117"/>
      <c r="T515" s="117"/>
      <c r="U515" s="117"/>
      <c r="V515" s="117"/>
      <c r="W515" s="124"/>
      <c r="X515" s="124"/>
      <c r="Y515" s="124"/>
      <c r="Z515" s="124"/>
      <c r="AA515" s="124"/>
      <c r="AB515" s="124"/>
      <c r="AC515" s="212"/>
      <c r="AD515" s="214" t="s">
        <v>232</v>
      </c>
      <c r="AE515" s="215"/>
      <c r="AF515" s="215"/>
      <c r="AG515" s="215"/>
      <c r="AH515" s="215"/>
      <c r="AI515" s="216"/>
    </row>
    <row r="516" spans="1:35" ht="15" customHeight="1" x14ac:dyDescent="0.45">
      <c r="A516" s="116"/>
      <c r="B516" s="117"/>
      <c r="C516" s="203"/>
      <c r="D516" s="116"/>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c r="AB516" s="117"/>
      <c r="AC516" s="203"/>
      <c r="AD516" s="154"/>
      <c r="AE516" s="155"/>
      <c r="AF516" s="155"/>
      <c r="AG516" s="155"/>
      <c r="AH516" s="155"/>
      <c r="AI516" s="194"/>
    </row>
    <row r="517" spans="1:35" ht="15" customHeight="1" x14ac:dyDescent="0.45">
      <c r="A517" s="304" t="s">
        <v>101</v>
      </c>
      <c r="B517" s="305"/>
      <c r="C517" s="306"/>
      <c r="D517" s="116" t="s">
        <v>239</v>
      </c>
      <c r="E517" s="117"/>
      <c r="F517" s="117"/>
      <c r="G517" s="117"/>
      <c r="H517" s="117"/>
      <c r="I517" s="117"/>
      <c r="J517" s="117"/>
      <c r="K517" s="117"/>
      <c r="L517" s="117"/>
      <c r="M517" s="117"/>
      <c r="N517" s="117"/>
      <c r="O517" s="134" t="s">
        <v>90</v>
      </c>
      <c r="P517" s="52"/>
      <c r="Q517" s="52"/>
      <c r="R517" s="124" t="s">
        <v>230</v>
      </c>
      <c r="S517" s="124"/>
      <c r="T517" s="117" t="s">
        <v>240</v>
      </c>
      <c r="U517" s="117"/>
      <c r="V517" s="117"/>
      <c r="W517" s="117"/>
      <c r="X517" s="117"/>
      <c r="Y517" s="117"/>
      <c r="Z517" s="117"/>
      <c r="AA517" s="124"/>
      <c r="AB517" s="124"/>
      <c r="AC517" s="212"/>
      <c r="AD517" s="214" t="s">
        <v>232</v>
      </c>
      <c r="AE517" s="215"/>
      <c r="AF517" s="215"/>
      <c r="AG517" s="215"/>
      <c r="AH517" s="215"/>
      <c r="AI517" s="216"/>
    </row>
    <row r="518" spans="1:35" ht="15" customHeight="1" x14ac:dyDescent="0.45">
      <c r="A518" s="195" t="s">
        <v>101</v>
      </c>
      <c r="B518" s="196"/>
      <c r="C518" s="197"/>
      <c r="D518" s="116" t="s">
        <v>241</v>
      </c>
      <c r="E518" s="117"/>
      <c r="F518" s="117"/>
      <c r="G518" s="117"/>
      <c r="H518" s="117"/>
      <c r="I518" s="117"/>
      <c r="J518" s="117"/>
      <c r="K518" s="117"/>
      <c r="L518" s="117"/>
      <c r="M518" s="117"/>
      <c r="N518" s="117"/>
      <c r="O518" s="134" t="s">
        <v>90</v>
      </c>
      <c r="P518" s="52"/>
      <c r="Q518" s="52"/>
      <c r="R518" s="124" t="s">
        <v>230</v>
      </c>
      <c r="S518" s="124"/>
      <c r="T518" s="117" t="s">
        <v>242</v>
      </c>
      <c r="U518" s="117"/>
      <c r="V518" s="117"/>
      <c r="W518" s="117"/>
      <c r="X518" s="117"/>
      <c r="Y518" s="117"/>
      <c r="Z518" s="117"/>
      <c r="AA518" s="124"/>
      <c r="AB518" s="124"/>
      <c r="AC518" s="212"/>
      <c r="AD518" s="214" t="s">
        <v>232</v>
      </c>
      <c r="AE518" s="215"/>
      <c r="AF518" s="215"/>
      <c r="AG518" s="215"/>
      <c r="AH518" s="215"/>
      <c r="AI518" s="216"/>
    </row>
    <row r="519" spans="1:35" ht="15" customHeight="1" x14ac:dyDescent="0.45">
      <c r="A519" s="87" t="s">
        <v>243</v>
      </c>
      <c r="B519" s="87"/>
      <c r="C519" s="87"/>
      <c r="D519" s="87"/>
      <c r="E519" s="87"/>
      <c r="F519" s="87"/>
      <c r="G519" s="87"/>
      <c r="H519" s="87"/>
      <c r="I519" s="87"/>
      <c r="J519" s="87"/>
      <c r="K519" s="87"/>
      <c r="L519" s="87"/>
      <c r="M519" s="87"/>
      <c r="N519" s="87"/>
      <c r="O519" s="87"/>
      <c r="P519" s="87"/>
      <c r="Q519" s="87"/>
      <c r="R519" s="87"/>
      <c r="S519" s="87"/>
      <c r="T519" s="87"/>
      <c r="U519" s="87"/>
      <c r="V519" s="87"/>
      <c r="W519" s="87"/>
      <c r="X519" s="87"/>
      <c r="Y519" s="87"/>
      <c r="Z519" s="87"/>
      <c r="AA519" s="87"/>
    </row>
    <row r="520" spans="1:35" ht="15" customHeight="1" x14ac:dyDescent="0.45"/>
    <row r="521" spans="1:35" ht="15" customHeight="1" x14ac:dyDescent="0.45">
      <c r="A521" s="176" t="s">
        <v>208</v>
      </c>
      <c r="B521" s="177"/>
      <c r="C521" s="177"/>
      <c r="D521" s="177"/>
      <c r="E521" s="177"/>
      <c r="F521" s="177"/>
      <c r="G521" s="177"/>
      <c r="H521" s="177"/>
      <c r="I521" s="177"/>
      <c r="J521" s="177"/>
      <c r="K521" s="177"/>
      <c r="L521" s="177"/>
      <c r="M521" s="177"/>
      <c r="N521" s="177"/>
      <c r="O521" s="177"/>
      <c r="P521" s="177"/>
      <c r="Q521" s="177"/>
      <c r="R521" s="177"/>
      <c r="S521" s="177"/>
      <c r="T521" s="177"/>
      <c r="U521" s="177"/>
      <c r="V521" s="177"/>
      <c r="W521" s="177"/>
      <c r="X521" s="177"/>
      <c r="Y521" s="177"/>
      <c r="Z521" s="177"/>
      <c r="AA521" s="177"/>
      <c r="AB521" s="177"/>
      <c r="AC521" s="177"/>
      <c r="AD521" s="177"/>
      <c r="AE521" s="177"/>
      <c r="AF521" s="177"/>
      <c r="AG521" s="177"/>
      <c r="AH521" s="177"/>
      <c r="AI521" s="178"/>
    </row>
    <row r="522" spans="1:35" ht="15" customHeight="1" x14ac:dyDescent="0.45">
      <c r="A522" s="256"/>
      <c r="B522" s="257"/>
      <c r="C522" s="257"/>
      <c r="D522" s="257"/>
      <c r="E522" s="257"/>
      <c r="F522" s="257"/>
      <c r="G522" s="257"/>
      <c r="H522" s="257"/>
      <c r="I522" s="257"/>
      <c r="J522" s="257"/>
      <c r="K522" s="257"/>
      <c r="L522" s="257"/>
      <c r="M522" s="257"/>
      <c r="N522" s="257"/>
      <c r="O522" s="257"/>
      <c r="P522" s="257"/>
      <c r="Q522" s="257"/>
      <c r="R522" s="257"/>
      <c r="S522" s="257"/>
      <c r="T522" s="257"/>
      <c r="U522" s="257"/>
      <c r="V522" s="257"/>
      <c r="W522" s="257"/>
      <c r="X522" s="257"/>
      <c r="Y522" s="257"/>
      <c r="Z522" s="257"/>
      <c r="AA522" s="257"/>
      <c r="AB522" s="257"/>
      <c r="AC522" s="257"/>
      <c r="AD522" s="257"/>
      <c r="AE522" s="257"/>
      <c r="AF522" s="257"/>
      <c r="AG522" s="257"/>
      <c r="AH522" s="257"/>
      <c r="AI522" s="258"/>
    </row>
    <row r="523" spans="1:35" ht="15" customHeight="1" x14ac:dyDescent="0.45">
      <c r="A523" s="259"/>
      <c r="B523" s="260"/>
      <c r="C523" s="260"/>
      <c r="D523" s="260"/>
      <c r="E523" s="260"/>
      <c r="F523" s="260"/>
      <c r="G523" s="260"/>
      <c r="H523" s="260"/>
      <c r="I523" s="260"/>
      <c r="J523" s="260"/>
      <c r="K523" s="260"/>
      <c r="L523" s="260"/>
      <c r="M523" s="260"/>
      <c r="N523" s="260"/>
      <c r="O523" s="260"/>
      <c r="P523" s="260"/>
      <c r="Q523" s="260"/>
      <c r="R523" s="260"/>
      <c r="S523" s="260"/>
      <c r="T523" s="260"/>
      <c r="U523" s="260"/>
      <c r="V523" s="260"/>
      <c r="W523" s="260"/>
      <c r="X523" s="260"/>
      <c r="Y523" s="260"/>
      <c r="Z523" s="260"/>
      <c r="AA523" s="260"/>
      <c r="AB523" s="260"/>
      <c r="AC523" s="260"/>
      <c r="AD523" s="260"/>
      <c r="AE523" s="260"/>
      <c r="AF523" s="260"/>
      <c r="AG523" s="260"/>
      <c r="AH523" s="260"/>
      <c r="AI523" s="261"/>
    </row>
    <row r="524" spans="1:35" ht="15" customHeight="1" x14ac:dyDescent="0.45">
      <c r="A524" s="259"/>
      <c r="B524" s="260"/>
      <c r="C524" s="260"/>
      <c r="D524" s="260"/>
      <c r="E524" s="260"/>
      <c r="F524" s="260"/>
      <c r="G524" s="260"/>
      <c r="H524" s="260"/>
      <c r="I524" s="260"/>
      <c r="J524" s="260"/>
      <c r="K524" s="260"/>
      <c r="L524" s="260"/>
      <c r="M524" s="260"/>
      <c r="N524" s="260"/>
      <c r="O524" s="260"/>
      <c r="P524" s="260"/>
      <c r="Q524" s="260"/>
      <c r="R524" s="260"/>
      <c r="S524" s="260"/>
      <c r="T524" s="260"/>
      <c r="U524" s="260"/>
      <c r="V524" s="260"/>
      <c r="W524" s="260"/>
      <c r="X524" s="260"/>
      <c r="Y524" s="260"/>
      <c r="Z524" s="260"/>
      <c r="AA524" s="260"/>
      <c r="AB524" s="260"/>
      <c r="AC524" s="260"/>
      <c r="AD524" s="260"/>
      <c r="AE524" s="260"/>
      <c r="AF524" s="260"/>
      <c r="AG524" s="260"/>
      <c r="AH524" s="260"/>
      <c r="AI524" s="261"/>
    </row>
    <row r="525" spans="1:35" ht="15" customHeight="1" x14ac:dyDescent="0.45">
      <c r="A525" s="259"/>
      <c r="B525" s="260"/>
      <c r="C525" s="260"/>
      <c r="D525" s="260"/>
      <c r="E525" s="260"/>
      <c r="F525" s="260"/>
      <c r="G525" s="260"/>
      <c r="H525" s="260"/>
      <c r="I525" s="260"/>
      <c r="J525" s="260"/>
      <c r="K525" s="260"/>
      <c r="L525" s="260"/>
      <c r="M525" s="260"/>
      <c r="N525" s="260"/>
      <c r="O525" s="260"/>
      <c r="P525" s="260"/>
      <c r="Q525" s="260"/>
      <c r="R525" s="260"/>
      <c r="S525" s="260"/>
      <c r="T525" s="260"/>
      <c r="U525" s="260"/>
      <c r="V525" s="260"/>
      <c r="W525" s="260"/>
      <c r="X525" s="260"/>
      <c r="Y525" s="260"/>
      <c r="Z525" s="260"/>
      <c r="AA525" s="260"/>
      <c r="AB525" s="260"/>
      <c r="AC525" s="260"/>
      <c r="AD525" s="260"/>
      <c r="AE525" s="260"/>
      <c r="AF525" s="260"/>
      <c r="AG525" s="260"/>
      <c r="AH525" s="260"/>
      <c r="AI525" s="261"/>
    </row>
    <row r="526" spans="1:35" ht="15" customHeight="1" x14ac:dyDescent="0.45">
      <c r="A526" s="259"/>
      <c r="B526" s="260"/>
      <c r="C526" s="260"/>
      <c r="D526" s="260"/>
      <c r="E526" s="260"/>
      <c r="F526" s="260"/>
      <c r="G526" s="260"/>
      <c r="H526" s="260"/>
      <c r="I526" s="260"/>
      <c r="J526" s="260"/>
      <c r="K526" s="260"/>
      <c r="L526" s="260"/>
      <c r="M526" s="260"/>
      <c r="N526" s="260"/>
      <c r="O526" s="260"/>
      <c r="P526" s="260"/>
      <c r="Q526" s="260"/>
      <c r="R526" s="260"/>
      <c r="S526" s="260"/>
      <c r="T526" s="260"/>
      <c r="U526" s="260"/>
      <c r="V526" s="260"/>
      <c r="W526" s="260"/>
      <c r="X526" s="260"/>
      <c r="Y526" s="260"/>
      <c r="Z526" s="260"/>
      <c r="AA526" s="260"/>
      <c r="AB526" s="260"/>
      <c r="AC526" s="260"/>
      <c r="AD526" s="260"/>
      <c r="AE526" s="260"/>
      <c r="AF526" s="260"/>
      <c r="AG526" s="260"/>
      <c r="AH526" s="260"/>
      <c r="AI526" s="261"/>
    </row>
    <row r="527" spans="1:35" ht="15" customHeight="1" x14ac:dyDescent="0.45">
      <c r="A527" s="259"/>
      <c r="B527" s="260"/>
      <c r="C527" s="260"/>
      <c r="D527" s="260"/>
      <c r="E527" s="260"/>
      <c r="F527" s="260"/>
      <c r="G527" s="260"/>
      <c r="H527" s="260"/>
      <c r="I527" s="260"/>
      <c r="J527" s="260"/>
      <c r="K527" s="260"/>
      <c r="L527" s="260"/>
      <c r="M527" s="260"/>
      <c r="N527" s="260"/>
      <c r="O527" s="260"/>
      <c r="P527" s="260"/>
      <c r="Q527" s="260"/>
      <c r="R527" s="260"/>
      <c r="S527" s="260"/>
      <c r="T527" s="260"/>
      <c r="U527" s="260"/>
      <c r="V527" s="260"/>
      <c r="W527" s="260"/>
      <c r="X527" s="260"/>
      <c r="Y527" s="260"/>
      <c r="Z527" s="260"/>
      <c r="AA527" s="260"/>
      <c r="AB527" s="260"/>
      <c r="AC527" s="260"/>
      <c r="AD527" s="260"/>
      <c r="AE527" s="260"/>
      <c r="AF527" s="260"/>
      <c r="AG527" s="260"/>
      <c r="AH527" s="260"/>
      <c r="AI527" s="261"/>
    </row>
    <row r="528" spans="1:35" ht="15" customHeight="1" x14ac:dyDescent="0.45">
      <c r="A528" s="259"/>
      <c r="B528" s="260"/>
      <c r="C528" s="260"/>
      <c r="D528" s="260"/>
      <c r="E528" s="260"/>
      <c r="F528" s="260"/>
      <c r="G528" s="260"/>
      <c r="H528" s="260"/>
      <c r="I528" s="260"/>
      <c r="J528" s="260"/>
      <c r="K528" s="260"/>
      <c r="L528" s="260"/>
      <c r="M528" s="260"/>
      <c r="N528" s="260"/>
      <c r="O528" s="260"/>
      <c r="P528" s="260"/>
      <c r="Q528" s="260"/>
      <c r="R528" s="260"/>
      <c r="S528" s="260"/>
      <c r="T528" s="260"/>
      <c r="U528" s="260"/>
      <c r="V528" s="260"/>
      <c r="W528" s="260"/>
      <c r="X528" s="260"/>
      <c r="Y528" s="260"/>
      <c r="Z528" s="260"/>
      <c r="AA528" s="260"/>
      <c r="AB528" s="260"/>
      <c r="AC528" s="260"/>
      <c r="AD528" s="260"/>
      <c r="AE528" s="260"/>
      <c r="AF528" s="260"/>
      <c r="AG528" s="260"/>
      <c r="AH528" s="260"/>
      <c r="AI528" s="261"/>
    </row>
    <row r="529" spans="1:35" ht="15" customHeight="1" x14ac:dyDescent="0.45">
      <c r="A529" s="259"/>
      <c r="B529" s="260"/>
      <c r="C529" s="260"/>
      <c r="D529" s="260"/>
      <c r="E529" s="260"/>
      <c r="F529" s="260"/>
      <c r="G529" s="260"/>
      <c r="H529" s="260"/>
      <c r="I529" s="260"/>
      <c r="J529" s="260"/>
      <c r="K529" s="260"/>
      <c r="L529" s="260"/>
      <c r="M529" s="260"/>
      <c r="N529" s="260"/>
      <c r="O529" s="260"/>
      <c r="P529" s="260"/>
      <c r="Q529" s="260"/>
      <c r="R529" s="260"/>
      <c r="S529" s="260"/>
      <c r="T529" s="260"/>
      <c r="U529" s="260"/>
      <c r="V529" s="260"/>
      <c r="W529" s="260"/>
      <c r="X529" s="260"/>
      <c r="Y529" s="260"/>
      <c r="Z529" s="260"/>
      <c r="AA529" s="260"/>
      <c r="AB529" s="260"/>
      <c r="AC529" s="260"/>
      <c r="AD529" s="260"/>
      <c r="AE529" s="260"/>
      <c r="AF529" s="260"/>
      <c r="AG529" s="260"/>
      <c r="AH529" s="260"/>
      <c r="AI529" s="261"/>
    </row>
    <row r="530" spans="1:35" ht="15" customHeight="1" x14ac:dyDescent="0.45">
      <c r="A530" s="259"/>
      <c r="B530" s="260"/>
      <c r="C530" s="260"/>
      <c r="D530" s="260"/>
      <c r="E530" s="260"/>
      <c r="F530" s="260"/>
      <c r="G530" s="260"/>
      <c r="H530" s="260"/>
      <c r="I530" s="260"/>
      <c r="J530" s="260"/>
      <c r="K530" s="260"/>
      <c r="L530" s="260"/>
      <c r="M530" s="260"/>
      <c r="N530" s="260"/>
      <c r="O530" s="260"/>
      <c r="P530" s="260"/>
      <c r="Q530" s="260"/>
      <c r="R530" s="260"/>
      <c r="S530" s="260"/>
      <c r="T530" s="260"/>
      <c r="U530" s="260"/>
      <c r="V530" s="260"/>
      <c r="W530" s="260"/>
      <c r="X530" s="260"/>
      <c r="Y530" s="260"/>
      <c r="Z530" s="260"/>
      <c r="AA530" s="260"/>
      <c r="AB530" s="260"/>
      <c r="AC530" s="260"/>
      <c r="AD530" s="260"/>
      <c r="AE530" s="260"/>
      <c r="AF530" s="260"/>
      <c r="AG530" s="260"/>
      <c r="AH530" s="260"/>
      <c r="AI530" s="261"/>
    </row>
    <row r="531" spans="1:35" ht="15" customHeight="1" x14ac:dyDescent="0.45">
      <c r="A531" s="262"/>
      <c r="B531" s="263"/>
      <c r="C531" s="263"/>
      <c r="D531" s="263"/>
      <c r="E531" s="263"/>
      <c r="F531" s="263"/>
      <c r="G531" s="263"/>
      <c r="H531" s="263"/>
      <c r="I531" s="263"/>
      <c r="J531" s="263"/>
      <c r="K531" s="263"/>
      <c r="L531" s="263"/>
      <c r="M531" s="263"/>
      <c r="N531" s="263"/>
      <c r="O531" s="263"/>
      <c r="P531" s="263"/>
      <c r="Q531" s="263"/>
      <c r="R531" s="263"/>
      <c r="S531" s="263"/>
      <c r="T531" s="263"/>
      <c r="U531" s="263"/>
      <c r="V531" s="263"/>
      <c r="W531" s="263"/>
      <c r="X531" s="263"/>
      <c r="Y531" s="263"/>
      <c r="Z531" s="263"/>
      <c r="AA531" s="263"/>
      <c r="AB531" s="263"/>
      <c r="AC531" s="263"/>
      <c r="AD531" s="263"/>
      <c r="AE531" s="263"/>
      <c r="AF531" s="263"/>
      <c r="AG531" s="263"/>
      <c r="AH531" s="263"/>
      <c r="AI531" s="264"/>
    </row>
    <row r="532" spans="1:35" ht="15" customHeight="1" x14ac:dyDescent="0.45"/>
    <row r="533" spans="1:35" ht="15" customHeight="1" x14ac:dyDescent="0.45">
      <c r="A533" s="14" t="s">
        <v>244</v>
      </c>
      <c r="B533" s="14"/>
      <c r="C533" s="14"/>
      <c r="D533" s="14"/>
      <c r="E533" s="14"/>
      <c r="F533" s="15" t="s">
        <v>245</v>
      </c>
      <c r="G533" s="15"/>
      <c r="H533" s="15"/>
      <c r="I533" s="15"/>
      <c r="J533" s="15"/>
      <c r="K533" s="15"/>
      <c r="L533" s="15"/>
      <c r="M533" s="15"/>
      <c r="N533" s="15"/>
      <c r="O533" s="15"/>
      <c r="P533" s="15"/>
      <c r="Q533" s="15"/>
      <c r="R533" s="15"/>
      <c r="S533" s="15"/>
      <c r="T533" s="15"/>
      <c r="U533" s="15"/>
      <c r="V533" s="15"/>
      <c r="W533" s="15"/>
      <c r="X533" s="15"/>
      <c r="Y533" s="15"/>
      <c r="Z533" s="15"/>
      <c r="AA533" s="15"/>
      <c r="AB533" s="15"/>
      <c r="AC533" s="66" t="s">
        <v>246</v>
      </c>
      <c r="AD533" s="66"/>
      <c r="AE533" s="66"/>
      <c r="AF533" s="66"/>
      <c r="AG533" s="66"/>
      <c r="AH533" s="66"/>
      <c r="AI533" s="66"/>
    </row>
    <row r="534" spans="1:35" ht="15" customHeight="1" x14ac:dyDescent="0.45"/>
    <row r="535" spans="1:35" ht="15" customHeight="1" thickBot="1" x14ac:dyDescent="0.5">
      <c r="A535" s="78" t="s">
        <v>98</v>
      </c>
      <c r="B535" s="79"/>
      <c r="C535" s="80"/>
      <c r="D535" s="78" t="s">
        <v>99</v>
      </c>
      <c r="E535" s="79"/>
      <c r="F535" s="79"/>
      <c r="G535" s="79"/>
      <c r="H535" s="79"/>
      <c r="I535" s="79"/>
      <c r="J535" s="79"/>
      <c r="K535" s="79"/>
      <c r="L535" s="79"/>
      <c r="M535" s="79"/>
      <c r="N535" s="79"/>
      <c r="O535" s="79"/>
      <c r="P535" s="79"/>
      <c r="Q535" s="79"/>
      <c r="R535" s="79"/>
      <c r="S535" s="79"/>
      <c r="T535" s="79"/>
      <c r="U535" s="79"/>
      <c r="V535" s="79"/>
      <c r="W535" s="79"/>
      <c r="X535" s="79"/>
      <c r="Y535" s="79"/>
      <c r="Z535" s="79"/>
      <c r="AA535" s="79"/>
      <c r="AB535" s="79"/>
      <c r="AC535" s="80"/>
      <c r="AD535" s="78" t="s">
        <v>100</v>
      </c>
      <c r="AE535" s="79"/>
      <c r="AF535" s="79"/>
      <c r="AG535" s="79"/>
      <c r="AH535" s="79"/>
      <c r="AI535" s="80"/>
    </row>
    <row r="536" spans="1:35" ht="15" customHeight="1" thickTop="1" x14ac:dyDescent="0.45">
      <c r="A536" s="164" t="s">
        <v>180</v>
      </c>
      <c r="B536" s="165"/>
      <c r="C536" s="166"/>
      <c r="D536" s="307" t="s">
        <v>247</v>
      </c>
      <c r="E536" s="308"/>
      <c r="F536" s="308"/>
      <c r="G536" s="308"/>
      <c r="H536" s="308"/>
      <c r="I536" s="308"/>
      <c r="J536" s="308"/>
      <c r="K536" s="308"/>
      <c r="L536" s="308"/>
      <c r="M536" s="308"/>
      <c r="N536" s="308"/>
      <c r="O536" s="308"/>
      <c r="P536" s="308"/>
      <c r="Q536" s="308"/>
      <c r="R536" s="308"/>
      <c r="S536" s="308"/>
      <c r="T536" s="308"/>
      <c r="U536" s="308"/>
      <c r="V536" s="308"/>
      <c r="W536" s="308"/>
      <c r="X536" s="308"/>
      <c r="Y536" s="309"/>
      <c r="Z536" s="309"/>
      <c r="AA536" s="309"/>
      <c r="AB536" s="309"/>
      <c r="AC536" s="310"/>
      <c r="AD536" s="147" t="s">
        <v>248</v>
      </c>
      <c r="AE536" s="148"/>
      <c r="AF536" s="148"/>
      <c r="AG536" s="148"/>
      <c r="AH536" s="148"/>
      <c r="AI536" s="201"/>
    </row>
    <row r="537" spans="1:35" ht="15" customHeight="1" x14ac:dyDescent="0.45">
      <c r="A537" s="159"/>
      <c r="B537" s="160"/>
      <c r="C537" s="161"/>
      <c r="D537" s="279" t="str">
        <f>V$1 &amp; " Road Approach"</f>
        <v>N Road Approach</v>
      </c>
      <c r="E537" s="111"/>
      <c r="F537" s="111"/>
      <c r="G537" s="111"/>
      <c r="H537" s="111"/>
      <c r="I537" s="48"/>
      <c r="J537" s="48"/>
      <c r="K537" s="48"/>
      <c r="L537" s="48"/>
      <c r="M537" s="48"/>
      <c r="N537" s="6"/>
      <c r="P537" s="111" t="str">
        <f>Z$1 &amp; " Road Approach"</f>
        <v>S Road Approach</v>
      </c>
      <c r="Q537" s="111"/>
      <c r="R537" s="111"/>
      <c r="S537" s="111"/>
      <c r="T537" s="111"/>
      <c r="U537" s="48"/>
      <c r="V537" s="48"/>
      <c r="W537" s="48"/>
      <c r="X537" s="48"/>
      <c r="Y537" s="48"/>
      <c r="AC537" s="290"/>
      <c r="AD537" s="154"/>
      <c r="AE537" s="155"/>
      <c r="AF537" s="155"/>
      <c r="AG537" s="155"/>
      <c r="AH537" s="155"/>
      <c r="AI537" s="194"/>
    </row>
    <row r="538" spans="1:35" ht="15" customHeight="1" x14ac:dyDescent="0.45">
      <c r="A538" s="164" t="s">
        <v>180</v>
      </c>
      <c r="B538" s="165"/>
      <c r="C538" s="166"/>
      <c r="D538" s="86" t="s">
        <v>249</v>
      </c>
      <c r="E538" s="87"/>
      <c r="F538" s="87"/>
      <c r="G538" s="87"/>
      <c r="H538" s="87"/>
      <c r="I538" s="87"/>
      <c r="J538" s="87"/>
      <c r="K538" s="87"/>
      <c r="L538" s="87"/>
      <c r="M538" s="87"/>
      <c r="N538" s="87"/>
      <c r="O538" s="87"/>
      <c r="P538" s="87"/>
      <c r="Q538" s="87"/>
      <c r="R538" s="87"/>
      <c r="S538" s="87"/>
      <c r="T538" s="87"/>
      <c r="U538" s="87"/>
      <c r="V538" s="87"/>
      <c r="W538" s="87"/>
      <c r="X538" s="87"/>
      <c r="Y538" s="87"/>
      <c r="Z538" s="87"/>
      <c r="AA538" s="87"/>
      <c r="AB538" s="87"/>
      <c r="AC538" s="19"/>
      <c r="AD538" s="147" t="s">
        <v>250</v>
      </c>
      <c r="AE538" s="148"/>
      <c r="AF538" s="148"/>
      <c r="AG538" s="148"/>
      <c r="AH538" s="148"/>
      <c r="AI538" s="201"/>
    </row>
    <row r="539" spans="1:35" ht="15" customHeight="1" thickBot="1" x14ac:dyDescent="0.5">
      <c r="A539" s="299"/>
      <c r="B539" s="300"/>
      <c r="C539" s="301"/>
      <c r="D539" s="311" t="str">
        <f>V$1 &amp; " Road Approach"</f>
        <v>N Road Approach</v>
      </c>
      <c r="E539" s="312"/>
      <c r="F539" s="312"/>
      <c r="G539" s="312"/>
      <c r="H539" s="312"/>
      <c r="I539" s="313"/>
      <c r="J539" s="313"/>
      <c r="K539" s="313"/>
      <c r="L539" s="313"/>
      <c r="M539" s="313"/>
      <c r="N539" s="6"/>
      <c r="P539" s="312" t="str">
        <f>Z$1 &amp; " Road Approach"</f>
        <v>S Road Approach</v>
      </c>
      <c r="Q539" s="312"/>
      <c r="R539" s="312"/>
      <c r="S539" s="312"/>
      <c r="T539" s="312"/>
      <c r="U539" s="313"/>
      <c r="V539" s="313"/>
      <c r="W539" s="313"/>
      <c r="X539" s="313"/>
      <c r="Y539" s="313"/>
      <c r="AC539" s="25"/>
      <c r="AD539" s="152"/>
      <c r="AE539" s="153"/>
      <c r="AF539" s="153"/>
      <c r="AG539" s="153"/>
      <c r="AH539" s="153"/>
      <c r="AI539" s="275"/>
    </row>
    <row r="540" spans="1:35" ht="15" customHeight="1" thickTop="1" x14ac:dyDescent="0.45">
      <c r="A540" s="314"/>
      <c r="B540" s="315"/>
      <c r="C540" s="316"/>
      <c r="D540" s="317" t="s">
        <v>251</v>
      </c>
      <c r="E540" s="318"/>
      <c r="F540" s="318"/>
      <c r="G540" s="318"/>
      <c r="H540" s="318"/>
      <c r="I540" s="318"/>
      <c r="J540" s="318"/>
      <c r="K540" s="318"/>
      <c r="L540" s="318"/>
      <c r="M540" s="318"/>
      <c r="N540" s="318"/>
      <c r="O540" s="318"/>
      <c r="P540" s="318"/>
      <c r="Q540" s="318"/>
      <c r="R540" s="318"/>
      <c r="S540" s="318"/>
      <c r="T540" s="318"/>
      <c r="U540" s="318"/>
      <c r="V540" s="318"/>
      <c r="W540" s="318"/>
      <c r="X540" s="318"/>
      <c r="Y540" s="318"/>
      <c r="Z540" s="318"/>
      <c r="AA540" s="318"/>
      <c r="AB540" s="318"/>
      <c r="AC540" s="319"/>
      <c r="AD540" s="320"/>
      <c r="AE540" s="321"/>
      <c r="AF540" s="321"/>
      <c r="AG540" s="321"/>
      <c r="AH540" s="321"/>
      <c r="AI540" s="322"/>
    </row>
    <row r="541" spans="1:35" ht="15" customHeight="1" x14ac:dyDescent="0.45">
      <c r="A541" s="265" t="s">
        <v>159</v>
      </c>
      <c r="B541" s="266"/>
      <c r="C541" s="266"/>
      <c r="D541" s="86" t="s">
        <v>252</v>
      </c>
      <c r="E541" s="87"/>
      <c r="F541" s="87"/>
      <c r="G541" s="87"/>
      <c r="H541" s="87"/>
      <c r="I541" s="87"/>
      <c r="J541" s="87"/>
      <c r="K541" s="87"/>
      <c r="L541" s="87"/>
      <c r="M541" s="87"/>
      <c r="N541" s="87"/>
      <c r="O541" s="87"/>
      <c r="P541" s="87"/>
      <c r="Q541" s="87"/>
      <c r="R541" s="87"/>
      <c r="S541" s="87"/>
      <c r="T541" s="87"/>
      <c r="U541" s="87"/>
      <c r="V541" s="87"/>
      <c r="W541" s="87"/>
      <c r="X541" s="87"/>
      <c r="Y541" s="87"/>
      <c r="Z541" s="87"/>
      <c r="AA541" s="87"/>
      <c r="AB541" s="87"/>
      <c r="AC541" s="268"/>
      <c r="AD541" s="147" t="s">
        <v>253</v>
      </c>
      <c r="AE541" s="148"/>
      <c r="AF541" s="148"/>
      <c r="AG541" s="148"/>
      <c r="AH541" s="148"/>
      <c r="AI541" s="201"/>
    </row>
    <row r="542" spans="1:35" ht="15" customHeight="1" x14ac:dyDescent="0.45">
      <c r="A542" s="270"/>
      <c r="B542" s="271"/>
      <c r="C542" s="271"/>
      <c r="D542" s="96" t="s">
        <v>254</v>
      </c>
      <c r="E542" s="97"/>
      <c r="F542" s="97"/>
      <c r="G542" s="97"/>
      <c r="H542" s="97"/>
      <c r="I542" s="97"/>
      <c r="J542" s="323"/>
      <c r="K542" s="323"/>
      <c r="L542" s="323"/>
      <c r="M542" s="97" t="str">
        <f>V$1 &amp; " Road Approach"</f>
        <v>N Road Approach</v>
      </c>
      <c r="N542" s="97"/>
      <c r="O542" s="97"/>
      <c r="P542" s="97"/>
      <c r="Q542" s="97"/>
      <c r="R542" s="323"/>
      <c r="S542" s="323"/>
      <c r="T542" s="323"/>
      <c r="U542" s="97" t="str">
        <f>Z$1 &amp; " Road Approach"</f>
        <v>S Road Approach</v>
      </c>
      <c r="V542" s="97"/>
      <c r="W542" s="97"/>
      <c r="X542" s="97"/>
      <c r="Y542" s="97"/>
      <c r="Z542" s="97" t="s">
        <v>255</v>
      </c>
      <c r="AA542" s="97"/>
      <c r="AB542" s="97"/>
      <c r="AC542" s="274"/>
      <c r="AD542" s="152"/>
      <c r="AE542" s="153"/>
      <c r="AF542" s="153"/>
      <c r="AG542" s="153"/>
      <c r="AH542" s="153"/>
      <c r="AI542" s="275"/>
    </row>
    <row r="543" spans="1:35" ht="15" customHeight="1" x14ac:dyDescent="0.45">
      <c r="A543" s="270"/>
      <c r="B543" s="271"/>
      <c r="C543" s="271"/>
      <c r="D543" s="96" t="s">
        <v>256</v>
      </c>
      <c r="E543" s="97"/>
      <c r="F543" s="97"/>
      <c r="G543" s="97"/>
      <c r="H543" s="97"/>
      <c r="I543" s="97"/>
      <c r="J543" s="323"/>
      <c r="K543" s="323"/>
      <c r="L543" s="323"/>
      <c r="M543" s="97" t="str">
        <f>V$1 &amp; " Road Approach"</f>
        <v>N Road Approach</v>
      </c>
      <c r="N543" s="97"/>
      <c r="O543" s="97"/>
      <c r="P543" s="97"/>
      <c r="Q543" s="97"/>
      <c r="R543" s="323"/>
      <c r="S543" s="323"/>
      <c r="T543" s="323"/>
      <c r="U543" s="97" t="str">
        <f>Z$1 &amp; " Road Approach"</f>
        <v>S Road Approach</v>
      </c>
      <c r="V543" s="97"/>
      <c r="W543" s="97"/>
      <c r="X543" s="97"/>
      <c r="Y543" s="97"/>
      <c r="Z543" s="97" t="s">
        <v>257</v>
      </c>
      <c r="AA543" s="97"/>
      <c r="AB543" s="97"/>
      <c r="AC543" s="274"/>
      <c r="AD543" s="152"/>
      <c r="AE543" s="153"/>
      <c r="AF543" s="153"/>
      <c r="AG543" s="153"/>
      <c r="AH543" s="153"/>
      <c r="AI543" s="275"/>
    </row>
    <row r="544" spans="1:35" ht="15" customHeight="1" x14ac:dyDescent="0.45">
      <c r="A544" s="270"/>
      <c r="B544" s="271"/>
      <c r="C544" s="271"/>
      <c r="D544" s="96" t="s">
        <v>258</v>
      </c>
      <c r="E544" s="97"/>
      <c r="F544" s="97"/>
      <c r="G544" s="97"/>
      <c r="H544" s="97"/>
      <c r="I544" s="97"/>
      <c r="J544" s="323"/>
      <c r="K544" s="323"/>
      <c r="L544" s="323"/>
      <c r="M544" s="97" t="str">
        <f>V$1 &amp; " Road Approach"</f>
        <v>N Road Approach</v>
      </c>
      <c r="N544" s="97"/>
      <c r="O544" s="97"/>
      <c r="P544" s="97"/>
      <c r="Q544" s="97"/>
      <c r="R544" s="323"/>
      <c r="S544" s="323"/>
      <c r="T544" s="323"/>
      <c r="U544" s="97" t="str">
        <f>Z$1 &amp; " Road Approach"</f>
        <v>S Road Approach</v>
      </c>
      <c r="V544" s="97"/>
      <c r="W544" s="97"/>
      <c r="X544" s="97"/>
      <c r="Y544" s="97"/>
      <c r="Z544" s="97" t="s">
        <v>257</v>
      </c>
      <c r="AA544" s="97"/>
      <c r="AB544" s="97"/>
      <c r="AC544" s="274"/>
      <c r="AD544" s="152"/>
      <c r="AE544" s="153"/>
      <c r="AF544" s="153"/>
      <c r="AG544" s="153"/>
      <c r="AH544" s="153"/>
      <c r="AI544" s="275"/>
    </row>
    <row r="545" spans="1:35" ht="15" customHeight="1" x14ac:dyDescent="0.45">
      <c r="A545" s="276"/>
      <c r="B545" s="277"/>
      <c r="C545" s="277"/>
      <c r="D545" s="279" t="s">
        <v>259</v>
      </c>
      <c r="E545" s="111"/>
      <c r="F545" s="111"/>
      <c r="G545" s="111"/>
      <c r="H545" s="111"/>
      <c r="I545" s="111"/>
      <c r="J545" s="324"/>
      <c r="K545" s="324"/>
      <c r="L545" s="324"/>
      <c r="M545" s="111" t="str">
        <f>N$1 &amp; " Rail Approach"</f>
        <v>E Rail Approach</v>
      </c>
      <c r="N545" s="111"/>
      <c r="O545" s="111"/>
      <c r="P545" s="111"/>
      <c r="Q545" s="111"/>
      <c r="R545" s="325"/>
      <c r="S545" s="325"/>
      <c r="T545" s="325"/>
      <c r="U545" s="111" t="str">
        <f>R$1 &amp; " Rail Approach"</f>
        <v>W Rail Approach</v>
      </c>
      <c r="V545" s="111"/>
      <c r="W545" s="111"/>
      <c r="X545" s="111"/>
      <c r="Y545" s="111" t="s">
        <v>260</v>
      </c>
      <c r="Z545" s="111"/>
      <c r="AA545" s="111"/>
      <c r="AB545" s="111"/>
      <c r="AC545" s="281"/>
      <c r="AD545" s="154"/>
      <c r="AE545" s="155"/>
      <c r="AF545" s="155"/>
      <c r="AG545" s="155"/>
      <c r="AH545" s="155"/>
      <c r="AI545" s="194"/>
    </row>
    <row r="546" spans="1:35" ht="15" customHeight="1" x14ac:dyDescent="0.45">
      <c r="A546" s="326" t="s">
        <v>155</v>
      </c>
      <c r="B546" s="327"/>
      <c r="C546" s="328"/>
      <c r="D546" s="86" t="s">
        <v>30</v>
      </c>
      <c r="E546" s="87"/>
      <c r="F546" s="87"/>
      <c r="G546" s="87"/>
      <c r="H546" s="87"/>
      <c r="I546" s="87"/>
      <c r="J546" s="162" t="str">
        <f>IF(ISBLANK(General_Info_Road_Classification), "No Value", General_Info_Road_Classification)</f>
        <v>No Value</v>
      </c>
      <c r="K546" s="162"/>
      <c r="L546" s="162"/>
      <c r="M546" s="162"/>
      <c r="N546" s="162"/>
      <c r="O546" s="162"/>
      <c r="P546" s="162"/>
      <c r="Q546" s="162"/>
      <c r="R546" s="162"/>
      <c r="S546" s="162"/>
      <c r="T546" s="162"/>
      <c r="U546" s="162"/>
      <c r="V546" s="162"/>
      <c r="W546" s="162"/>
      <c r="X546" s="162"/>
      <c r="Y546" s="162"/>
      <c r="Z546" s="162"/>
      <c r="AA546" s="162"/>
      <c r="AB546" s="162"/>
      <c r="AC546" s="163"/>
      <c r="AD546" s="269" t="s">
        <v>261</v>
      </c>
      <c r="AE546" s="329"/>
      <c r="AF546" s="329"/>
      <c r="AG546" s="329"/>
      <c r="AH546" s="329"/>
      <c r="AI546" s="330"/>
    </row>
    <row r="547" spans="1:35" ht="15" customHeight="1" x14ac:dyDescent="0.45">
      <c r="A547" s="20" t="s">
        <v>162</v>
      </c>
      <c r="B547" s="21"/>
      <c r="C547" s="331"/>
      <c r="D547" s="279" t="s">
        <v>262</v>
      </c>
      <c r="E547" s="111"/>
      <c r="F547" s="111"/>
      <c r="G547" s="111"/>
      <c r="H547" s="111"/>
      <c r="I547" s="111"/>
      <c r="J547" s="111"/>
      <c r="K547" s="111"/>
      <c r="L547" s="111"/>
      <c r="M547" s="111"/>
      <c r="N547" s="111"/>
      <c r="O547" s="111"/>
      <c r="P547" s="111"/>
      <c r="Q547" s="111"/>
      <c r="R547" s="111"/>
      <c r="S547" s="111"/>
      <c r="T547" s="111"/>
      <c r="U547" s="111"/>
      <c r="V547" s="111"/>
      <c r="W547" s="111"/>
      <c r="X547" s="332" t="str">
        <f>IF($J$546="No Value","No Value",VLOOKUP($J$546,$AR$31:$AS$43,2,FALSE))</f>
        <v>No Value</v>
      </c>
      <c r="Y547" s="332"/>
      <c r="Z547" s="332"/>
      <c r="AA547" s="332"/>
      <c r="AB547" s="110"/>
      <c r="AC547" s="113"/>
      <c r="AD547" s="333"/>
      <c r="AE547" s="334"/>
      <c r="AF547" s="334"/>
      <c r="AG547" s="334"/>
      <c r="AH547" s="334"/>
      <c r="AI547" s="335"/>
    </row>
    <row r="548" spans="1:35" ht="15" customHeight="1" x14ac:dyDescent="0.45">
      <c r="A548" s="164" t="s">
        <v>159</v>
      </c>
      <c r="B548" s="165"/>
      <c r="C548" s="166"/>
      <c r="D548" s="86" t="s">
        <v>263</v>
      </c>
      <c r="E548" s="87"/>
      <c r="F548" s="87"/>
      <c r="G548" s="87"/>
      <c r="H548" s="87"/>
      <c r="I548" s="87"/>
      <c r="J548" s="87"/>
      <c r="K548" s="87"/>
      <c r="L548" s="87"/>
      <c r="M548" s="336" t="str">
        <f>IF(ISBLANK(Road_Geometry_Measure_Slope_Within_8m_Nearest_Rail_N_or_E_Approach),"No Value",Road_Geometry_Measure_Slope_Within_8m_Nearest_Rail_N_or_E_Approach)</f>
        <v>No Value</v>
      </c>
      <c r="N548" s="336"/>
      <c r="O548" s="336"/>
      <c r="P548" s="336"/>
      <c r="Q548" s="87" t="str">
        <f>V$1 &amp; " Road Approach"</f>
        <v>N Road Approach</v>
      </c>
      <c r="R548" s="87"/>
      <c r="S548" s="87"/>
      <c r="T548" s="87"/>
      <c r="U548" s="336" t="str">
        <f>IF(ISBLANK(Road_Geometry_Measure_Slope_Within_8m_Nearest_Rail_S_or_W_Approach),"No Value",Road_Geometry_Measure_Slope_Within_8m_Nearest_Rail_S_or_W_Approach)</f>
        <v>No Value</v>
      </c>
      <c r="V548" s="336"/>
      <c r="W548" s="336"/>
      <c r="X548" s="336"/>
      <c r="Y548" s="87" t="str">
        <f>Z$1 &amp; " Road Approach"</f>
        <v>S Road Approach</v>
      </c>
      <c r="Z548" s="87"/>
      <c r="AA548" s="87"/>
      <c r="AB548" s="87"/>
      <c r="AC548" s="268"/>
      <c r="AD548" s="333"/>
      <c r="AE548" s="334"/>
      <c r="AF548" s="334"/>
      <c r="AG548" s="334"/>
      <c r="AH548" s="334"/>
      <c r="AI548" s="335"/>
    </row>
    <row r="549" spans="1:35" ht="15" customHeight="1" x14ac:dyDescent="0.45">
      <c r="A549" s="159"/>
      <c r="B549" s="160"/>
      <c r="C549" s="161"/>
      <c r="D549" s="279" t="s">
        <v>264</v>
      </c>
      <c r="E549" s="111"/>
      <c r="F549" s="111"/>
      <c r="G549" s="111"/>
      <c r="H549" s="111"/>
      <c r="I549" s="111"/>
      <c r="J549" s="111"/>
      <c r="K549" s="337"/>
      <c r="L549" s="337"/>
      <c r="M549" s="337"/>
      <c r="O549" s="110"/>
      <c r="P549" s="110"/>
      <c r="Q549" s="110"/>
      <c r="R549" s="110"/>
      <c r="S549" s="110"/>
      <c r="T549" s="110"/>
      <c r="U549" s="110"/>
      <c r="V549" s="110"/>
      <c r="W549" s="110"/>
      <c r="X549" s="110"/>
      <c r="Y549" s="110"/>
      <c r="Z549" s="110"/>
      <c r="AA549" s="110"/>
      <c r="AB549" s="110"/>
      <c r="AC549" s="113"/>
      <c r="AD549" s="333"/>
      <c r="AE549" s="334"/>
      <c r="AF549" s="334"/>
      <c r="AG549" s="334"/>
      <c r="AH549" s="334"/>
      <c r="AI549" s="335"/>
    </row>
    <row r="550" spans="1:35" ht="15" customHeight="1" x14ac:dyDescent="0.45">
      <c r="A550" s="164" t="s">
        <v>180</v>
      </c>
      <c r="B550" s="165"/>
      <c r="C550" s="166"/>
      <c r="D550" s="283" t="s">
        <v>265</v>
      </c>
      <c r="E550" s="284"/>
      <c r="F550" s="284"/>
      <c r="G550" s="284"/>
      <c r="H550" s="284"/>
      <c r="I550" s="284"/>
      <c r="J550" s="284"/>
      <c r="K550" s="284"/>
      <c r="L550" s="284"/>
      <c r="M550" s="284"/>
      <c r="N550" s="284"/>
      <c r="O550" s="284"/>
      <c r="P550" s="284"/>
      <c r="Q550" s="284"/>
      <c r="R550" s="284"/>
      <c r="S550" s="284"/>
      <c r="T550" s="284"/>
      <c r="U550" s="284"/>
      <c r="V550" s="284"/>
      <c r="W550" s="284"/>
      <c r="X550" s="284"/>
      <c r="Y550" s="284"/>
      <c r="Z550" s="284"/>
      <c r="AA550" s="284"/>
      <c r="AB550" s="284"/>
      <c r="AC550" s="338"/>
      <c r="AD550" s="333"/>
      <c r="AE550" s="334"/>
      <c r="AF550" s="334"/>
      <c r="AG550" s="334"/>
      <c r="AH550" s="334"/>
      <c r="AI550" s="335"/>
    </row>
    <row r="551" spans="1:35" ht="15" customHeight="1" x14ac:dyDescent="0.45">
      <c r="A551" s="299"/>
      <c r="B551" s="300"/>
      <c r="C551" s="301"/>
      <c r="D551" s="282"/>
      <c r="E551" s="175"/>
      <c r="F551" s="175"/>
      <c r="G551" s="175"/>
      <c r="H551" s="175"/>
      <c r="I551" s="175"/>
      <c r="J551" s="175"/>
      <c r="K551" s="175"/>
      <c r="L551" s="175"/>
      <c r="M551" s="175"/>
      <c r="N551" s="175"/>
      <c r="O551" s="175"/>
      <c r="P551" s="175"/>
      <c r="Q551" s="175"/>
      <c r="R551" s="175"/>
      <c r="S551" s="175"/>
      <c r="T551" s="175"/>
      <c r="U551" s="175"/>
      <c r="V551" s="175"/>
      <c r="W551" s="175"/>
      <c r="X551" s="175"/>
      <c r="Y551" s="175"/>
      <c r="Z551" s="175"/>
      <c r="AA551" s="175"/>
      <c r="AB551" s="175"/>
      <c r="AC551" s="339"/>
      <c r="AD551" s="333"/>
      <c r="AE551" s="334"/>
      <c r="AF551" s="334"/>
      <c r="AG551" s="334"/>
      <c r="AH551" s="334"/>
      <c r="AI551" s="335"/>
    </row>
    <row r="552" spans="1:35" ht="15" customHeight="1" x14ac:dyDescent="0.45">
      <c r="A552" s="299"/>
      <c r="B552" s="300"/>
      <c r="C552" s="301"/>
      <c r="D552" s="282"/>
      <c r="E552" s="175"/>
      <c r="F552" s="175"/>
      <c r="G552" s="175"/>
      <c r="H552" s="175"/>
      <c r="I552" s="175"/>
      <c r="J552" s="175"/>
      <c r="K552" s="175"/>
      <c r="L552" s="175"/>
      <c r="M552" s="175"/>
      <c r="N552" s="175"/>
      <c r="O552" s="175"/>
      <c r="P552" s="175"/>
      <c r="Q552" s="175"/>
      <c r="R552" s="175"/>
      <c r="S552" s="175"/>
      <c r="T552" s="175"/>
      <c r="U552" s="175"/>
      <c r="V552" s="175"/>
      <c r="W552" s="175"/>
      <c r="X552" s="175"/>
      <c r="Y552" s="175"/>
      <c r="Z552" s="175"/>
      <c r="AA552" s="175"/>
      <c r="AB552" s="175"/>
      <c r="AC552" s="339"/>
      <c r="AD552" s="333"/>
      <c r="AE552" s="334"/>
      <c r="AF552" s="334"/>
      <c r="AG552" s="334"/>
      <c r="AH552" s="334"/>
      <c r="AI552" s="335"/>
    </row>
    <row r="553" spans="1:35" ht="15" customHeight="1" x14ac:dyDescent="0.45">
      <c r="A553" s="159"/>
      <c r="B553" s="160"/>
      <c r="C553" s="161"/>
      <c r="D553" s="279" t="str">
        <f>V$1 &amp; " Road Approach"</f>
        <v>N Road Approach</v>
      </c>
      <c r="E553" s="111"/>
      <c r="F553" s="111"/>
      <c r="G553" s="111"/>
      <c r="H553" s="111"/>
      <c r="I553" s="112" t="str">
        <f>IF(OR(Road_Geometry_Lookup_Gradient_Difference="No Value",M548="No Value",ISBLANK(K549)),"No Value",IF(ABS(K549-M548)&lt;=Road_Geometry_Lookup_Gradient_Difference,"Yes","No"))</f>
        <v>No Value</v>
      </c>
      <c r="J553" s="112"/>
      <c r="K553" s="112"/>
      <c r="L553" s="112"/>
      <c r="M553" s="112"/>
      <c r="N553" s="142"/>
      <c r="P553" s="111" t="str">
        <f>Z$1 &amp; " Road Approach"</f>
        <v>S Road Approach</v>
      </c>
      <c r="Q553" s="111"/>
      <c r="R553" s="111"/>
      <c r="S553" s="111"/>
      <c r="T553" s="111"/>
      <c r="U553" s="112" t="str">
        <f>IF(OR(Road_Geometry_Lookup_Gradient_Difference="No Value",U548="No Value",ISBLANK(K549)),"No Value",IF(ABS(K549-U548)&lt;=Road_Geometry_Lookup_Gradient_Difference,"Yes","No"))</f>
        <v>No Value</v>
      </c>
      <c r="V553" s="112"/>
      <c r="W553" s="112"/>
      <c r="X553" s="112"/>
      <c r="Y553" s="112"/>
      <c r="Z553" s="110"/>
      <c r="AA553" s="110"/>
      <c r="AB553" s="110"/>
      <c r="AC553" s="113"/>
      <c r="AD553" s="340"/>
      <c r="AE553" s="341"/>
      <c r="AF553" s="341"/>
      <c r="AG553" s="341"/>
      <c r="AH553" s="341"/>
      <c r="AI553" s="342"/>
    </row>
    <row r="554" spans="1:35" ht="15" customHeight="1" x14ac:dyDescent="0.45">
      <c r="A554" s="304" t="s">
        <v>101</v>
      </c>
      <c r="B554" s="305"/>
      <c r="C554" s="306"/>
      <c r="D554" s="86" t="s">
        <v>266</v>
      </c>
      <c r="E554" s="87"/>
      <c r="F554" s="87"/>
      <c r="G554" s="87"/>
      <c r="H554" s="87"/>
      <c r="I554" s="87"/>
      <c r="J554" s="87"/>
      <c r="K554" s="87"/>
      <c r="L554" s="18"/>
      <c r="M554" s="18"/>
      <c r="N554" s="18"/>
      <c r="O554" s="18"/>
      <c r="P554" s="18"/>
      <c r="Q554" s="18"/>
      <c r="R554" s="18"/>
      <c r="S554" s="18"/>
      <c r="T554" s="18"/>
      <c r="U554" s="18"/>
      <c r="V554" s="18"/>
      <c r="W554" s="18"/>
      <c r="X554" s="18"/>
      <c r="Y554" s="18"/>
      <c r="Z554" s="18"/>
      <c r="AA554" s="18"/>
      <c r="AB554" s="18"/>
      <c r="AC554" s="19"/>
      <c r="AD554" s="147"/>
      <c r="AE554" s="148"/>
      <c r="AF554" s="148"/>
      <c r="AG554" s="148"/>
      <c r="AH554" s="148"/>
      <c r="AI554" s="201"/>
    </row>
    <row r="555" spans="1:35" ht="15" customHeight="1" x14ac:dyDescent="0.45">
      <c r="A555" s="343"/>
      <c r="B555" s="344"/>
      <c r="C555" s="345"/>
      <c r="D555" s="279" t="str">
        <f>V$1 &amp; " Road Approach"</f>
        <v>N Road Approach</v>
      </c>
      <c r="E555" s="111"/>
      <c r="F555" s="111"/>
      <c r="G555" s="111"/>
      <c r="H555" s="111"/>
      <c r="I555" s="48"/>
      <c r="J555" s="48"/>
      <c r="K555" s="48"/>
      <c r="L555" s="48"/>
      <c r="M555" s="48"/>
      <c r="N555" s="142"/>
      <c r="P555" s="111" t="str">
        <f>Z$1 &amp; " Road Approach"</f>
        <v>S Road Approach</v>
      </c>
      <c r="Q555" s="111"/>
      <c r="R555" s="111"/>
      <c r="S555" s="111"/>
      <c r="T555" s="111"/>
      <c r="U555" s="48"/>
      <c r="V555" s="48"/>
      <c r="W555" s="48"/>
      <c r="X555" s="48"/>
      <c r="Y555" s="48"/>
      <c r="Z555" s="110"/>
      <c r="AA555" s="110"/>
      <c r="AB555" s="110"/>
      <c r="AC555" s="113"/>
      <c r="AD555" s="154"/>
      <c r="AE555" s="155"/>
      <c r="AF555" s="155"/>
      <c r="AG555" s="155"/>
      <c r="AH555" s="155"/>
      <c r="AI555" s="194"/>
    </row>
    <row r="556" spans="1:35" ht="15" customHeight="1" x14ac:dyDescent="0.45">
      <c r="A556" s="144" t="s">
        <v>116</v>
      </c>
      <c r="B556" s="145"/>
      <c r="C556" s="146"/>
      <c r="D556" s="86" t="s">
        <v>267</v>
      </c>
      <c r="E556" s="87"/>
      <c r="F556" s="87"/>
      <c r="G556" s="87"/>
      <c r="H556" s="87"/>
      <c r="I556" s="87"/>
      <c r="J556" s="88" t="s">
        <v>90</v>
      </c>
      <c r="K556" s="89"/>
      <c r="L556" s="89"/>
      <c r="M556" s="90" t="s">
        <v>268</v>
      </c>
      <c r="N556" s="18"/>
      <c r="O556" s="18"/>
      <c r="P556" s="18"/>
      <c r="Q556" s="18"/>
      <c r="R556" s="18"/>
      <c r="S556" s="18"/>
      <c r="T556" s="18"/>
      <c r="U556" s="18"/>
      <c r="V556" s="18"/>
      <c r="W556" s="18"/>
      <c r="X556" s="18"/>
      <c r="Y556" s="18"/>
      <c r="Z556" s="18"/>
      <c r="AA556" s="18"/>
      <c r="AB556" s="18"/>
      <c r="AC556" s="19"/>
      <c r="AD556" s="147" t="s">
        <v>269</v>
      </c>
      <c r="AE556" s="148"/>
      <c r="AF556" s="148"/>
      <c r="AG556" s="148"/>
      <c r="AH556" s="148"/>
      <c r="AI556" s="201"/>
    </row>
    <row r="557" spans="1:35" ht="15" customHeight="1" x14ac:dyDescent="0.45">
      <c r="A557" s="138"/>
      <c r="B557" s="139"/>
      <c r="C557" s="140"/>
      <c r="D557" s="171"/>
      <c r="E557" s="111" t="s">
        <v>270</v>
      </c>
      <c r="F557" s="111"/>
      <c r="G557" s="111"/>
      <c r="H557" s="111"/>
      <c r="I557" s="111"/>
      <c r="J557" s="111"/>
      <c r="K557" s="111"/>
      <c r="L557" s="111"/>
      <c r="M557" s="111"/>
      <c r="N557" s="111"/>
      <c r="O557" s="111"/>
      <c r="P557" s="111"/>
      <c r="Q557" s="111"/>
      <c r="R557" s="111"/>
      <c r="S557" s="111"/>
      <c r="T557" s="111"/>
      <c r="U557" s="111"/>
      <c r="V557" s="111"/>
      <c r="W557" s="111"/>
      <c r="X557" s="111"/>
      <c r="Y557" s="111"/>
      <c r="Z557" s="111"/>
      <c r="AA557" s="111"/>
      <c r="AB557" s="110"/>
      <c r="AC557" s="113"/>
      <c r="AD557" s="154"/>
      <c r="AE557" s="155"/>
      <c r="AF557" s="155"/>
      <c r="AG557" s="155"/>
      <c r="AH557" s="155"/>
      <c r="AI557" s="194"/>
    </row>
    <row r="558" spans="1:35" ht="15" customHeight="1" x14ac:dyDescent="0.45">
      <c r="A558" s="164" t="s">
        <v>180</v>
      </c>
      <c r="B558" s="165"/>
      <c r="C558" s="166"/>
      <c r="D558" s="86" t="s">
        <v>271</v>
      </c>
      <c r="E558" s="87"/>
      <c r="F558" s="87"/>
      <c r="G558" s="87"/>
      <c r="H558" s="87"/>
      <c r="I558" s="87"/>
      <c r="J558" s="87"/>
      <c r="K558" s="87"/>
      <c r="L558" s="87"/>
      <c r="M558" s="87"/>
      <c r="N558" s="87"/>
      <c r="O558" s="87"/>
      <c r="P558" s="87"/>
      <c r="Q558" s="87"/>
      <c r="R558" s="87"/>
      <c r="S558" s="87"/>
      <c r="T558" s="87"/>
      <c r="U558" s="87"/>
      <c r="V558" s="87"/>
      <c r="W558" s="87"/>
      <c r="X558" s="87"/>
      <c r="Y558" s="18"/>
      <c r="Z558" s="18"/>
      <c r="AA558" s="18"/>
      <c r="AB558" s="18"/>
      <c r="AC558" s="19"/>
      <c r="AD558" s="147"/>
      <c r="AE558" s="148"/>
      <c r="AF558" s="148"/>
      <c r="AG558" s="148"/>
      <c r="AH558" s="148"/>
      <c r="AI558" s="201"/>
    </row>
    <row r="559" spans="1:35" ht="15" customHeight="1" x14ac:dyDescent="0.45">
      <c r="A559" s="159"/>
      <c r="B559" s="160"/>
      <c r="C559" s="161"/>
      <c r="D559" s="171"/>
      <c r="E559" s="111" t="s">
        <v>272</v>
      </c>
      <c r="F559" s="111"/>
      <c r="G559" s="111"/>
      <c r="H559" s="111"/>
      <c r="I559" s="111"/>
      <c r="J559" s="111"/>
      <c r="K559" s="111"/>
      <c r="L559" s="111"/>
      <c r="M559" s="111"/>
      <c r="N559" s="111"/>
      <c r="O559" s="110"/>
      <c r="P559" s="48"/>
      <c r="Q559" s="48"/>
      <c r="R559" s="48"/>
      <c r="S559" s="48"/>
      <c r="T559" s="48"/>
      <c r="U559" s="110"/>
      <c r="V559" s="110"/>
      <c r="W559" s="110"/>
      <c r="X559" s="110"/>
      <c r="Y559" s="110"/>
      <c r="Z559" s="110"/>
      <c r="AA559" s="110"/>
      <c r="AB559" s="110"/>
      <c r="AC559" s="113"/>
      <c r="AD559" s="154"/>
      <c r="AE559" s="155"/>
      <c r="AF559" s="155"/>
      <c r="AG559" s="155"/>
      <c r="AH559" s="155"/>
      <c r="AI559" s="194"/>
    </row>
    <row r="560" spans="1:35" ht="15" customHeight="1" x14ac:dyDescent="0.45"/>
    <row r="561" spans="1:35" ht="15" customHeight="1" x14ac:dyDescent="0.45">
      <c r="A561" s="176" t="s">
        <v>208</v>
      </c>
      <c r="B561" s="177"/>
      <c r="C561" s="177"/>
      <c r="D561" s="177"/>
      <c r="E561" s="177"/>
      <c r="F561" s="177"/>
      <c r="G561" s="177"/>
      <c r="H561" s="177"/>
      <c r="I561" s="177"/>
      <c r="J561" s="177"/>
      <c r="K561" s="177"/>
      <c r="L561" s="177"/>
      <c r="M561" s="177"/>
      <c r="N561" s="177"/>
      <c r="O561" s="177"/>
      <c r="P561" s="177"/>
      <c r="Q561" s="177"/>
      <c r="R561" s="177"/>
      <c r="S561" s="177"/>
      <c r="T561" s="177"/>
      <c r="U561" s="177"/>
      <c r="V561" s="177"/>
      <c r="W561" s="177"/>
      <c r="X561" s="177"/>
      <c r="Y561" s="177"/>
      <c r="Z561" s="177"/>
      <c r="AA561" s="177"/>
      <c r="AB561" s="177"/>
      <c r="AC561" s="177"/>
      <c r="AD561" s="177"/>
      <c r="AE561" s="177"/>
      <c r="AF561" s="177"/>
      <c r="AG561" s="177"/>
      <c r="AH561" s="177"/>
      <c r="AI561" s="178"/>
    </row>
    <row r="562" spans="1:35" ht="15" customHeight="1" x14ac:dyDescent="0.45">
      <c r="A562" s="256"/>
      <c r="B562" s="257"/>
      <c r="C562" s="257"/>
      <c r="D562" s="257"/>
      <c r="E562" s="257"/>
      <c r="F562" s="257"/>
      <c r="G562" s="257"/>
      <c r="H562" s="257"/>
      <c r="I562" s="257"/>
      <c r="J562" s="257"/>
      <c r="K562" s="257"/>
      <c r="L562" s="257"/>
      <c r="M562" s="257"/>
      <c r="N562" s="257"/>
      <c r="O562" s="257"/>
      <c r="P562" s="257"/>
      <c r="Q562" s="257"/>
      <c r="R562" s="257"/>
      <c r="S562" s="257"/>
      <c r="T562" s="257"/>
      <c r="U562" s="257"/>
      <c r="V562" s="257"/>
      <c r="W562" s="257"/>
      <c r="X562" s="257"/>
      <c r="Y562" s="257"/>
      <c r="Z562" s="257"/>
      <c r="AA562" s="257"/>
      <c r="AB562" s="257"/>
      <c r="AC562" s="257"/>
      <c r="AD562" s="257"/>
      <c r="AE562" s="257"/>
      <c r="AF562" s="257"/>
      <c r="AG562" s="257"/>
      <c r="AH562" s="257"/>
      <c r="AI562" s="258"/>
    </row>
    <row r="563" spans="1:35" ht="15" customHeight="1" x14ac:dyDescent="0.45">
      <c r="A563" s="259"/>
      <c r="B563" s="260"/>
      <c r="C563" s="260"/>
      <c r="D563" s="260"/>
      <c r="E563" s="260"/>
      <c r="F563" s="260"/>
      <c r="G563" s="260"/>
      <c r="H563" s="260"/>
      <c r="I563" s="260"/>
      <c r="J563" s="260"/>
      <c r="K563" s="260"/>
      <c r="L563" s="260"/>
      <c r="M563" s="260"/>
      <c r="N563" s="260"/>
      <c r="O563" s="260"/>
      <c r="P563" s="260"/>
      <c r="Q563" s="260"/>
      <c r="R563" s="260"/>
      <c r="S563" s="260"/>
      <c r="T563" s="260"/>
      <c r="U563" s="260"/>
      <c r="V563" s="260"/>
      <c r="W563" s="260"/>
      <c r="X563" s="260"/>
      <c r="Y563" s="260"/>
      <c r="Z563" s="260"/>
      <c r="AA563" s="260"/>
      <c r="AB563" s="260"/>
      <c r="AC563" s="260"/>
      <c r="AD563" s="260"/>
      <c r="AE563" s="260"/>
      <c r="AF563" s="260"/>
      <c r="AG563" s="260"/>
      <c r="AH563" s="260"/>
      <c r="AI563" s="261"/>
    </row>
    <row r="564" spans="1:35" ht="15" customHeight="1" x14ac:dyDescent="0.45">
      <c r="A564" s="259"/>
      <c r="B564" s="260"/>
      <c r="C564" s="260"/>
      <c r="D564" s="260"/>
      <c r="E564" s="260"/>
      <c r="F564" s="260"/>
      <c r="G564" s="260"/>
      <c r="H564" s="260"/>
      <c r="I564" s="260"/>
      <c r="J564" s="260"/>
      <c r="K564" s="260"/>
      <c r="L564" s="260"/>
      <c r="M564" s="260"/>
      <c r="N564" s="260"/>
      <c r="O564" s="260"/>
      <c r="P564" s="260"/>
      <c r="Q564" s="260"/>
      <c r="R564" s="260"/>
      <c r="S564" s="260"/>
      <c r="T564" s="260"/>
      <c r="U564" s="260"/>
      <c r="V564" s="260"/>
      <c r="W564" s="260"/>
      <c r="X564" s="260"/>
      <c r="Y564" s="260"/>
      <c r="Z564" s="260"/>
      <c r="AA564" s="260"/>
      <c r="AB564" s="260"/>
      <c r="AC564" s="260"/>
      <c r="AD564" s="260"/>
      <c r="AE564" s="260"/>
      <c r="AF564" s="260"/>
      <c r="AG564" s="260"/>
      <c r="AH564" s="260"/>
      <c r="AI564" s="261"/>
    </row>
    <row r="565" spans="1:35" ht="15" customHeight="1" x14ac:dyDescent="0.45">
      <c r="A565" s="259"/>
      <c r="B565" s="260"/>
      <c r="C565" s="260"/>
      <c r="D565" s="260"/>
      <c r="E565" s="260"/>
      <c r="F565" s="260"/>
      <c r="G565" s="260"/>
      <c r="H565" s="260"/>
      <c r="I565" s="260"/>
      <c r="J565" s="260"/>
      <c r="K565" s="260"/>
      <c r="L565" s="260"/>
      <c r="M565" s="260"/>
      <c r="N565" s="260"/>
      <c r="O565" s="260"/>
      <c r="P565" s="260"/>
      <c r="Q565" s="260"/>
      <c r="R565" s="260"/>
      <c r="S565" s="260"/>
      <c r="T565" s="260"/>
      <c r="U565" s="260"/>
      <c r="V565" s="260"/>
      <c r="W565" s="260"/>
      <c r="X565" s="260"/>
      <c r="Y565" s="260"/>
      <c r="Z565" s="260"/>
      <c r="AA565" s="260"/>
      <c r="AB565" s="260"/>
      <c r="AC565" s="260"/>
      <c r="AD565" s="260"/>
      <c r="AE565" s="260"/>
      <c r="AF565" s="260"/>
      <c r="AG565" s="260"/>
      <c r="AH565" s="260"/>
      <c r="AI565" s="261"/>
    </row>
    <row r="566" spans="1:35" ht="15" customHeight="1" x14ac:dyDescent="0.45">
      <c r="A566" s="259"/>
      <c r="B566" s="260"/>
      <c r="C566" s="260"/>
      <c r="D566" s="260"/>
      <c r="E566" s="260"/>
      <c r="F566" s="260"/>
      <c r="G566" s="260"/>
      <c r="H566" s="260"/>
      <c r="I566" s="260"/>
      <c r="J566" s="260"/>
      <c r="K566" s="260"/>
      <c r="L566" s="260"/>
      <c r="M566" s="260"/>
      <c r="N566" s="260"/>
      <c r="O566" s="260"/>
      <c r="P566" s="260"/>
      <c r="Q566" s="260"/>
      <c r="R566" s="260"/>
      <c r="S566" s="260"/>
      <c r="T566" s="260"/>
      <c r="U566" s="260"/>
      <c r="V566" s="260"/>
      <c r="W566" s="260"/>
      <c r="X566" s="260"/>
      <c r="Y566" s="260"/>
      <c r="Z566" s="260"/>
      <c r="AA566" s="260"/>
      <c r="AB566" s="260"/>
      <c r="AC566" s="260"/>
      <c r="AD566" s="260"/>
      <c r="AE566" s="260"/>
      <c r="AF566" s="260"/>
      <c r="AG566" s="260"/>
      <c r="AH566" s="260"/>
      <c r="AI566" s="261"/>
    </row>
    <row r="567" spans="1:35" ht="15" customHeight="1" x14ac:dyDescent="0.45">
      <c r="A567" s="259"/>
      <c r="B567" s="260"/>
      <c r="C567" s="260"/>
      <c r="D567" s="260"/>
      <c r="E567" s="260"/>
      <c r="F567" s="260"/>
      <c r="G567" s="260"/>
      <c r="H567" s="260"/>
      <c r="I567" s="260"/>
      <c r="J567" s="260"/>
      <c r="K567" s="260"/>
      <c r="L567" s="260"/>
      <c r="M567" s="260"/>
      <c r="N567" s="260"/>
      <c r="O567" s="260"/>
      <c r="P567" s="260"/>
      <c r="Q567" s="260"/>
      <c r="R567" s="260"/>
      <c r="S567" s="260"/>
      <c r="T567" s="260"/>
      <c r="U567" s="260"/>
      <c r="V567" s="260"/>
      <c r="W567" s="260"/>
      <c r="X567" s="260"/>
      <c r="Y567" s="260"/>
      <c r="Z567" s="260"/>
      <c r="AA567" s="260"/>
      <c r="AB567" s="260"/>
      <c r="AC567" s="260"/>
      <c r="AD567" s="260"/>
      <c r="AE567" s="260"/>
      <c r="AF567" s="260"/>
      <c r="AG567" s="260"/>
      <c r="AH567" s="260"/>
      <c r="AI567" s="261"/>
    </row>
    <row r="568" spans="1:35" ht="15" customHeight="1" x14ac:dyDescent="0.45">
      <c r="A568" s="259"/>
      <c r="B568" s="260"/>
      <c r="C568" s="260"/>
      <c r="D568" s="260"/>
      <c r="E568" s="260"/>
      <c r="F568" s="260"/>
      <c r="G568" s="260"/>
      <c r="H568" s="260"/>
      <c r="I568" s="260"/>
      <c r="J568" s="260"/>
      <c r="K568" s="260"/>
      <c r="L568" s="260"/>
      <c r="M568" s="260"/>
      <c r="N568" s="260"/>
      <c r="O568" s="260"/>
      <c r="P568" s="260"/>
      <c r="Q568" s="260"/>
      <c r="R568" s="260"/>
      <c r="S568" s="260"/>
      <c r="T568" s="260"/>
      <c r="U568" s="260"/>
      <c r="V568" s="260"/>
      <c r="W568" s="260"/>
      <c r="X568" s="260"/>
      <c r="Y568" s="260"/>
      <c r="Z568" s="260"/>
      <c r="AA568" s="260"/>
      <c r="AB568" s="260"/>
      <c r="AC568" s="260"/>
      <c r="AD568" s="260"/>
      <c r="AE568" s="260"/>
      <c r="AF568" s="260"/>
      <c r="AG568" s="260"/>
      <c r="AH568" s="260"/>
      <c r="AI568" s="261"/>
    </row>
    <row r="569" spans="1:35" ht="15" customHeight="1" x14ac:dyDescent="0.45">
      <c r="A569" s="259"/>
      <c r="B569" s="260"/>
      <c r="C569" s="260"/>
      <c r="D569" s="260"/>
      <c r="E569" s="260"/>
      <c r="F569" s="260"/>
      <c r="G569" s="260"/>
      <c r="H569" s="260"/>
      <c r="I569" s="260"/>
      <c r="J569" s="260"/>
      <c r="K569" s="260"/>
      <c r="L569" s="260"/>
      <c r="M569" s="260"/>
      <c r="N569" s="260"/>
      <c r="O569" s="260"/>
      <c r="P569" s="260"/>
      <c r="Q569" s="260"/>
      <c r="R569" s="260"/>
      <c r="S569" s="260"/>
      <c r="T569" s="260"/>
      <c r="U569" s="260"/>
      <c r="V569" s="260"/>
      <c r="W569" s="260"/>
      <c r="X569" s="260"/>
      <c r="Y569" s="260"/>
      <c r="Z569" s="260"/>
      <c r="AA569" s="260"/>
      <c r="AB569" s="260"/>
      <c r="AC569" s="260"/>
      <c r="AD569" s="260"/>
      <c r="AE569" s="260"/>
      <c r="AF569" s="260"/>
      <c r="AG569" s="260"/>
      <c r="AH569" s="260"/>
      <c r="AI569" s="261"/>
    </row>
    <row r="570" spans="1:35" ht="15" customHeight="1" x14ac:dyDescent="0.45">
      <c r="A570" s="259"/>
      <c r="B570" s="260"/>
      <c r="C570" s="260"/>
      <c r="D570" s="260"/>
      <c r="E570" s="260"/>
      <c r="F570" s="260"/>
      <c r="G570" s="260"/>
      <c r="H570" s="260"/>
      <c r="I570" s="260"/>
      <c r="J570" s="260"/>
      <c r="K570" s="260"/>
      <c r="L570" s="260"/>
      <c r="M570" s="260"/>
      <c r="N570" s="260"/>
      <c r="O570" s="260"/>
      <c r="P570" s="260"/>
      <c r="Q570" s="260"/>
      <c r="R570" s="260"/>
      <c r="S570" s="260"/>
      <c r="T570" s="260"/>
      <c r="U570" s="260"/>
      <c r="V570" s="260"/>
      <c r="W570" s="260"/>
      <c r="X570" s="260"/>
      <c r="Y570" s="260"/>
      <c r="Z570" s="260"/>
      <c r="AA570" s="260"/>
      <c r="AB570" s="260"/>
      <c r="AC570" s="260"/>
      <c r="AD570" s="260"/>
      <c r="AE570" s="260"/>
      <c r="AF570" s="260"/>
      <c r="AG570" s="260"/>
      <c r="AH570" s="260"/>
      <c r="AI570" s="261"/>
    </row>
    <row r="571" spans="1:35" ht="15" customHeight="1" x14ac:dyDescent="0.45">
      <c r="A571" s="259"/>
      <c r="B571" s="260"/>
      <c r="C571" s="260"/>
      <c r="D571" s="260"/>
      <c r="E571" s="260"/>
      <c r="F571" s="260"/>
      <c r="G571" s="260"/>
      <c r="H571" s="260"/>
      <c r="I571" s="260"/>
      <c r="J571" s="260"/>
      <c r="K571" s="260"/>
      <c r="L571" s="260"/>
      <c r="M571" s="260"/>
      <c r="N571" s="260"/>
      <c r="O571" s="260"/>
      <c r="P571" s="260"/>
      <c r="Q571" s="260"/>
      <c r="R571" s="260"/>
      <c r="S571" s="260"/>
      <c r="T571" s="260"/>
      <c r="U571" s="260"/>
      <c r="V571" s="260"/>
      <c r="W571" s="260"/>
      <c r="X571" s="260"/>
      <c r="Y571" s="260"/>
      <c r="Z571" s="260"/>
      <c r="AA571" s="260"/>
      <c r="AB571" s="260"/>
      <c r="AC571" s="260"/>
      <c r="AD571" s="260"/>
      <c r="AE571" s="260"/>
      <c r="AF571" s="260"/>
      <c r="AG571" s="260"/>
      <c r="AH571" s="260"/>
      <c r="AI571" s="261"/>
    </row>
    <row r="572" spans="1:35" ht="15" customHeight="1" x14ac:dyDescent="0.45">
      <c r="A572" s="259"/>
      <c r="B572" s="260"/>
      <c r="C572" s="260"/>
      <c r="D572" s="260"/>
      <c r="E572" s="260"/>
      <c r="F572" s="260"/>
      <c r="G572" s="260"/>
      <c r="H572" s="260"/>
      <c r="I572" s="260"/>
      <c r="J572" s="260"/>
      <c r="K572" s="260"/>
      <c r="L572" s="260"/>
      <c r="M572" s="260"/>
      <c r="N572" s="260"/>
      <c r="O572" s="260"/>
      <c r="P572" s="260"/>
      <c r="Q572" s="260"/>
      <c r="R572" s="260"/>
      <c r="S572" s="260"/>
      <c r="T572" s="260"/>
      <c r="U572" s="260"/>
      <c r="V572" s="260"/>
      <c r="W572" s="260"/>
      <c r="X572" s="260"/>
      <c r="Y572" s="260"/>
      <c r="Z572" s="260"/>
      <c r="AA572" s="260"/>
      <c r="AB572" s="260"/>
      <c r="AC572" s="260"/>
      <c r="AD572" s="260"/>
      <c r="AE572" s="260"/>
      <c r="AF572" s="260"/>
      <c r="AG572" s="260"/>
      <c r="AH572" s="260"/>
      <c r="AI572" s="261"/>
    </row>
    <row r="573" spans="1:35" ht="15" customHeight="1" x14ac:dyDescent="0.45">
      <c r="A573" s="259"/>
      <c r="B573" s="260"/>
      <c r="C573" s="260"/>
      <c r="D573" s="260"/>
      <c r="E573" s="260"/>
      <c r="F573" s="260"/>
      <c r="G573" s="260"/>
      <c r="H573" s="260"/>
      <c r="I573" s="260"/>
      <c r="J573" s="260"/>
      <c r="K573" s="260"/>
      <c r="L573" s="260"/>
      <c r="M573" s="260"/>
      <c r="N573" s="260"/>
      <c r="O573" s="260"/>
      <c r="P573" s="260"/>
      <c r="Q573" s="260"/>
      <c r="R573" s="260"/>
      <c r="S573" s="260"/>
      <c r="T573" s="260"/>
      <c r="U573" s="260"/>
      <c r="V573" s="260"/>
      <c r="W573" s="260"/>
      <c r="X573" s="260"/>
      <c r="Y573" s="260"/>
      <c r="Z573" s="260"/>
      <c r="AA573" s="260"/>
      <c r="AB573" s="260"/>
      <c r="AC573" s="260"/>
      <c r="AD573" s="260"/>
      <c r="AE573" s="260"/>
      <c r="AF573" s="260"/>
      <c r="AG573" s="260"/>
      <c r="AH573" s="260"/>
      <c r="AI573" s="261"/>
    </row>
    <row r="574" spans="1:35" ht="15" customHeight="1" x14ac:dyDescent="0.45">
      <c r="A574" s="259"/>
      <c r="B574" s="260"/>
      <c r="C574" s="260"/>
      <c r="D574" s="260"/>
      <c r="E574" s="260"/>
      <c r="F574" s="260"/>
      <c r="G574" s="260"/>
      <c r="H574" s="260"/>
      <c r="I574" s="260"/>
      <c r="J574" s="260"/>
      <c r="K574" s="260"/>
      <c r="L574" s="260"/>
      <c r="M574" s="260"/>
      <c r="N574" s="260"/>
      <c r="O574" s="260"/>
      <c r="P574" s="260"/>
      <c r="Q574" s="260"/>
      <c r="R574" s="260"/>
      <c r="S574" s="260"/>
      <c r="T574" s="260"/>
      <c r="U574" s="260"/>
      <c r="V574" s="260"/>
      <c r="W574" s="260"/>
      <c r="X574" s="260"/>
      <c r="Y574" s="260"/>
      <c r="Z574" s="260"/>
      <c r="AA574" s="260"/>
      <c r="AB574" s="260"/>
      <c r="AC574" s="260"/>
      <c r="AD574" s="260"/>
      <c r="AE574" s="260"/>
      <c r="AF574" s="260"/>
      <c r="AG574" s="260"/>
      <c r="AH574" s="260"/>
      <c r="AI574" s="261"/>
    </row>
    <row r="575" spans="1:35" ht="15" customHeight="1" x14ac:dyDescent="0.45">
      <c r="A575" s="259"/>
      <c r="B575" s="260"/>
      <c r="C575" s="260"/>
      <c r="D575" s="260"/>
      <c r="E575" s="260"/>
      <c r="F575" s="260"/>
      <c r="G575" s="260"/>
      <c r="H575" s="260"/>
      <c r="I575" s="260"/>
      <c r="J575" s="260"/>
      <c r="K575" s="260"/>
      <c r="L575" s="260"/>
      <c r="M575" s="260"/>
      <c r="N575" s="260"/>
      <c r="O575" s="260"/>
      <c r="P575" s="260"/>
      <c r="Q575" s="260"/>
      <c r="R575" s="260"/>
      <c r="S575" s="260"/>
      <c r="T575" s="260"/>
      <c r="U575" s="260"/>
      <c r="V575" s="260"/>
      <c r="W575" s="260"/>
      <c r="X575" s="260"/>
      <c r="Y575" s="260"/>
      <c r="Z575" s="260"/>
      <c r="AA575" s="260"/>
      <c r="AB575" s="260"/>
      <c r="AC575" s="260"/>
      <c r="AD575" s="260"/>
      <c r="AE575" s="260"/>
      <c r="AF575" s="260"/>
      <c r="AG575" s="260"/>
      <c r="AH575" s="260"/>
      <c r="AI575" s="261"/>
    </row>
    <row r="576" spans="1:35" ht="15" customHeight="1" x14ac:dyDescent="0.45">
      <c r="A576" s="259"/>
      <c r="B576" s="260"/>
      <c r="C576" s="260"/>
      <c r="D576" s="260"/>
      <c r="E576" s="260"/>
      <c r="F576" s="260"/>
      <c r="G576" s="260"/>
      <c r="H576" s="260"/>
      <c r="I576" s="260"/>
      <c r="J576" s="260"/>
      <c r="K576" s="260"/>
      <c r="L576" s="260"/>
      <c r="M576" s="260"/>
      <c r="N576" s="260"/>
      <c r="O576" s="260"/>
      <c r="P576" s="260"/>
      <c r="Q576" s="260"/>
      <c r="R576" s="260"/>
      <c r="S576" s="260"/>
      <c r="T576" s="260"/>
      <c r="U576" s="260"/>
      <c r="V576" s="260"/>
      <c r="W576" s="260"/>
      <c r="X576" s="260"/>
      <c r="Y576" s="260"/>
      <c r="Z576" s="260"/>
      <c r="AA576" s="260"/>
      <c r="AB576" s="260"/>
      <c r="AC576" s="260"/>
      <c r="AD576" s="260"/>
      <c r="AE576" s="260"/>
      <c r="AF576" s="260"/>
      <c r="AG576" s="260"/>
      <c r="AH576" s="260"/>
      <c r="AI576" s="261"/>
    </row>
    <row r="577" spans="1:35" ht="15" customHeight="1" x14ac:dyDescent="0.45">
      <c r="A577" s="259"/>
      <c r="B577" s="260"/>
      <c r="C577" s="260"/>
      <c r="D577" s="260"/>
      <c r="E577" s="260"/>
      <c r="F577" s="260"/>
      <c r="G577" s="260"/>
      <c r="H577" s="260"/>
      <c r="I577" s="260"/>
      <c r="J577" s="260"/>
      <c r="K577" s="260"/>
      <c r="L577" s="260"/>
      <c r="M577" s="260"/>
      <c r="N577" s="260"/>
      <c r="O577" s="260"/>
      <c r="P577" s="260"/>
      <c r="Q577" s="260"/>
      <c r="R577" s="260"/>
      <c r="S577" s="260"/>
      <c r="T577" s="260"/>
      <c r="U577" s="260"/>
      <c r="V577" s="260"/>
      <c r="W577" s="260"/>
      <c r="X577" s="260"/>
      <c r="Y577" s="260"/>
      <c r="Z577" s="260"/>
      <c r="AA577" s="260"/>
      <c r="AB577" s="260"/>
      <c r="AC577" s="260"/>
      <c r="AD577" s="260"/>
      <c r="AE577" s="260"/>
      <c r="AF577" s="260"/>
      <c r="AG577" s="260"/>
      <c r="AH577" s="260"/>
      <c r="AI577" s="261"/>
    </row>
    <row r="578" spans="1:35" ht="15" customHeight="1" x14ac:dyDescent="0.45">
      <c r="A578" s="259"/>
      <c r="B578" s="260"/>
      <c r="C578" s="260"/>
      <c r="D578" s="260"/>
      <c r="E578" s="260"/>
      <c r="F578" s="260"/>
      <c r="G578" s="260"/>
      <c r="H578" s="260"/>
      <c r="I578" s="260"/>
      <c r="J578" s="260"/>
      <c r="K578" s="260"/>
      <c r="L578" s="260"/>
      <c r="M578" s="260"/>
      <c r="N578" s="260"/>
      <c r="O578" s="260"/>
      <c r="P578" s="260"/>
      <c r="Q578" s="260"/>
      <c r="R578" s="260"/>
      <c r="S578" s="260"/>
      <c r="T578" s="260"/>
      <c r="U578" s="260"/>
      <c r="V578" s="260"/>
      <c r="W578" s="260"/>
      <c r="X578" s="260"/>
      <c r="Y578" s="260"/>
      <c r="Z578" s="260"/>
      <c r="AA578" s="260"/>
      <c r="AB578" s="260"/>
      <c r="AC578" s="260"/>
      <c r="AD578" s="260"/>
      <c r="AE578" s="260"/>
      <c r="AF578" s="260"/>
      <c r="AG578" s="260"/>
      <c r="AH578" s="260"/>
      <c r="AI578" s="261"/>
    </row>
    <row r="579" spans="1:35" ht="15" customHeight="1" x14ac:dyDescent="0.45">
      <c r="A579" s="259"/>
      <c r="B579" s="260"/>
      <c r="C579" s="260"/>
      <c r="D579" s="260"/>
      <c r="E579" s="260"/>
      <c r="F579" s="260"/>
      <c r="G579" s="260"/>
      <c r="H579" s="260"/>
      <c r="I579" s="260"/>
      <c r="J579" s="260"/>
      <c r="K579" s="260"/>
      <c r="L579" s="260"/>
      <c r="M579" s="260"/>
      <c r="N579" s="260"/>
      <c r="O579" s="260"/>
      <c r="P579" s="260"/>
      <c r="Q579" s="260"/>
      <c r="R579" s="260"/>
      <c r="S579" s="260"/>
      <c r="T579" s="260"/>
      <c r="U579" s="260"/>
      <c r="V579" s="260"/>
      <c r="W579" s="260"/>
      <c r="X579" s="260"/>
      <c r="Y579" s="260"/>
      <c r="Z579" s="260"/>
      <c r="AA579" s="260"/>
      <c r="AB579" s="260"/>
      <c r="AC579" s="260"/>
      <c r="AD579" s="260"/>
      <c r="AE579" s="260"/>
      <c r="AF579" s="260"/>
      <c r="AG579" s="260"/>
      <c r="AH579" s="260"/>
      <c r="AI579" s="261"/>
    </row>
    <row r="580" spans="1:35" ht="15" customHeight="1" x14ac:dyDescent="0.45">
      <c r="A580" s="259"/>
      <c r="B580" s="260"/>
      <c r="C580" s="260"/>
      <c r="D580" s="260"/>
      <c r="E580" s="260"/>
      <c r="F580" s="260"/>
      <c r="G580" s="260"/>
      <c r="H580" s="260"/>
      <c r="I580" s="260"/>
      <c r="J580" s="260"/>
      <c r="K580" s="260"/>
      <c r="L580" s="260"/>
      <c r="M580" s="260"/>
      <c r="N580" s="260"/>
      <c r="O580" s="260"/>
      <c r="P580" s="260"/>
      <c r="Q580" s="260"/>
      <c r="R580" s="260"/>
      <c r="S580" s="260"/>
      <c r="T580" s="260"/>
      <c r="U580" s="260"/>
      <c r="V580" s="260"/>
      <c r="W580" s="260"/>
      <c r="X580" s="260"/>
      <c r="Y580" s="260"/>
      <c r="Z580" s="260"/>
      <c r="AA580" s="260"/>
      <c r="AB580" s="260"/>
      <c r="AC580" s="260"/>
      <c r="AD580" s="260"/>
      <c r="AE580" s="260"/>
      <c r="AF580" s="260"/>
      <c r="AG580" s="260"/>
      <c r="AH580" s="260"/>
      <c r="AI580" s="261"/>
    </row>
    <row r="581" spans="1:35" ht="15" customHeight="1" x14ac:dyDescent="0.45">
      <c r="A581" s="262"/>
      <c r="B581" s="263"/>
      <c r="C581" s="263"/>
      <c r="D581" s="263"/>
      <c r="E581" s="263"/>
      <c r="F581" s="263"/>
      <c r="G581" s="263"/>
      <c r="H581" s="263"/>
      <c r="I581" s="263"/>
      <c r="J581" s="263"/>
      <c r="K581" s="263"/>
      <c r="L581" s="263"/>
      <c r="M581" s="263"/>
      <c r="N581" s="263"/>
      <c r="O581" s="263"/>
      <c r="P581" s="263"/>
      <c r="Q581" s="263"/>
      <c r="R581" s="263"/>
      <c r="S581" s="263"/>
      <c r="T581" s="263"/>
      <c r="U581" s="263"/>
      <c r="V581" s="263"/>
      <c r="W581" s="263"/>
      <c r="X581" s="263"/>
      <c r="Y581" s="263"/>
      <c r="Z581" s="263"/>
      <c r="AA581" s="263"/>
      <c r="AB581" s="263"/>
      <c r="AC581" s="263"/>
      <c r="AD581" s="263"/>
      <c r="AE581" s="263"/>
      <c r="AF581" s="263"/>
      <c r="AG581" s="263"/>
      <c r="AH581" s="263"/>
      <c r="AI581" s="264"/>
    </row>
    <row r="582" spans="1:35" ht="15" customHeight="1" x14ac:dyDescent="0.45"/>
    <row r="583" spans="1:35" ht="15" customHeight="1" x14ac:dyDescent="0.45">
      <c r="A583" s="14" t="s">
        <v>273</v>
      </c>
      <c r="B583" s="14"/>
      <c r="C583" s="14"/>
      <c r="D583" s="14"/>
      <c r="E583" s="14"/>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66"/>
      <c r="AD583" s="66"/>
      <c r="AE583" s="66"/>
      <c r="AF583" s="66"/>
      <c r="AG583" s="66"/>
      <c r="AH583" s="66"/>
      <c r="AI583" s="66"/>
    </row>
    <row r="584" spans="1:35" ht="15" customHeight="1" x14ac:dyDescent="0.45"/>
    <row r="585" spans="1:35" ht="15" customHeight="1" x14ac:dyDescent="0.45"/>
    <row r="586" spans="1:35" ht="15" customHeight="1" x14ac:dyDescent="0.45"/>
    <row r="587" spans="1:35" ht="15" customHeight="1" x14ac:dyDescent="0.45"/>
    <row r="588" spans="1:35" ht="15" customHeight="1" x14ac:dyDescent="0.45"/>
    <row r="589" spans="1:35" ht="15" customHeight="1" x14ac:dyDescent="0.45"/>
    <row r="590" spans="1:35" ht="15" customHeight="1" x14ac:dyDescent="0.45"/>
    <row r="591" spans="1:35" ht="15" customHeight="1" x14ac:dyDescent="0.45"/>
    <row r="592" spans="1:35" ht="15" customHeight="1" x14ac:dyDescent="0.45"/>
    <row r="593" spans="38:38" ht="15" customHeight="1" x14ac:dyDescent="0.45"/>
    <row r="594" spans="38:38" ht="15" customHeight="1" x14ac:dyDescent="0.45">
      <c r="AL594" s="346"/>
    </row>
    <row r="595" spans="38:38" ht="15" customHeight="1" x14ac:dyDescent="0.45">
      <c r="AL595" s="346"/>
    </row>
    <row r="596" spans="38:38" ht="15" customHeight="1" x14ac:dyDescent="0.45"/>
    <row r="597" spans="38:38" ht="15" customHeight="1" x14ac:dyDescent="0.45"/>
    <row r="598" spans="38:38" ht="15" customHeight="1" x14ac:dyDescent="0.45"/>
    <row r="599" spans="38:38" ht="15" customHeight="1" x14ac:dyDescent="0.45"/>
    <row r="600" spans="38:38" ht="15" customHeight="1" x14ac:dyDescent="0.45"/>
    <row r="601" spans="38:38" ht="15" customHeight="1" x14ac:dyDescent="0.45"/>
    <row r="602" spans="38:38" ht="15" customHeight="1" x14ac:dyDescent="0.45"/>
    <row r="603" spans="38:38" ht="15" customHeight="1" x14ac:dyDescent="0.45"/>
    <row r="604" spans="38:38" ht="15" customHeight="1" x14ac:dyDescent="0.45"/>
    <row r="605" spans="38:38" ht="15" customHeight="1" x14ac:dyDescent="0.45"/>
    <row r="606" spans="38:38" ht="15" customHeight="1" x14ac:dyDescent="0.45"/>
    <row r="607" spans="38:38" ht="15" customHeight="1" x14ac:dyDescent="0.45"/>
    <row r="608" spans="38:38" ht="15" customHeight="1" x14ac:dyDescent="0.45"/>
    <row r="609" ht="15" customHeight="1" x14ac:dyDescent="0.45"/>
    <row r="610" ht="15" customHeight="1" x14ac:dyDescent="0.45"/>
    <row r="611" ht="15" customHeight="1" x14ac:dyDescent="0.45"/>
    <row r="612" ht="15" customHeight="1" x14ac:dyDescent="0.45"/>
    <row r="613" ht="15" customHeight="1" x14ac:dyDescent="0.45"/>
    <row r="614" ht="15" customHeight="1" x14ac:dyDescent="0.45"/>
    <row r="615" ht="15" customHeight="1" x14ac:dyDescent="0.45"/>
    <row r="616" ht="15" customHeight="1" x14ac:dyDescent="0.45"/>
    <row r="617" ht="15" customHeight="1" x14ac:dyDescent="0.45"/>
    <row r="618" ht="15" customHeight="1" x14ac:dyDescent="0.45"/>
    <row r="619" ht="15" customHeight="1" x14ac:dyDescent="0.45"/>
    <row r="620" ht="15" customHeight="1" x14ac:dyDescent="0.45"/>
    <row r="621" ht="15" customHeight="1" x14ac:dyDescent="0.45"/>
    <row r="622" ht="15" customHeight="1" x14ac:dyDescent="0.45"/>
    <row r="623" ht="15" customHeight="1" x14ac:dyDescent="0.45"/>
    <row r="624" ht="15" customHeight="1" x14ac:dyDescent="0.45"/>
    <row r="625" spans="1:35" ht="15" customHeight="1" x14ac:dyDescent="0.45"/>
    <row r="626" spans="1:35" ht="15" customHeight="1" x14ac:dyDescent="0.45"/>
    <row r="627" spans="1:35" ht="15" customHeight="1" x14ac:dyDescent="0.45"/>
    <row r="628" spans="1:35" ht="15" customHeight="1" x14ac:dyDescent="0.45"/>
    <row r="629" spans="1:35" ht="15" customHeight="1" x14ac:dyDescent="0.45"/>
    <row r="630" spans="1:35" ht="15" customHeight="1" x14ac:dyDescent="0.45"/>
    <row r="631" spans="1:35" ht="15" customHeight="1" x14ac:dyDescent="0.45"/>
    <row r="632" spans="1:35" ht="15" customHeight="1" x14ac:dyDescent="0.45">
      <c r="A632" s="14" t="s">
        <v>274</v>
      </c>
      <c r="B632" s="14"/>
      <c r="C632" s="14"/>
      <c r="D632" s="14"/>
      <c r="E632" s="14"/>
      <c r="F632" s="15" t="s">
        <v>275</v>
      </c>
      <c r="G632" s="15"/>
      <c r="H632" s="15"/>
      <c r="I632" s="15"/>
      <c r="J632" s="15"/>
      <c r="K632" s="15"/>
      <c r="L632" s="15"/>
      <c r="M632" s="15"/>
      <c r="N632" s="15"/>
      <c r="O632" s="15"/>
      <c r="P632" s="15"/>
      <c r="Q632" s="15"/>
      <c r="R632" s="15"/>
      <c r="S632" s="15"/>
      <c r="T632" s="15"/>
      <c r="U632" s="15"/>
      <c r="V632" s="15"/>
      <c r="W632" s="15"/>
      <c r="X632" s="15"/>
      <c r="Y632" s="15"/>
      <c r="Z632" s="15"/>
      <c r="AA632" s="15"/>
      <c r="AB632" s="15"/>
      <c r="AC632" s="66" t="s">
        <v>276</v>
      </c>
      <c r="AD632" s="66"/>
      <c r="AE632" s="66"/>
      <c r="AF632" s="66"/>
      <c r="AG632" s="66"/>
      <c r="AH632" s="66"/>
      <c r="AI632" s="66"/>
    </row>
    <row r="633" spans="1:35" ht="15" customHeight="1" x14ac:dyDescent="0.45"/>
    <row r="634" spans="1:35" ht="15" customHeight="1" x14ac:dyDescent="0.45">
      <c r="A634" s="347" t="s">
        <v>277</v>
      </c>
      <c r="B634" s="90"/>
      <c r="C634" s="90"/>
      <c r="D634" s="90"/>
      <c r="E634" s="90"/>
      <c r="F634" s="90"/>
      <c r="G634" s="348" t="s">
        <v>90</v>
      </c>
      <c r="H634" s="90" t="s">
        <v>278</v>
      </c>
      <c r="I634" s="90"/>
      <c r="J634" s="90"/>
      <c r="K634" s="90"/>
      <c r="L634" s="90"/>
      <c r="M634" s="90"/>
      <c r="N634" s="90"/>
      <c r="O634" s="90"/>
      <c r="P634" s="90"/>
      <c r="Q634" s="90"/>
      <c r="R634" s="90"/>
      <c r="S634" s="90"/>
      <c r="T634" s="90"/>
      <c r="U634" s="90"/>
      <c r="V634" s="90"/>
      <c r="W634" s="90"/>
      <c r="X634" s="90"/>
      <c r="Y634" s="90"/>
      <c r="Z634" s="90"/>
      <c r="AA634" s="90"/>
      <c r="AB634" s="90"/>
      <c r="AC634" s="90"/>
      <c r="AD634" s="90"/>
      <c r="AE634" s="90"/>
      <c r="AF634" s="90"/>
      <c r="AG634" s="90"/>
      <c r="AH634" s="90"/>
      <c r="AI634" s="349"/>
    </row>
    <row r="635" spans="1:35" ht="15" customHeight="1" x14ac:dyDescent="0.45">
      <c r="A635" s="302"/>
      <c r="B635" s="6"/>
      <c r="C635" s="6"/>
      <c r="D635" s="6"/>
      <c r="E635" s="6"/>
      <c r="F635" s="6"/>
      <c r="G635" s="350" t="s">
        <v>90</v>
      </c>
      <c r="H635" s="6" t="s">
        <v>279</v>
      </c>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290"/>
    </row>
    <row r="636" spans="1:35" ht="15" customHeight="1" x14ac:dyDescent="0.45">
      <c r="A636" s="302"/>
      <c r="B636" s="6"/>
      <c r="C636" s="6"/>
      <c r="D636" s="6"/>
      <c r="E636" s="6"/>
      <c r="F636" s="6"/>
      <c r="G636" s="350" t="s">
        <v>90</v>
      </c>
      <c r="H636" s="6" t="s">
        <v>280</v>
      </c>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290"/>
    </row>
    <row r="637" spans="1:35" ht="15" customHeight="1" x14ac:dyDescent="0.45">
      <c r="A637" s="302"/>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290"/>
    </row>
    <row r="638" spans="1:35" ht="15" customHeight="1" x14ac:dyDescent="0.45">
      <c r="A638" s="171" t="s">
        <v>281</v>
      </c>
      <c r="B638" s="142"/>
      <c r="C638" s="142"/>
      <c r="D638" s="142"/>
      <c r="E638" s="142"/>
      <c r="F638" s="142"/>
      <c r="G638" s="351" t="s">
        <v>90</v>
      </c>
      <c r="H638" s="142" t="s">
        <v>282</v>
      </c>
      <c r="I638" s="142"/>
      <c r="J638" s="142"/>
      <c r="K638" s="142"/>
      <c r="L638" s="142"/>
      <c r="M638" s="142"/>
      <c r="N638" s="142"/>
      <c r="O638" s="142"/>
      <c r="P638" s="142"/>
      <c r="Q638" s="142"/>
      <c r="R638" s="142"/>
      <c r="S638" s="142"/>
      <c r="T638" s="142"/>
      <c r="U638" s="142"/>
      <c r="V638" s="142"/>
      <c r="W638" s="142"/>
      <c r="X638" s="142"/>
      <c r="Y638" s="142"/>
      <c r="Z638" s="142"/>
      <c r="AA638" s="142"/>
      <c r="AB638" s="142"/>
      <c r="AC638" s="142"/>
      <c r="AD638" s="142"/>
      <c r="AE638" s="142"/>
      <c r="AF638" s="142"/>
      <c r="AG638" s="142"/>
      <c r="AH638" s="142"/>
      <c r="AI638" s="172"/>
    </row>
    <row r="639" spans="1:35" ht="15" customHeight="1" thickBot="1" x14ac:dyDescent="0.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row>
    <row r="640" spans="1:35" ht="15" customHeight="1" thickTop="1" thickBot="1" x14ac:dyDescent="0.5">
      <c r="A640" s="352" t="s">
        <v>283</v>
      </c>
      <c r="B640" s="353"/>
      <c r="C640" s="353"/>
      <c r="D640" s="353"/>
      <c r="E640" s="353"/>
      <c r="F640" s="353"/>
      <c r="G640" s="353"/>
      <c r="H640" s="353"/>
      <c r="I640" s="353"/>
      <c r="J640" s="353"/>
      <c r="K640" s="353"/>
      <c r="L640" s="353"/>
      <c r="M640" s="353"/>
      <c r="N640" s="353"/>
      <c r="O640" s="353"/>
      <c r="P640" s="353"/>
      <c r="Q640" s="353"/>
      <c r="R640" s="353"/>
      <c r="S640" s="353"/>
      <c r="T640" s="353"/>
      <c r="U640" s="353"/>
      <c r="V640" s="353"/>
      <c r="W640" s="353"/>
      <c r="X640" s="353"/>
      <c r="Y640" s="353"/>
      <c r="Z640" s="353"/>
      <c r="AA640" s="353"/>
      <c r="AB640" s="353"/>
      <c r="AC640" s="353"/>
      <c r="AD640" s="353"/>
      <c r="AE640" s="353"/>
      <c r="AF640" s="353"/>
      <c r="AG640" s="353"/>
      <c r="AH640" s="353"/>
      <c r="AI640" s="354"/>
    </row>
    <row r="641" spans="1:35" ht="15" customHeight="1" thickTop="1" thickBot="1" x14ac:dyDescent="0.5">
      <c r="A641" s="355" t="s">
        <v>98</v>
      </c>
      <c r="B641" s="356"/>
      <c r="C641" s="357"/>
      <c r="D641" s="358" t="s">
        <v>99</v>
      </c>
      <c r="E641" s="359"/>
      <c r="F641" s="359"/>
      <c r="G641" s="359"/>
      <c r="H641" s="359"/>
      <c r="I641" s="359"/>
      <c r="J641" s="359"/>
      <c r="K641" s="359"/>
      <c r="L641" s="359"/>
      <c r="M641" s="359"/>
      <c r="N641" s="359"/>
      <c r="O641" s="359"/>
      <c r="P641" s="359"/>
      <c r="Q641" s="359"/>
      <c r="R641" s="359"/>
      <c r="S641" s="359"/>
      <c r="T641" s="359"/>
      <c r="U641" s="359"/>
      <c r="V641" s="359"/>
      <c r="W641" s="359"/>
      <c r="X641" s="359"/>
      <c r="Y641" s="359"/>
      <c r="Z641" s="359"/>
      <c r="AA641" s="359"/>
      <c r="AB641" s="359"/>
      <c r="AC641" s="360"/>
      <c r="AD641" s="355" t="s">
        <v>100</v>
      </c>
      <c r="AE641" s="356"/>
      <c r="AF641" s="356"/>
      <c r="AG641" s="356"/>
      <c r="AH641" s="356"/>
      <c r="AI641" s="357"/>
    </row>
    <row r="642" spans="1:35" ht="15" customHeight="1" thickTop="1" x14ac:dyDescent="0.45">
      <c r="A642" s="361" t="s">
        <v>155</v>
      </c>
      <c r="B642" s="362"/>
      <c r="C642" s="363"/>
      <c r="D642" s="86" t="s">
        <v>284</v>
      </c>
      <c r="E642" s="87"/>
      <c r="F642" s="87"/>
      <c r="G642" s="87"/>
      <c r="H642" s="87"/>
      <c r="I642" s="87"/>
      <c r="J642" s="87"/>
      <c r="K642" s="364" t="str">
        <f>IF(ISBLANK(Inspection_Details_GCWS_Type),"No Value", Inspection_Details_GCWS_Type)</f>
        <v>Active - FLBG</v>
      </c>
      <c r="L642" s="364"/>
      <c r="M642" s="364"/>
      <c r="N642" s="364"/>
      <c r="O642" s="364"/>
      <c r="P642" s="18"/>
      <c r="Q642" s="87" t="s">
        <v>285</v>
      </c>
      <c r="R642" s="87"/>
      <c r="S642" s="87"/>
      <c r="T642" s="87"/>
      <c r="U642" s="87"/>
      <c r="V642" s="87"/>
      <c r="W642" s="18"/>
      <c r="X642" s="18"/>
      <c r="Y642" s="364" t="str">
        <f>IF(K642="No Value","No Value",IF(ISNUMBER(SEARCH("G",K642,1)),"Yes","No"))</f>
        <v>Yes</v>
      </c>
      <c r="Z642" s="364"/>
      <c r="AA642" s="364"/>
      <c r="AB642" s="364"/>
      <c r="AC642" s="365"/>
      <c r="AD642" s="366" t="s">
        <v>286</v>
      </c>
      <c r="AE642" s="367"/>
      <c r="AF642" s="367"/>
      <c r="AG642" s="367"/>
      <c r="AH642" s="367"/>
      <c r="AI642" s="368"/>
    </row>
    <row r="643" spans="1:35" ht="15" customHeight="1" x14ac:dyDescent="0.45">
      <c r="A643" s="369"/>
      <c r="B643" s="370"/>
      <c r="C643" s="371"/>
      <c r="D643" s="96" t="s">
        <v>287</v>
      </c>
      <c r="E643" s="97"/>
      <c r="F643" s="97"/>
      <c r="G643" s="97"/>
      <c r="H643" s="97"/>
      <c r="I643" s="97"/>
      <c r="J643" s="97"/>
      <c r="K643" s="97"/>
      <c r="L643" s="97"/>
      <c r="M643" s="97"/>
      <c r="N643" s="97"/>
      <c r="O643" s="97"/>
      <c r="P643" s="97"/>
      <c r="Q643" s="97"/>
      <c r="R643" s="97"/>
      <c r="S643" s="97"/>
      <c r="T643" s="97"/>
      <c r="U643" s="97"/>
      <c r="V643" s="6"/>
      <c r="W643" s="6"/>
      <c r="Y643" s="162" t="str">
        <f>IF($K$642="No Value","No Value",IF(ISNUMBER(SEARCH("Active",$K$642,1)),"Yes","No"))</f>
        <v>Yes</v>
      </c>
      <c r="Z643" s="162"/>
      <c r="AA643" s="162"/>
      <c r="AB643" s="162"/>
      <c r="AC643" s="163"/>
      <c r="AD643" s="152"/>
      <c r="AE643" s="153"/>
      <c r="AF643" s="153"/>
      <c r="AG643" s="153"/>
      <c r="AH643" s="153"/>
      <c r="AI643" s="275"/>
    </row>
    <row r="644" spans="1:35" ht="15" customHeight="1" x14ac:dyDescent="0.45">
      <c r="A644" s="372"/>
      <c r="B644" s="373"/>
      <c r="C644" s="374"/>
      <c r="D644" s="279" t="s">
        <v>288</v>
      </c>
      <c r="E644" s="111"/>
      <c r="F644" s="111"/>
      <c r="G644" s="111"/>
      <c r="H644" s="111"/>
      <c r="I644" s="111"/>
      <c r="J644" s="111"/>
      <c r="K644" s="111"/>
      <c r="L644" s="111"/>
      <c r="M644" s="111"/>
      <c r="N644" s="111"/>
      <c r="O644" s="111"/>
      <c r="P644" s="111"/>
      <c r="Q644" s="110"/>
      <c r="R644" s="110"/>
      <c r="S644" s="142"/>
      <c r="T644" s="142"/>
      <c r="U644" s="142"/>
      <c r="V644" s="142"/>
      <c r="W644" s="142"/>
      <c r="X644" s="110"/>
      <c r="Y644" s="112" t="str">
        <f>IF($Y$642="No Value","No Value",IF($Y$642="Yes","Yes","No"))</f>
        <v>Yes</v>
      </c>
      <c r="Z644" s="112"/>
      <c r="AA644" s="112"/>
      <c r="AB644" s="112"/>
      <c r="AC644" s="375"/>
      <c r="AD644" s="154"/>
      <c r="AE644" s="155"/>
      <c r="AF644" s="155"/>
      <c r="AG644" s="155"/>
      <c r="AH644" s="155"/>
      <c r="AI644" s="194"/>
    </row>
    <row r="645" spans="1:35" ht="15" customHeight="1" x14ac:dyDescent="0.45">
      <c r="A645" s="202" t="s">
        <v>155</v>
      </c>
      <c r="B645" s="376"/>
      <c r="C645" s="377"/>
      <c r="D645" s="116" t="s">
        <v>289</v>
      </c>
      <c r="E645" s="117"/>
      <c r="F645" s="117"/>
      <c r="G645" s="117"/>
      <c r="H645" s="117" t="str">
        <f>V$1 &amp; " Road Approach"</f>
        <v>N Road Approach</v>
      </c>
      <c r="I645" s="117"/>
      <c r="J645" s="117"/>
      <c r="K645" s="117"/>
      <c r="L645" s="117"/>
      <c r="M645" s="53" t="str">
        <f>IF(OR(ISBLANK(General_Info_Road_Speed_Design),Design_Lookup_Design_Vehicle_Class="No Value",ISBLANK(Road_Geometry_Road_General_Approach_Grade_N_or_E_Approach),ABS(Road_Geometry_Road_General_Approach_Grade_N_or_E_Approach)&gt;0.1),"No Value",IF(Design_Lookup_Design_Vehicle_Class="Pedestrian","N/A",IF(AND(General_Info_Road_Speed_Design&gt;=0,General_Info_Road_Speed_Design&lt;=10),INDEX('[1]GCS Tables and Figures'!F98:Z108,MATCH("0-10",'[1]GCS Tables and Figures'!E98:E108,0),MATCH(ROUND(Road_Geometry_Road_General_Approach_Grade_N_or_E_Approach,2),'[1]GCS Tables and Figures'!F97:Z97,0)),IF(AND(General_Info_Road_Speed_Design&gt;=11,General_Info_Road_Speed_Design&lt;=20),INDEX('[1]GCS Tables and Figures'!F98:Z108,MATCH("11-20",'[1]GCS Tables and Figures'!E98:E108,0),MATCH(ROUND(Road_Geometry_Road_General_Approach_Grade_N_or_E_Approach,2),'[1]GCS Tables and Figures'!F97:Z97,0)),IF(AND(General_Info_Road_Speed_Design&gt;=21,General_Info_Road_Speed_Design&lt;=30),INDEX('[1]GCS Tables and Figures'!F98:Z108,MATCH("21-30",'[1]GCS Tables and Figures'!E98:E108,0),MATCH(ROUND(Road_Geometry_Road_General_Approach_Grade_N_or_E_Approach,2),'[1]GCS Tables and Figures'!F97:Z97,0)),IF(AND(General_Info_Road_Speed_Design&gt;=31,General_Info_Road_Speed_Design&lt;=40),INDEX('[1]GCS Tables and Figures'!F98:Z108,MATCH("31-40",'[1]GCS Tables and Figures'!E98:E108,0),MATCH(ROUND(Road_Geometry_Road_General_Approach_Grade_N_or_E_Approach,2),'[1]GCS Tables and Figures'!F97:Z97,0)),IF(AND(General_Info_Road_Speed_Design&gt;=41,General_Info_Road_Speed_Design&lt;=50),INDEX('[1]GCS Tables and Figures'!F98:Z108,MATCH("41-50",'[1]GCS Tables and Figures'!E98:E108,0),MATCH(ROUND(Road_Geometry_Road_General_Approach_Grade_N_or_E_Approach,2),'[1]GCS Tables and Figures'!F97:Z97,0)),IF(AND(General_Info_Road_Speed_Design&gt;=51,General_Info_Road_Speed_Design&lt;=60),INDEX('[1]GCS Tables and Figures'!F98:Z108,MATCH("51-60",'[1]GCS Tables and Figures'!E98:E108,0),MATCH(ROUND(Road_Geometry_Road_General_Approach_Grade_N_or_E_Approach,2),'[1]GCS Tables and Figures'!F97:Z97,0)),IF(AND(General_Info_Road_Speed_Design&gt;=61,General_Info_Road_Speed_Design&lt;=70),INDEX('[1]GCS Tables and Figures'!F98:Z108,MATCH("61-70",'[1]GCS Tables and Figures'!E98:E108,0),MATCH(ROUND(Road_Geometry_Road_General_Approach_Grade_N_or_E_Approach,2),'[1]GCS Tables and Figures'!F97:Z97,0)),IF(AND(General_Info_Road_Speed_Design&gt;=71,General_Info_Road_Speed_Design&lt;=80),INDEX('[1]GCS Tables and Figures'!F98:Z108,MATCH("71-80",'[1]GCS Tables and Figures'!E98:E108,0),MATCH(ROUND(Road_Geometry_Road_General_Approach_Grade_N_or_E_Approach,2),'[1]GCS Tables and Figures'!F97:Z97,0)),IF(AND(General_Info_Road_Speed_Design&gt;=81,General_Info_Road_Speed_Design&lt;=90),INDEX('[1]GCS Tables and Figures'!F98:Z108,MATCH("81-90",'[1]GCS Tables and Figures'!E98:E108,0),MATCH(ROUND(Road_Geometry_Road_General_Approach_Grade_N_or_E_Approach,2),'[1]GCS Tables and Figures'!F97:Z97,0)),IF(AND(General_Info_Road_Speed_Design&gt;=91,General_Info_Road_Speed_Design&lt;=100),INDEX('[1]GCS Tables and Figures'!F98:Z108,MATCH("91-100",'[1]GCS Tables and Figures'!E98:E108,0),MATCH(ROUND(Road_Geometry_Road_General_Approach_Grade_N_or_E_Approach,2),'[1]GCS Tables and Figures'!F97:Z97,0)),IF(AND(General_Info_Road_Speed_Design&gt;=101,General_Info_Road_Speed_Design&lt;=110),INDEX('[1]GCS Tables and Figures'!F98:Z108,MATCH("101-110",'[1]GCS Tables and Figures'!E98:E108,0),MATCH(ROUND(Road_Geometry_Road_General_Approach_Grade_N_or_E_Approach,2),'[1]GCS Tables and Figures'!F97:Z97,0)),0)))))))))))))</f>
        <v>No Value</v>
      </c>
      <c r="N645" s="53"/>
      <c r="O645" s="53"/>
      <c r="P645" s="53"/>
      <c r="Q645" s="124" t="s">
        <v>157</v>
      </c>
      <c r="R645" s="118"/>
      <c r="S645" s="117" t="str">
        <f>Z$1 &amp; " Road Approach"</f>
        <v>S Road Approach</v>
      </c>
      <c r="T645" s="117"/>
      <c r="U645" s="117"/>
      <c r="V645" s="117"/>
      <c r="W645" s="117"/>
      <c r="X645" s="53" t="str">
        <f>IF(OR(ISBLANK(General_Info_Road_Speed_Design),Design_Lookup_Design_Vehicle_Class="No Value",ISBLANK(Road_Geometry_Road_General_Approach_Grade_S_or_W_Approach),ABS(Road_Geometry_Road_General_Approach_Grade_S_or_W_Approach)&gt;0.1),"No Value",IF(Design_Lookup_Design_Vehicle_Class="Pedestrian","N/A",IF(AND(General_Info_Road_Speed_Design&gt;=0,General_Info_Road_Speed_Design&lt;=10),INDEX('[1]GCS Tables and Figures'!F98:Z108,MATCH("0-10",'[1]GCS Tables and Figures'!E98:E108,0),MATCH(ROUND(Road_Geometry_Road_General_Approach_Grade_S_or_W_Approach,2),'[1]GCS Tables and Figures'!F97:Z97,0)),IF(AND(General_Info_Road_Speed_Design&gt;=11,General_Info_Road_Speed_Design&lt;=20),INDEX('[1]GCS Tables and Figures'!F98:Z108,MATCH("11-20",'[1]GCS Tables and Figures'!E98:E108,0),MATCH(ROUND(Road_Geometry_Road_General_Approach_Grade_S_or_W_Approach,2),'[1]GCS Tables and Figures'!F97:Z97,0)),IF(AND(General_Info_Road_Speed_Design&gt;=21,General_Info_Road_Speed_Design&lt;=30),INDEX('[1]GCS Tables and Figures'!F98:Z108,MATCH("21-30",'[1]GCS Tables and Figures'!E98:E108,0),MATCH(ROUND(Road_Geometry_Road_General_Approach_Grade_S_or_W_Approach,2),'[1]GCS Tables and Figures'!F97:Z97,0)),IF(AND(General_Info_Road_Speed_Design&gt;=31,General_Info_Road_Speed_Design&lt;=40),INDEX('[1]GCS Tables and Figures'!F98:Z108,MATCH("31-40",'[1]GCS Tables and Figures'!E98:E108,0),MATCH(ROUND(Road_Geometry_Road_General_Approach_Grade_S_or_W_Approach,2),'[1]GCS Tables and Figures'!F97:Z97,0)),IF(AND(General_Info_Road_Speed_Design&gt;=41,General_Info_Road_Speed_Design&lt;=50),INDEX('[1]GCS Tables and Figures'!F98:Z108,MATCH("41-50",'[1]GCS Tables and Figures'!E98:E108,0),MATCH(ROUND(Road_Geometry_Road_General_Approach_Grade_S_or_W_Approach,2),'[1]GCS Tables and Figures'!F97:Z97,0)),IF(AND(General_Info_Road_Speed_Design&gt;=51,General_Info_Road_Speed_Design&lt;=60),INDEX('[1]GCS Tables and Figures'!F98:Z108,MATCH("51-60",'[1]GCS Tables and Figures'!E98:E108,0),MATCH(ROUND(Road_Geometry_Road_General_Approach_Grade_S_or_W_Approach,2),'[1]GCS Tables and Figures'!F97:Z97,0)),IF(AND(General_Info_Road_Speed_Design&gt;=61,General_Info_Road_Speed_Design&lt;=70),INDEX('[1]GCS Tables and Figures'!F98:Z108,MATCH("61-70",'[1]GCS Tables and Figures'!E98:E108,0),MATCH(ROUND(Road_Geometry_Road_General_Approach_Grade_S_or_W_Approach,2),'[1]GCS Tables and Figures'!F97:Z97,0)),IF(AND(General_Info_Road_Speed_Design&gt;=71,General_Info_Road_Speed_Design&lt;=80),INDEX('[1]GCS Tables and Figures'!F98:Z108,MATCH("71-80",'[1]GCS Tables and Figures'!E98:E108,0),MATCH(ROUND(Road_Geometry_Road_General_Approach_Grade_S_or_W_Approach,2),'[1]GCS Tables and Figures'!F97:Z97,0)),IF(AND(General_Info_Road_Speed_Design&gt;=81,General_Info_Road_Speed_Design&lt;=90),INDEX('[1]GCS Tables and Figures'!F98:Z108,MATCH("81-90",'[1]GCS Tables and Figures'!E98:E108,0),MATCH(ROUND(Road_Geometry_Road_General_Approach_Grade_S_or_W_Approach,2),'[1]GCS Tables and Figures'!F97:Z97,0)),IF(AND(General_Info_Road_Speed_Design&gt;=91,General_Info_Road_Speed_Design&lt;=100),INDEX('[1]GCS Tables and Figures'!F98:Z108,MATCH("91-100",'[1]GCS Tables and Figures'!E98:E108,0),MATCH(ROUND(Road_Geometry_Road_General_Approach_Grade_S_or_W_Approach,2),'[1]GCS Tables and Figures'!F97:Z97,0)),IF(AND(General_Info_Road_Speed_Design&gt;=101,General_Info_Road_Speed_Design&lt;=110),INDEX('[1]GCS Tables and Figures'!F98:Z108,MATCH("101-110",'[1]GCS Tables and Figures'!E98:E108,0),MATCH(ROUND(Road_Geometry_Road_General_Approach_Grade_S_or_W_Approach,2),'[1]GCS Tables and Figures'!F97:Z97,0)),0)))))))))))))</f>
        <v>No Value</v>
      </c>
      <c r="Y645" s="53"/>
      <c r="Z645" s="53"/>
      <c r="AA645" s="53"/>
      <c r="AB645" s="124" t="s">
        <v>157</v>
      </c>
      <c r="AC645" s="119"/>
      <c r="AD645" s="147" t="s">
        <v>290</v>
      </c>
      <c r="AE645" s="148"/>
      <c r="AF645" s="148"/>
      <c r="AG645" s="148"/>
      <c r="AH645" s="148"/>
      <c r="AI645" s="201"/>
    </row>
    <row r="646" spans="1:35" ht="15" customHeight="1" x14ac:dyDescent="0.45">
      <c r="A646" s="168" t="s">
        <v>159</v>
      </c>
      <c r="B646" s="169"/>
      <c r="C646" s="170"/>
      <c r="D646" s="116" t="s">
        <v>291</v>
      </c>
      <c r="E646" s="117"/>
      <c r="F646" s="117"/>
      <c r="G646" s="117"/>
      <c r="H646" s="117" t="str">
        <f>V$1 &amp; " Road Approach"</f>
        <v>N Road Approach</v>
      </c>
      <c r="I646" s="117"/>
      <c r="J646" s="117"/>
      <c r="K646" s="117"/>
      <c r="L646" s="117"/>
      <c r="M646" s="52"/>
      <c r="N646" s="52"/>
      <c r="O646" s="52"/>
      <c r="P646" s="52"/>
      <c r="Q646" s="124" t="s">
        <v>157</v>
      </c>
      <c r="R646" s="118"/>
      <c r="S646" s="117" t="str">
        <f>Z$1 &amp; " Road Approach"</f>
        <v>S Road Approach</v>
      </c>
      <c r="T646" s="117"/>
      <c r="U646" s="117"/>
      <c r="V646" s="117"/>
      <c r="W646" s="117"/>
      <c r="X646" s="52"/>
      <c r="Y646" s="52"/>
      <c r="Z646" s="52"/>
      <c r="AA646" s="52"/>
      <c r="AB646" s="124" t="s">
        <v>157</v>
      </c>
      <c r="AC646" s="119"/>
      <c r="AD646" s="154"/>
      <c r="AE646" s="155"/>
      <c r="AF646" s="155"/>
      <c r="AG646" s="155"/>
      <c r="AH646" s="155"/>
      <c r="AI646" s="194"/>
    </row>
    <row r="647" spans="1:35" ht="15" customHeight="1" x14ac:dyDescent="0.45">
      <c r="A647" s="17"/>
      <c r="B647" s="18"/>
      <c r="C647" s="19"/>
      <c r="D647" s="86" t="s">
        <v>292</v>
      </c>
      <c r="E647" s="87"/>
      <c r="F647" s="87"/>
      <c r="G647" s="87"/>
      <c r="H647" s="87"/>
      <c r="I647" s="87"/>
      <c r="J647" s="87"/>
      <c r="K647" s="87"/>
      <c r="L647" s="87"/>
      <c r="M647" s="87"/>
      <c r="N647" s="87"/>
      <c r="O647" s="87"/>
      <c r="P647" s="87"/>
      <c r="Q647" s="87"/>
      <c r="R647" s="87"/>
      <c r="S647" s="18"/>
      <c r="T647" s="18"/>
      <c r="U647" s="18"/>
      <c r="V647" s="18"/>
      <c r="W647" s="18"/>
      <c r="X647" s="18"/>
      <c r="Y647" s="18"/>
      <c r="Z647" s="18"/>
      <c r="AA647" s="18"/>
      <c r="AB647" s="18"/>
      <c r="AC647" s="19"/>
      <c r="AD647" s="269" t="s">
        <v>293</v>
      </c>
      <c r="AE647" s="148"/>
      <c r="AF647" s="148"/>
      <c r="AG647" s="148"/>
      <c r="AH647" s="148"/>
      <c r="AI647" s="201"/>
    </row>
    <row r="648" spans="1:35" ht="15" customHeight="1" x14ac:dyDescent="0.45">
      <c r="A648" s="24"/>
      <c r="C648" s="25"/>
      <c r="D648" s="96" t="s">
        <v>294</v>
      </c>
      <c r="E648" s="97"/>
      <c r="F648" s="97"/>
      <c r="G648" s="97"/>
      <c r="H648" s="51" t="s">
        <v>90</v>
      </c>
      <c r="J648" s="97" t="s">
        <v>295</v>
      </c>
      <c r="K648" s="97"/>
      <c r="L648" s="97"/>
      <c r="M648" s="97"/>
      <c r="N648" s="97"/>
      <c r="O648" s="97"/>
      <c r="P648" s="97" t="s">
        <v>296</v>
      </c>
      <c r="Q648" s="97"/>
      <c r="R648" s="97"/>
      <c r="S648" s="97"/>
      <c r="T648" s="97"/>
      <c r="U648" s="97"/>
      <c r="V648" s="97"/>
      <c r="W648" s="97"/>
      <c r="X648" s="97"/>
      <c r="Y648" s="97"/>
      <c r="Z648" s="97"/>
      <c r="AA648" s="97"/>
      <c r="AB648" s="97"/>
      <c r="AC648" s="25"/>
      <c r="AD648" s="152"/>
      <c r="AE648" s="153"/>
      <c r="AF648" s="153"/>
      <c r="AG648" s="153"/>
      <c r="AH648" s="153"/>
      <c r="AI648" s="275"/>
    </row>
    <row r="649" spans="1:35" ht="15" customHeight="1" x14ac:dyDescent="0.45">
      <c r="A649" s="24"/>
      <c r="C649" s="25"/>
      <c r="D649" s="24"/>
      <c r="J649" s="97" t="s">
        <v>297</v>
      </c>
      <c r="K649" s="97"/>
      <c r="L649" s="97"/>
      <c r="M649" s="97"/>
      <c r="N649" s="97"/>
      <c r="O649" s="97"/>
      <c r="P649" s="97" t="s">
        <v>298</v>
      </c>
      <c r="Q649" s="97"/>
      <c r="R649" s="97"/>
      <c r="S649" s="97"/>
      <c r="T649" s="97"/>
      <c r="U649" s="97"/>
      <c r="V649" s="97"/>
      <c r="W649" s="97"/>
      <c r="X649" s="97"/>
      <c r="Y649" s="97"/>
      <c r="Z649" s="97"/>
      <c r="AA649" s="97"/>
      <c r="AB649" s="97"/>
      <c r="AC649" s="25"/>
      <c r="AD649" s="152"/>
      <c r="AE649" s="153"/>
      <c r="AF649" s="153"/>
      <c r="AG649" s="153"/>
      <c r="AH649" s="153"/>
      <c r="AI649" s="275"/>
    </row>
    <row r="650" spans="1:35" ht="15" customHeight="1" x14ac:dyDescent="0.45">
      <c r="A650" s="369" t="s">
        <v>155</v>
      </c>
      <c r="B650" s="370"/>
      <c r="C650" s="371"/>
      <c r="D650" s="96" t="s">
        <v>299</v>
      </c>
      <c r="E650" s="97"/>
      <c r="F650" s="97"/>
      <c r="G650" s="97"/>
      <c r="H650" s="97"/>
      <c r="I650" s="97"/>
      <c r="J650" s="97"/>
      <c r="K650" s="97"/>
      <c r="L650" s="97"/>
      <c r="M650" s="97"/>
      <c r="S650" s="210" t="str">
        <f>Design_Calculate_Clearance_Time_Crossing_Vehicle_Design_Check</f>
        <v>No Value</v>
      </c>
      <c r="T650" s="210"/>
      <c r="U650" s="210"/>
      <c r="V650" s="210"/>
      <c r="W650" s="6" t="s">
        <v>166</v>
      </c>
      <c r="Y650" s="6" t="s">
        <v>300</v>
      </c>
      <c r="AC650" s="25"/>
      <c r="AD650" s="152"/>
      <c r="AE650" s="153"/>
      <c r="AF650" s="153"/>
      <c r="AG650" s="153"/>
      <c r="AH650" s="153"/>
      <c r="AI650" s="275"/>
    </row>
    <row r="651" spans="1:35" ht="15" customHeight="1" x14ac:dyDescent="0.45">
      <c r="A651" s="369" t="s">
        <v>155</v>
      </c>
      <c r="B651" s="370"/>
      <c r="C651" s="371"/>
      <c r="D651" s="96" t="s">
        <v>301</v>
      </c>
      <c r="E651" s="97"/>
      <c r="F651" s="97"/>
      <c r="G651" s="97"/>
      <c r="H651" s="97"/>
      <c r="I651" s="97"/>
      <c r="J651" s="97"/>
      <c r="K651" s="97"/>
      <c r="L651" s="97"/>
      <c r="M651" s="97"/>
      <c r="N651" s="97"/>
      <c r="O651" s="97"/>
      <c r="P651" s="97"/>
      <c r="Q651" s="97"/>
      <c r="R651" s="97"/>
      <c r="S651" s="230" t="str">
        <f>Design_Calculate_Clearance_Time_Crossing_Pedestrian_Design_Check</f>
        <v>No Value</v>
      </c>
      <c r="T651" s="162"/>
      <c r="U651" s="162"/>
      <c r="V651" s="162"/>
      <c r="W651" s="6" t="s">
        <v>166</v>
      </c>
      <c r="Y651" s="6" t="s">
        <v>300</v>
      </c>
      <c r="AC651" s="25"/>
      <c r="AD651" s="152"/>
      <c r="AE651" s="153"/>
      <c r="AF651" s="153"/>
      <c r="AG651" s="153"/>
      <c r="AH651" s="153"/>
      <c r="AI651" s="275"/>
    </row>
    <row r="652" spans="1:35" ht="15" customHeight="1" x14ac:dyDescent="0.45">
      <c r="A652" s="20" t="s">
        <v>162</v>
      </c>
      <c r="B652" s="21"/>
      <c r="C652" s="331"/>
      <c r="D652" s="96" t="s">
        <v>302</v>
      </c>
      <c r="E652" s="97"/>
      <c r="F652" s="97"/>
      <c r="G652" s="97"/>
      <c r="H652" s="97"/>
      <c r="I652" s="97"/>
      <c r="J652" s="51" t="s">
        <v>90</v>
      </c>
      <c r="K652" s="91" t="str">
        <f>IF(OR(General_Info_Rail_Railway_Design_Speed="No Value",Design_Calculate_Clearance_Time_Crossing_Vehicle_Design_Check="No Value"),"No Value",ROUND(1.47*General_Info_Rail_Railway_Design_Speed*MAX(10,Design_Calculate_Clearance_Time_Crossing_Vehicle_Design_Check),2))</f>
        <v>No Value</v>
      </c>
      <c r="L652" s="91"/>
      <c r="M652" s="91"/>
      <c r="N652" s="91"/>
      <c r="O652" s="6" t="s">
        <v>303</v>
      </c>
      <c r="Q652" s="51" t="s">
        <v>90</v>
      </c>
      <c r="R652" s="91" t="str">
        <f>IF(Sightlines_Calculate_Dstopped_Vehicle_Min_ft="No Value","No Value",$K$652*0.3048)</f>
        <v>No Value</v>
      </c>
      <c r="S652" s="91"/>
      <c r="T652" s="91"/>
      <c r="U652" s="91"/>
      <c r="V652" s="6" t="s">
        <v>157</v>
      </c>
      <c r="AC652" s="25"/>
      <c r="AD652" s="152"/>
      <c r="AE652" s="153"/>
      <c r="AF652" s="153"/>
      <c r="AG652" s="153"/>
      <c r="AH652" s="153"/>
      <c r="AI652" s="275"/>
    </row>
    <row r="653" spans="1:35" ht="15" customHeight="1" x14ac:dyDescent="0.45">
      <c r="A653" s="20" t="s">
        <v>162</v>
      </c>
      <c r="B653" s="21"/>
      <c r="C653" s="331"/>
      <c r="D653" s="96" t="s">
        <v>304</v>
      </c>
      <c r="E653" s="97"/>
      <c r="F653" s="97"/>
      <c r="G653" s="97"/>
      <c r="H653" s="97"/>
      <c r="I653" s="97"/>
      <c r="J653" s="51" t="s">
        <v>90</v>
      </c>
      <c r="K653" s="91" t="str">
        <f>IF(OR(General_Info_Rail_Railway_Design_Speed="No Value",Design_Calculate_Clearance_Time_Crossing_Pedestrian_Design_Check="No Value"),"No Value",ROUND(1.47*General_Info_Rail_Railway_Design_Speed*MAX(10,Design_Calculate_Clearance_Time_Crossing_Pedestrian_Design_Check),2))</f>
        <v>No Value</v>
      </c>
      <c r="L653" s="91"/>
      <c r="M653" s="91"/>
      <c r="N653" s="91"/>
      <c r="O653" s="6" t="s">
        <v>303</v>
      </c>
      <c r="Q653" s="51" t="s">
        <v>90</v>
      </c>
      <c r="R653" s="91" t="str">
        <f>IF(K653="No Value","No Value",$K$653*0.3048)</f>
        <v>No Value</v>
      </c>
      <c r="S653" s="91"/>
      <c r="T653" s="91"/>
      <c r="U653" s="91"/>
      <c r="V653" s="6" t="s">
        <v>157</v>
      </c>
      <c r="AC653" s="25"/>
      <c r="AD653" s="152"/>
      <c r="AE653" s="153"/>
      <c r="AF653" s="153"/>
      <c r="AG653" s="153"/>
      <c r="AH653" s="153"/>
      <c r="AI653" s="275"/>
    </row>
    <row r="654" spans="1:35" ht="15" customHeight="1" x14ac:dyDescent="0.45">
      <c r="A654" s="299" t="s">
        <v>159</v>
      </c>
      <c r="B654" s="300"/>
      <c r="C654" s="301"/>
      <c r="D654" s="96" t="s">
        <v>305</v>
      </c>
      <c r="E654" s="97"/>
      <c r="F654" s="97"/>
      <c r="G654" s="97"/>
      <c r="H654" s="97"/>
      <c r="I654" s="97" t="str">
        <f>V$1 &amp; " Road Approach"</f>
        <v>N Road Approach</v>
      </c>
      <c r="J654" s="97"/>
      <c r="K654" s="97"/>
      <c r="L654" s="97"/>
      <c r="M654" s="97"/>
      <c r="N654" s="2"/>
      <c r="O654" s="2"/>
      <c r="P654" s="97" t="s">
        <v>306</v>
      </c>
      <c r="Q654" s="97"/>
      <c r="R654" s="97"/>
      <c r="S654" s="97"/>
      <c r="T654" s="97"/>
      <c r="V654" s="2"/>
      <c r="W654" s="2"/>
      <c r="X654" s="97" t="s">
        <v>307</v>
      </c>
      <c r="Y654" s="97"/>
      <c r="Z654" s="97"/>
      <c r="AA654" s="97"/>
      <c r="AB654" s="97"/>
      <c r="AC654" s="25"/>
      <c r="AD654" s="152"/>
      <c r="AE654" s="153"/>
      <c r="AF654" s="153"/>
      <c r="AG654" s="153"/>
      <c r="AH654" s="153"/>
      <c r="AI654" s="275"/>
    </row>
    <row r="655" spans="1:35" ht="15" customHeight="1" x14ac:dyDescent="0.45">
      <c r="A655" s="159" t="s">
        <v>159</v>
      </c>
      <c r="B655" s="160"/>
      <c r="C655" s="161"/>
      <c r="D655" s="109"/>
      <c r="E655" s="110"/>
      <c r="F655" s="110"/>
      <c r="G655" s="110"/>
      <c r="H655" s="110"/>
      <c r="I655" s="111" t="str">
        <f>Z$1 &amp; " Road Approach"</f>
        <v>S Road Approach</v>
      </c>
      <c r="J655" s="111"/>
      <c r="K655" s="111"/>
      <c r="L655" s="111"/>
      <c r="M655" s="111"/>
      <c r="N655" s="48"/>
      <c r="O655" s="48"/>
      <c r="P655" s="111" t="s">
        <v>306</v>
      </c>
      <c r="Q655" s="111"/>
      <c r="R655" s="111"/>
      <c r="S655" s="111"/>
      <c r="T655" s="111"/>
      <c r="V655" s="48"/>
      <c r="W655" s="48"/>
      <c r="X655" s="111" t="s">
        <v>307</v>
      </c>
      <c r="Y655" s="111"/>
      <c r="Z655" s="111"/>
      <c r="AA655" s="111"/>
      <c r="AB655" s="111"/>
      <c r="AC655" s="113"/>
      <c r="AD655" s="154"/>
      <c r="AE655" s="155"/>
      <c r="AF655" s="155"/>
      <c r="AG655" s="155"/>
      <c r="AH655" s="155"/>
      <c r="AI655" s="194"/>
    </row>
    <row r="656" spans="1:35" ht="15" customHeight="1" x14ac:dyDescent="0.45">
      <c r="A656" s="17"/>
      <c r="B656" s="18"/>
      <c r="C656" s="19"/>
      <c r="D656" s="86" t="s">
        <v>308</v>
      </c>
      <c r="E656" s="87"/>
      <c r="F656" s="87"/>
      <c r="G656" s="87"/>
      <c r="H656" s="87"/>
      <c r="I656" s="87"/>
      <c r="J656" s="87"/>
      <c r="K656" s="87"/>
      <c r="L656" s="87"/>
      <c r="M656" s="87"/>
      <c r="N656" s="87"/>
      <c r="O656" s="87"/>
      <c r="P656" s="87"/>
      <c r="Q656" s="87"/>
      <c r="R656" s="87"/>
      <c r="S656" s="18"/>
      <c r="T656" s="18"/>
      <c r="U656" s="18"/>
      <c r="V656" s="18"/>
      <c r="W656" s="18"/>
      <c r="X656" s="18"/>
      <c r="Y656" s="18"/>
      <c r="Z656" s="18"/>
      <c r="AA656" s="18"/>
      <c r="AB656" s="18"/>
      <c r="AC656" s="19"/>
      <c r="AD656" s="269" t="s">
        <v>309</v>
      </c>
      <c r="AE656" s="148"/>
      <c r="AF656" s="148"/>
      <c r="AG656" s="148"/>
      <c r="AH656" s="148"/>
      <c r="AI656" s="201"/>
    </row>
    <row r="657" spans="1:35" ht="15" customHeight="1" x14ac:dyDescent="0.45">
      <c r="A657" s="24"/>
      <c r="C657" s="25"/>
      <c r="D657" s="96" t="s">
        <v>310</v>
      </c>
      <c r="E657" s="97"/>
      <c r="F657" s="97"/>
      <c r="G657" s="97"/>
      <c r="H657" s="51" t="s">
        <v>90</v>
      </c>
      <c r="J657" s="97" t="s">
        <v>311</v>
      </c>
      <c r="K657" s="97"/>
      <c r="L657" s="97"/>
      <c r="M657" s="97"/>
      <c r="N657" s="97"/>
      <c r="O657" s="97"/>
      <c r="P657" s="97" t="s">
        <v>312</v>
      </c>
      <c r="Q657" s="97"/>
      <c r="R657" s="97"/>
      <c r="S657" s="97"/>
      <c r="T657" s="97"/>
      <c r="U657" s="97"/>
      <c r="V657" s="97"/>
      <c r="W657" s="97"/>
      <c r="X657" s="97"/>
      <c r="Y657" s="97"/>
      <c r="Z657" s="97"/>
      <c r="AA657" s="97"/>
      <c r="AB657" s="97"/>
      <c r="AC657" s="25"/>
      <c r="AD657" s="152"/>
      <c r="AE657" s="153"/>
      <c r="AF657" s="153"/>
      <c r="AG657" s="153"/>
      <c r="AH657" s="153"/>
      <c r="AI657" s="275"/>
    </row>
    <row r="658" spans="1:35" ht="15" customHeight="1" x14ac:dyDescent="0.45">
      <c r="A658" s="24"/>
      <c r="C658" s="25"/>
      <c r="D658" s="24"/>
      <c r="J658" s="97" t="s">
        <v>313</v>
      </c>
      <c r="K658" s="97"/>
      <c r="L658" s="97"/>
      <c r="M658" s="97"/>
      <c r="N658" s="97"/>
      <c r="O658" s="97"/>
      <c r="P658" s="97" t="s">
        <v>314</v>
      </c>
      <c r="Q658" s="97"/>
      <c r="R658" s="97"/>
      <c r="S658" s="97"/>
      <c r="T658" s="97"/>
      <c r="U658" s="97"/>
      <c r="V658" s="97"/>
      <c r="W658" s="97"/>
      <c r="X658" s="97"/>
      <c r="Y658" s="97"/>
      <c r="Z658" s="97"/>
      <c r="AA658" s="97"/>
      <c r="AB658" s="97"/>
      <c r="AC658" s="25"/>
      <c r="AD658" s="152"/>
      <c r="AE658" s="153"/>
      <c r="AF658" s="153"/>
      <c r="AG658" s="153"/>
      <c r="AH658" s="153"/>
      <c r="AI658" s="275"/>
    </row>
    <row r="659" spans="1:35" ht="15" customHeight="1" x14ac:dyDescent="0.45">
      <c r="A659" s="20" t="s">
        <v>162</v>
      </c>
      <c r="B659" s="21"/>
      <c r="C659" s="331"/>
      <c r="D659" s="96" t="s">
        <v>315</v>
      </c>
      <c r="E659" s="97"/>
      <c r="F659" s="97"/>
      <c r="G659" s="97"/>
      <c r="H659" s="97"/>
      <c r="I659" s="97"/>
      <c r="J659" s="51" t="s">
        <v>90</v>
      </c>
      <c r="K659" s="378" t="str">
        <f>IF(OR(Design_Lookup_Design_Vehicle_Class="No Value",General_Info_Rail_Railway_Design_Speed="No Value",ISBLANK(General_Info_Road_Speed_Design),ISBLANK(Design_Measure_Clearance_Distance_Vehicle),Sightlines_Lookup_SSD_Minimum_N_or_E_Approach="No Value",Sightlines_Lookup_SSD_Minimum_S_or_W_Approach="No Value",Design_Lookup_Design_Vehicle_Length="No Value"),"No Value",IF(Design_Lookup_Design_Vehicle_Class="Pedestrian","N/A",ROUND(1.47*General_Info_Rail_Railway_Design_Speed*MAX(10,SUM(MAX(Sightlines_Lookup_SSD_Minimum_N_or_E_Approach,Sightlines_Lookup_SSD_Minimum_S_or_W_Approach),Design_Measure_Clearance_Distance_Vehicle,Design_Lookup_Design_Vehicle_Length)/(0.278*General_Info_Road_Speed_Design)),2)))</f>
        <v>No Value</v>
      </c>
      <c r="L659" s="91"/>
      <c r="M659" s="91"/>
      <c r="N659" s="91"/>
      <c r="O659" s="6" t="s">
        <v>303</v>
      </c>
      <c r="Q659" s="51" t="s">
        <v>90</v>
      </c>
      <c r="R659" s="91" t="str">
        <f>IF(Sightlines_Calculate_Dssd_Vehicle_Min_ft="No Value","No Value",Sightlines_Calculate_Dssd_Vehicle_Min_ft*0.3048)</f>
        <v>No Value</v>
      </c>
      <c r="S659" s="91"/>
      <c r="T659" s="91"/>
      <c r="U659" s="91"/>
      <c r="V659" s="6" t="s">
        <v>157</v>
      </c>
      <c r="AC659" s="25"/>
      <c r="AD659" s="152"/>
      <c r="AE659" s="153"/>
      <c r="AF659" s="153"/>
      <c r="AG659" s="153"/>
      <c r="AH659" s="153"/>
      <c r="AI659" s="275"/>
    </row>
    <row r="660" spans="1:35" ht="15" customHeight="1" x14ac:dyDescent="0.45">
      <c r="A660" s="299" t="s">
        <v>159</v>
      </c>
      <c r="B660" s="300"/>
      <c r="C660" s="301"/>
      <c r="D660" s="96" t="s">
        <v>316</v>
      </c>
      <c r="E660" s="97"/>
      <c r="F660" s="97"/>
      <c r="G660" s="97"/>
      <c r="H660" s="97"/>
      <c r="I660" s="97" t="str">
        <f>V$1 &amp; " Road Approach"</f>
        <v>N Road Approach</v>
      </c>
      <c r="J660" s="97"/>
      <c r="K660" s="97"/>
      <c r="L660" s="97"/>
      <c r="M660" s="97"/>
      <c r="N660" s="2"/>
      <c r="O660" s="2"/>
      <c r="P660" s="97" t="s">
        <v>306</v>
      </c>
      <c r="Q660" s="97"/>
      <c r="R660" s="97"/>
      <c r="S660" s="97"/>
      <c r="T660" s="97"/>
      <c r="V660" s="2"/>
      <c r="W660" s="2"/>
      <c r="X660" s="97" t="s">
        <v>307</v>
      </c>
      <c r="Y660" s="97"/>
      <c r="Z660" s="97"/>
      <c r="AA660" s="97"/>
      <c r="AB660" s="97"/>
      <c r="AC660" s="25"/>
      <c r="AD660" s="152"/>
      <c r="AE660" s="153"/>
      <c r="AF660" s="153"/>
      <c r="AG660" s="153"/>
      <c r="AH660" s="153"/>
      <c r="AI660" s="275"/>
    </row>
    <row r="661" spans="1:35" ht="15" customHeight="1" x14ac:dyDescent="0.45">
      <c r="A661" s="159" t="s">
        <v>159</v>
      </c>
      <c r="B661" s="160"/>
      <c r="C661" s="161"/>
      <c r="D661" s="109"/>
      <c r="E661" s="110"/>
      <c r="F661" s="110"/>
      <c r="G661" s="110"/>
      <c r="H661" s="110"/>
      <c r="I661" s="111" t="str">
        <f>Z$1 &amp; " Road Approach"</f>
        <v>S Road Approach</v>
      </c>
      <c r="J661" s="111"/>
      <c r="K661" s="111"/>
      <c r="L661" s="111"/>
      <c r="M661" s="111"/>
      <c r="N661" s="48"/>
      <c r="O661" s="48"/>
      <c r="P661" s="111" t="s">
        <v>306</v>
      </c>
      <c r="Q661" s="111"/>
      <c r="R661" s="111"/>
      <c r="S661" s="111"/>
      <c r="T661" s="111"/>
      <c r="V661" s="48"/>
      <c r="W661" s="48"/>
      <c r="X661" s="111" t="s">
        <v>307</v>
      </c>
      <c r="Y661" s="111"/>
      <c r="Z661" s="111"/>
      <c r="AA661" s="111"/>
      <c r="AB661" s="111"/>
      <c r="AC661" s="113"/>
      <c r="AD661" s="154"/>
      <c r="AE661" s="155"/>
      <c r="AF661" s="155"/>
      <c r="AG661" s="155"/>
      <c r="AH661" s="155"/>
      <c r="AI661" s="194"/>
    </row>
    <row r="662" spans="1:35" ht="15" customHeight="1" x14ac:dyDescent="0.45">
      <c r="A662" s="164" t="s">
        <v>180</v>
      </c>
      <c r="B662" s="165"/>
      <c r="C662" s="165"/>
      <c r="D662" s="283" t="s">
        <v>317</v>
      </c>
      <c r="E662" s="284"/>
      <c r="F662" s="284"/>
      <c r="G662" s="284"/>
      <c r="H662" s="284"/>
      <c r="I662" s="284"/>
      <c r="J662" s="284"/>
      <c r="K662" s="284"/>
      <c r="L662" s="284"/>
      <c r="M662" s="284"/>
      <c r="N662" s="284"/>
      <c r="O662" s="284"/>
      <c r="P662" s="284"/>
      <c r="Q662" s="284"/>
      <c r="R662" s="284"/>
      <c r="S662" s="284"/>
      <c r="T662" s="284"/>
      <c r="U662" s="284"/>
      <c r="V662" s="284"/>
      <c r="W662" s="284"/>
      <c r="X662" s="284"/>
      <c r="Y662" s="89"/>
      <c r="Z662" s="89"/>
      <c r="AA662" s="89"/>
      <c r="AB662" s="89"/>
      <c r="AC662" s="291"/>
      <c r="AD662" s="148"/>
      <c r="AE662" s="148"/>
      <c r="AF662" s="148"/>
      <c r="AG662" s="148"/>
      <c r="AH662" s="148"/>
      <c r="AI662" s="201"/>
    </row>
    <row r="663" spans="1:35" ht="15" customHeight="1" x14ac:dyDescent="0.45">
      <c r="A663" s="299"/>
      <c r="B663" s="300"/>
      <c r="C663" s="300"/>
      <c r="D663" s="282"/>
      <c r="E663" s="175"/>
      <c r="F663" s="175"/>
      <c r="G663" s="175"/>
      <c r="H663" s="175"/>
      <c r="I663" s="175"/>
      <c r="J663" s="175"/>
      <c r="K663" s="175"/>
      <c r="L663" s="175"/>
      <c r="M663" s="175"/>
      <c r="N663" s="175"/>
      <c r="O663" s="175"/>
      <c r="P663" s="175"/>
      <c r="Q663" s="175"/>
      <c r="R663" s="175"/>
      <c r="S663" s="175"/>
      <c r="T663" s="175"/>
      <c r="U663" s="175"/>
      <c r="V663" s="175"/>
      <c r="W663" s="175"/>
      <c r="X663" s="175"/>
      <c r="Y663" s="2"/>
      <c r="Z663" s="2"/>
      <c r="AA663" s="2"/>
      <c r="AB663" s="2"/>
      <c r="AC663" s="39"/>
      <c r="AD663" s="153"/>
      <c r="AE663" s="153"/>
      <c r="AF663" s="153"/>
      <c r="AG663" s="153"/>
      <c r="AH663" s="153"/>
      <c r="AI663" s="275"/>
    </row>
    <row r="664" spans="1:35" ht="15" customHeight="1" x14ac:dyDescent="0.45">
      <c r="A664" s="159"/>
      <c r="B664" s="160"/>
      <c r="C664" s="160"/>
      <c r="D664" s="285"/>
      <c r="E664" s="286"/>
      <c r="F664" s="286"/>
      <c r="G664" s="286"/>
      <c r="H664" s="286"/>
      <c r="I664" s="286"/>
      <c r="J664" s="286"/>
      <c r="K664" s="286"/>
      <c r="L664" s="286"/>
      <c r="M664" s="286"/>
      <c r="N664" s="286"/>
      <c r="O664" s="286"/>
      <c r="P664" s="286"/>
      <c r="Q664" s="286"/>
      <c r="R664" s="286"/>
      <c r="S664" s="286"/>
      <c r="T664" s="286"/>
      <c r="U664" s="286"/>
      <c r="V664" s="286"/>
      <c r="W664" s="286"/>
      <c r="X664" s="286"/>
      <c r="Y664" s="48"/>
      <c r="Z664" s="48"/>
      <c r="AA664" s="48"/>
      <c r="AB664" s="48"/>
      <c r="AC664" s="49"/>
      <c r="AD664" s="155"/>
      <c r="AE664" s="155"/>
      <c r="AF664" s="155"/>
      <c r="AG664" s="155"/>
      <c r="AH664" s="155"/>
      <c r="AI664" s="194"/>
    </row>
    <row r="665" spans="1:35" ht="15" customHeight="1" x14ac:dyDescent="0.45">
      <c r="D665" s="379"/>
      <c r="E665" s="379"/>
      <c r="F665" s="379"/>
      <c r="G665" s="379"/>
      <c r="H665" s="379"/>
      <c r="I665" s="379"/>
      <c r="J665" s="379"/>
      <c r="K665" s="379"/>
      <c r="L665" s="379"/>
      <c r="M665" s="379"/>
      <c r="N665" s="379"/>
      <c r="O665" s="379"/>
      <c r="P665" s="379"/>
      <c r="Q665" s="379"/>
      <c r="R665" s="379"/>
      <c r="S665" s="379"/>
      <c r="T665" s="379"/>
      <c r="U665" s="379"/>
      <c r="V665" s="379"/>
      <c r="W665" s="379"/>
      <c r="X665" s="379"/>
      <c r="Y665" s="380"/>
      <c r="Z665" s="380"/>
      <c r="AA665" s="380"/>
      <c r="AB665" s="380"/>
      <c r="AC665" s="380"/>
    </row>
    <row r="666" spans="1:35" ht="15" customHeight="1" x14ac:dyDescent="0.45">
      <c r="A666" s="176" t="s">
        <v>208</v>
      </c>
      <c r="B666" s="177"/>
      <c r="C666" s="177"/>
      <c r="D666" s="177"/>
      <c r="E666" s="177"/>
      <c r="F666" s="177"/>
      <c r="G666" s="177"/>
      <c r="H666" s="177"/>
      <c r="I666" s="177"/>
      <c r="J666" s="177"/>
      <c r="K666" s="177"/>
      <c r="L666" s="177"/>
      <c r="M666" s="177"/>
      <c r="N666" s="177"/>
      <c r="O666" s="177"/>
      <c r="P666" s="177"/>
      <c r="Q666" s="177"/>
      <c r="R666" s="177"/>
      <c r="S666" s="177"/>
      <c r="T666" s="177"/>
      <c r="U666" s="177"/>
      <c r="V666" s="177"/>
      <c r="W666" s="177"/>
      <c r="X666" s="177"/>
      <c r="Y666" s="177"/>
      <c r="Z666" s="177"/>
      <c r="AA666" s="177"/>
      <c r="AB666" s="177"/>
      <c r="AC666" s="177"/>
      <c r="AD666" s="177"/>
      <c r="AE666" s="177"/>
      <c r="AF666" s="177"/>
      <c r="AG666" s="177"/>
      <c r="AH666" s="177"/>
      <c r="AI666" s="178"/>
    </row>
    <row r="667" spans="1:35" ht="15" customHeight="1" x14ac:dyDescent="0.45">
      <c r="A667" s="57"/>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c r="AA667" s="58"/>
      <c r="AB667" s="58"/>
      <c r="AC667" s="58"/>
      <c r="AD667" s="58"/>
      <c r="AE667" s="58"/>
      <c r="AF667" s="58"/>
      <c r="AG667" s="58"/>
      <c r="AH667" s="58"/>
      <c r="AI667" s="59"/>
    </row>
    <row r="668" spans="1:35" ht="15" customHeight="1" x14ac:dyDescent="0.45">
      <c r="A668" s="60"/>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c r="AA668" s="61"/>
      <c r="AB668" s="61"/>
      <c r="AC668" s="61"/>
      <c r="AD668" s="61"/>
      <c r="AE668" s="61"/>
      <c r="AF668" s="61"/>
      <c r="AG668" s="61"/>
      <c r="AH668" s="61"/>
      <c r="AI668" s="62"/>
    </row>
    <row r="669" spans="1:35" ht="15" customHeight="1" x14ac:dyDescent="0.45">
      <c r="A669" s="60"/>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c r="AA669" s="61"/>
      <c r="AB669" s="61"/>
      <c r="AC669" s="61"/>
      <c r="AD669" s="61"/>
      <c r="AE669" s="61"/>
      <c r="AF669" s="61"/>
      <c r="AG669" s="61"/>
      <c r="AH669" s="61"/>
      <c r="AI669" s="62"/>
    </row>
    <row r="670" spans="1:35" ht="15" customHeight="1" x14ac:dyDescent="0.45">
      <c r="A670" s="60"/>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c r="AA670" s="61"/>
      <c r="AB670" s="61"/>
      <c r="AC670" s="61"/>
      <c r="AD670" s="61"/>
      <c r="AE670" s="61"/>
      <c r="AF670" s="61"/>
      <c r="AG670" s="61"/>
      <c r="AH670" s="61"/>
      <c r="AI670" s="62"/>
    </row>
    <row r="671" spans="1:35" ht="15" customHeight="1" x14ac:dyDescent="0.45">
      <c r="A671" s="60"/>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c r="AA671" s="61"/>
      <c r="AB671" s="61"/>
      <c r="AC671" s="61"/>
      <c r="AD671" s="61"/>
      <c r="AE671" s="61"/>
      <c r="AF671" s="61"/>
      <c r="AG671" s="61"/>
      <c r="AH671" s="61"/>
      <c r="AI671" s="62"/>
    </row>
    <row r="672" spans="1:35" ht="15" customHeight="1" x14ac:dyDescent="0.45">
      <c r="A672" s="60"/>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c r="AA672" s="61"/>
      <c r="AB672" s="61"/>
      <c r="AC672" s="61"/>
      <c r="AD672" s="61"/>
      <c r="AE672" s="61"/>
      <c r="AF672" s="61"/>
      <c r="AG672" s="61"/>
      <c r="AH672" s="61"/>
      <c r="AI672" s="62"/>
    </row>
    <row r="673" spans="1:35" ht="15" customHeight="1" x14ac:dyDescent="0.45">
      <c r="A673" s="60"/>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c r="AA673" s="61"/>
      <c r="AB673" s="61"/>
      <c r="AC673" s="61"/>
      <c r="AD673" s="61"/>
      <c r="AE673" s="61"/>
      <c r="AF673" s="61"/>
      <c r="AG673" s="61"/>
      <c r="AH673" s="61"/>
      <c r="AI673" s="62"/>
    </row>
    <row r="674" spans="1:35" ht="15" customHeight="1" x14ac:dyDescent="0.45">
      <c r="A674" s="60"/>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c r="AA674" s="61"/>
      <c r="AB674" s="61"/>
      <c r="AC674" s="61"/>
      <c r="AD674" s="61"/>
      <c r="AE674" s="61"/>
      <c r="AF674" s="61"/>
      <c r="AG674" s="61"/>
      <c r="AH674" s="61"/>
      <c r="AI674" s="62"/>
    </row>
    <row r="675" spans="1:35" ht="15" customHeight="1" x14ac:dyDescent="0.45">
      <c r="A675" s="60"/>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c r="AA675" s="61"/>
      <c r="AB675" s="61"/>
      <c r="AC675" s="61"/>
      <c r="AD675" s="61"/>
      <c r="AE675" s="61"/>
      <c r="AF675" s="61"/>
      <c r="AG675" s="61"/>
      <c r="AH675" s="61"/>
      <c r="AI675" s="62"/>
    </row>
    <row r="676" spans="1:35" ht="15" customHeight="1" x14ac:dyDescent="0.45">
      <c r="A676" s="60"/>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c r="AA676" s="61"/>
      <c r="AB676" s="61"/>
      <c r="AC676" s="61"/>
      <c r="AD676" s="61"/>
      <c r="AE676" s="61"/>
      <c r="AF676" s="61"/>
      <c r="AG676" s="61"/>
      <c r="AH676" s="61"/>
      <c r="AI676" s="62"/>
    </row>
    <row r="677" spans="1:35" ht="15" customHeight="1" x14ac:dyDescent="0.45">
      <c r="A677" s="60"/>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c r="AA677" s="61"/>
      <c r="AB677" s="61"/>
      <c r="AC677" s="61"/>
      <c r="AD677" s="61"/>
      <c r="AE677" s="61"/>
      <c r="AF677" s="61"/>
      <c r="AG677" s="61"/>
      <c r="AH677" s="61"/>
      <c r="AI677" s="62"/>
    </row>
    <row r="678" spans="1:35" ht="15" customHeight="1" x14ac:dyDescent="0.45">
      <c r="A678" s="60"/>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c r="AA678" s="61"/>
      <c r="AB678" s="61"/>
      <c r="AC678" s="61"/>
      <c r="AD678" s="61"/>
      <c r="AE678" s="61"/>
      <c r="AF678" s="61"/>
      <c r="AG678" s="61"/>
      <c r="AH678" s="61"/>
      <c r="AI678" s="62"/>
    </row>
    <row r="679" spans="1:35" ht="15" customHeight="1" x14ac:dyDescent="0.45">
      <c r="A679" s="60"/>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c r="AA679" s="61"/>
      <c r="AB679" s="61"/>
      <c r="AC679" s="61"/>
      <c r="AD679" s="61"/>
      <c r="AE679" s="61"/>
      <c r="AF679" s="61"/>
      <c r="AG679" s="61"/>
      <c r="AH679" s="61"/>
      <c r="AI679" s="62"/>
    </row>
    <row r="680" spans="1:35" ht="15" customHeight="1" x14ac:dyDescent="0.45">
      <c r="A680" s="60"/>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c r="AA680" s="61"/>
      <c r="AB680" s="61"/>
      <c r="AC680" s="61"/>
      <c r="AD680" s="61"/>
      <c r="AE680" s="61"/>
      <c r="AF680" s="61"/>
      <c r="AG680" s="61"/>
      <c r="AH680" s="61"/>
      <c r="AI680" s="62"/>
    </row>
    <row r="681" spans="1:35" ht="15" customHeight="1" x14ac:dyDescent="0.45">
      <c r="A681" s="60"/>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c r="AA681" s="61"/>
      <c r="AB681" s="61"/>
      <c r="AC681" s="61"/>
      <c r="AD681" s="61"/>
      <c r="AE681" s="61"/>
      <c r="AF681" s="61"/>
      <c r="AG681" s="61"/>
      <c r="AH681" s="61"/>
      <c r="AI681" s="62"/>
    </row>
    <row r="682" spans="1:35" ht="15" customHeight="1" x14ac:dyDescent="0.45">
      <c r="A682" s="60"/>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c r="AA682" s="61"/>
      <c r="AB682" s="61"/>
      <c r="AC682" s="61"/>
      <c r="AD682" s="61"/>
      <c r="AE682" s="61"/>
      <c r="AF682" s="61"/>
      <c r="AG682" s="61"/>
      <c r="AH682" s="61"/>
      <c r="AI682" s="62"/>
    </row>
    <row r="683" spans="1:35" ht="15" customHeight="1" x14ac:dyDescent="0.45">
      <c r="A683" s="60"/>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c r="AA683" s="61"/>
      <c r="AB683" s="61"/>
      <c r="AC683" s="61"/>
      <c r="AD683" s="61"/>
      <c r="AE683" s="61"/>
      <c r="AF683" s="61"/>
      <c r="AG683" s="61"/>
      <c r="AH683" s="61"/>
      <c r="AI683" s="62"/>
    </row>
    <row r="684" spans="1:35" ht="15" customHeight="1" x14ac:dyDescent="0.45">
      <c r="A684" s="60"/>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c r="AA684" s="61"/>
      <c r="AB684" s="61"/>
      <c r="AC684" s="61"/>
      <c r="AD684" s="61"/>
      <c r="AE684" s="61"/>
      <c r="AF684" s="61"/>
      <c r="AG684" s="61"/>
      <c r="AH684" s="61"/>
      <c r="AI684" s="62"/>
    </row>
    <row r="685" spans="1:35" ht="15" customHeight="1" x14ac:dyDescent="0.45">
      <c r="A685" s="60"/>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c r="AA685" s="61"/>
      <c r="AB685" s="61"/>
      <c r="AC685" s="61"/>
      <c r="AD685" s="61"/>
      <c r="AE685" s="61"/>
      <c r="AF685" s="61"/>
      <c r="AG685" s="61"/>
      <c r="AH685" s="61"/>
      <c r="AI685" s="62"/>
    </row>
    <row r="686" spans="1:35" ht="15" customHeight="1" x14ac:dyDescent="0.45">
      <c r="A686" s="60"/>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c r="AA686" s="61"/>
      <c r="AB686" s="61"/>
      <c r="AC686" s="61"/>
      <c r="AD686" s="61"/>
      <c r="AE686" s="61"/>
      <c r="AF686" s="61"/>
      <c r="AG686" s="61"/>
      <c r="AH686" s="61"/>
      <c r="AI686" s="62"/>
    </row>
    <row r="687" spans="1:35" ht="15" customHeight="1" x14ac:dyDescent="0.45">
      <c r="A687" s="63"/>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c r="AA687" s="64"/>
      <c r="AB687" s="64"/>
      <c r="AC687" s="64"/>
      <c r="AD687" s="64"/>
      <c r="AE687" s="64"/>
      <c r="AF687" s="64"/>
      <c r="AG687" s="64"/>
      <c r="AH687" s="64"/>
      <c r="AI687" s="65"/>
    </row>
    <row r="688" spans="1:35" ht="15" customHeight="1" x14ac:dyDescent="0.45"/>
    <row r="689" spans="1:37" ht="15" customHeight="1" x14ac:dyDescent="0.45">
      <c r="A689" s="14" t="s">
        <v>318</v>
      </c>
      <c r="B689" s="14"/>
      <c r="C689" s="14"/>
      <c r="D689" s="14"/>
      <c r="E689" s="14"/>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66"/>
      <c r="AD689" s="66"/>
      <c r="AE689" s="66"/>
      <c r="AF689" s="66"/>
      <c r="AG689" s="66"/>
      <c r="AH689" s="66"/>
      <c r="AI689" s="66"/>
      <c r="AK689" s="6" t="s">
        <v>319</v>
      </c>
    </row>
    <row r="690" spans="1:37" ht="15" customHeight="1" x14ac:dyDescent="0.45">
      <c r="AK690" s="6" t="s">
        <v>320</v>
      </c>
    </row>
    <row r="691" spans="1:37" ht="15" customHeight="1" x14ac:dyDescent="0.45">
      <c r="AK691" s="6" t="s">
        <v>321</v>
      </c>
    </row>
    <row r="692" spans="1:37" ht="15" customHeight="1" x14ac:dyDescent="0.45"/>
    <row r="693" spans="1:37" ht="15" customHeight="1" x14ac:dyDescent="0.45"/>
    <row r="694" spans="1:37" ht="15" customHeight="1" x14ac:dyDescent="0.45"/>
    <row r="695" spans="1:37" ht="15" customHeight="1" x14ac:dyDescent="0.45"/>
    <row r="696" spans="1:37" ht="15" customHeight="1" x14ac:dyDescent="0.45"/>
    <row r="697" spans="1:37" ht="15" customHeight="1" x14ac:dyDescent="0.45"/>
    <row r="698" spans="1:37" s="6" customFormat="1" ht="15" customHeight="1" x14ac:dyDescent="0.4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row>
    <row r="699" spans="1:37" s="6" customFormat="1" ht="15" customHeight="1" x14ac:dyDescent="0.4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row>
    <row r="700" spans="1:37" ht="15" customHeight="1" x14ac:dyDescent="0.45"/>
    <row r="701" spans="1:37" ht="15" customHeight="1" x14ac:dyDescent="0.45"/>
    <row r="702" spans="1:37" ht="15" customHeight="1" x14ac:dyDescent="0.45"/>
    <row r="703" spans="1:37" ht="15" customHeight="1" x14ac:dyDescent="0.45"/>
    <row r="704" spans="1:37" ht="15" customHeight="1" x14ac:dyDescent="0.45"/>
    <row r="705" ht="15" customHeight="1" x14ac:dyDescent="0.45"/>
    <row r="706" ht="15" customHeight="1" x14ac:dyDescent="0.45"/>
    <row r="707" ht="15" customHeight="1" x14ac:dyDescent="0.45"/>
    <row r="708" ht="15" customHeight="1" x14ac:dyDescent="0.45"/>
    <row r="709" ht="15" customHeight="1" x14ac:dyDescent="0.45"/>
    <row r="710" ht="15" customHeight="1" x14ac:dyDescent="0.45"/>
    <row r="711" ht="15" customHeight="1" x14ac:dyDescent="0.45"/>
    <row r="712" ht="15" customHeight="1" x14ac:dyDescent="0.45"/>
    <row r="713" ht="15" customHeight="1" x14ac:dyDescent="0.45"/>
    <row r="714" ht="15" customHeight="1" x14ac:dyDescent="0.45"/>
    <row r="715" ht="15" customHeight="1" x14ac:dyDescent="0.45"/>
    <row r="716" ht="15" customHeight="1" x14ac:dyDescent="0.45"/>
    <row r="717" ht="15" customHeight="1" x14ac:dyDescent="0.45"/>
    <row r="718" ht="15" customHeight="1" x14ac:dyDescent="0.45"/>
    <row r="719" ht="15" customHeight="1" x14ac:dyDescent="0.45"/>
    <row r="720" ht="15" customHeight="1" x14ac:dyDescent="0.45"/>
    <row r="721" ht="15" customHeight="1" x14ac:dyDescent="0.45"/>
    <row r="722" ht="15" customHeight="1" x14ac:dyDescent="0.45"/>
    <row r="723" ht="15" customHeight="1" x14ac:dyDescent="0.45"/>
    <row r="724" ht="15" customHeight="1" x14ac:dyDescent="0.45"/>
    <row r="725" ht="15" customHeight="1" x14ac:dyDescent="0.45"/>
    <row r="726" ht="15" customHeight="1" x14ac:dyDescent="0.45"/>
    <row r="727" ht="15" customHeight="1" x14ac:dyDescent="0.45"/>
    <row r="728" ht="15" customHeight="1" x14ac:dyDescent="0.45"/>
    <row r="729" ht="15" customHeight="1" x14ac:dyDescent="0.45"/>
    <row r="730" ht="15" customHeight="1" x14ac:dyDescent="0.45"/>
    <row r="731" ht="15" customHeight="1" x14ac:dyDescent="0.45"/>
    <row r="732" ht="15" customHeight="1" x14ac:dyDescent="0.45"/>
    <row r="733" ht="15" customHeight="1" x14ac:dyDescent="0.45"/>
    <row r="734" ht="15" customHeight="1" x14ac:dyDescent="0.45"/>
    <row r="735" ht="15" customHeight="1" x14ac:dyDescent="0.45"/>
    <row r="736" ht="15" customHeight="1" x14ac:dyDescent="0.45"/>
    <row r="737" spans="1:35" ht="15" customHeight="1" x14ac:dyDescent="0.45"/>
    <row r="738" spans="1:35" ht="15" customHeight="1" x14ac:dyDescent="0.45">
      <c r="A738" s="14" t="s">
        <v>322</v>
      </c>
      <c r="B738" s="14"/>
      <c r="C738" s="14"/>
      <c r="D738" s="14"/>
      <c r="E738" s="14"/>
      <c r="F738" s="15" t="s">
        <v>323</v>
      </c>
      <c r="G738" s="15"/>
      <c r="H738" s="15"/>
      <c r="I738" s="15"/>
      <c r="J738" s="15"/>
      <c r="K738" s="15"/>
      <c r="L738" s="15"/>
      <c r="M738" s="15"/>
      <c r="N738" s="15"/>
      <c r="O738" s="15"/>
      <c r="P738" s="15"/>
      <c r="Q738" s="15"/>
      <c r="R738" s="15"/>
      <c r="S738" s="15"/>
      <c r="T738" s="15"/>
      <c r="U738" s="15"/>
      <c r="V738" s="15"/>
      <c r="W738" s="15"/>
      <c r="X738" s="15"/>
      <c r="Y738" s="15"/>
      <c r="Z738" s="15"/>
      <c r="AA738" s="15"/>
      <c r="AB738" s="15"/>
      <c r="AC738" s="66" t="s">
        <v>318</v>
      </c>
      <c r="AD738" s="66"/>
      <c r="AE738" s="66"/>
      <c r="AF738" s="66"/>
      <c r="AG738" s="66"/>
      <c r="AH738" s="66"/>
      <c r="AI738" s="66"/>
    </row>
    <row r="739" spans="1:35" ht="15" customHeight="1" x14ac:dyDescent="0.45"/>
    <row r="740" spans="1:35" ht="15" customHeight="1" thickBot="1" x14ac:dyDescent="0.5">
      <c r="A740" s="78" t="s">
        <v>98</v>
      </c>
      <c r="B740" s="79"/>
      <c r="C740" s="80"/>
      <c r="D740" s="78" t="s">
        <v>99</v>
      </c>
      <c r="E740" s="79"/>
      <c r="F740" s="79"/>
      <c r="G740" s="79"/>
      <c r="H740" s="79"/>
      <c r="I740" s="79"/>
      <c r="J740" s="79"/>
      <c r="K740" s="79"/>
      <c r="L740" s="79"/>
      <c r="M740" s="79"/>
      <c r="N740" s="79"/>
      <c r="O740" s="79"/>
      <c r="P740" s="79"/>
      <c r="Q740" s="79"/>
      <c r="R740" s="79"/>
      <c r="S740" s="79"/>
      <c r="T740" s="79"/>
      <c r="U740" s="79"/>
      <c r="V740" s="79"/>
      <c r="W740" s="79"/>
      <c r="X740" s="79"/>
      <c r="Y740" s="79"/>
      <c r="Z740" s="79"/>
      <c r="AA740" s="79"/>
      <c r="AB740" s="79"/>
      <c r="AC740" s="80"/>
      <c r="AD740" s="78" t="s">
        <v>100</v>
      </c>
      <c r="AE740" s="79"/>
      <c r="AF740" s="79"/>
      <c r="AG740" s="79"/>
      <c r="AH740" s="79"/>
      <c r="AI740" s="80"/>
    </row>
    <row r="741" spans="1:35" ht="15" customHeight="1" thickTop="1" x14ac:dyDescent="0.45">
      <c r="A741" s="31"/>
      <c r="B741" s="32"/>
      <c r="C741" s="381"/>
      <c r="D741" s="317" t="s">
        <v>324</v>
      </c>
      <c r="E741" s="318"/>
      <c r="F741" s="318"/>
      <c r="G741" s="318"/>
      <c r="H741" s="318"/>
      <c r="I741" s="318"/>
      <c r="J741" s="318"/>
      <c r="K741" s="382"/>
      <c r="L741" s="382"/>
      <c r="M741" s="382"/>
      <c r="N741" s="382"/>
      <c r="O741" s="382"/>
      <c r="P741" s="382"/>
      <c r="Q741" s="18"/>
      <c r="R741" s="18"/>
      <c r="S741" s="18"/>
      <c r="T741" s="18"/>
      <c r="U741" s="18"/>
      <c r="V741" s="18"/>
      <c r="W741" s="18"/>
      <c r="X741" s="18"/>
      <c r="Y741" s="18"/>
      <c r="Z741" s="18"/>
      <c r="AA741" s="18"/>
      <c r="AB741" s="18"/>
      <c r="AC741" s="19"/>
      <c r="AD741" s="269" t="s">
        <v>325</v>
      </c>
      <c r="AE741" s="148"/>
      <c r="AF741" s="148"/>
      <c r="AG741" s="148"/>
      <c r="AH741" s="148"/>
      <c r="AI741" s="201"/>
    </row>
    <row r="742" spans="1:35" ht="15" customHeight="1" x14ac:dyDescent="0.45">
      <c r="A742" s="20"/>
      <c r="B742" s="21"/>
      <c r="C742" s="331"/>
      <c r="D742" s="302"/>
      <c r="E742" s="383"/>
      <c r="F742" s="383"/>
      <c r="G742" s="383"/>
      <c r="H742" s="383"/>
      <c r="I742" s="383"/>
      <c r="J742" s="383"/>
      <c r="K742" s="383"/>
      <c r="L742" s="383"/>
      <c r="M742" s="383"/>
      <c r="N742" s="383"/>
      <c r="O742" s="383"/>
      <c r="P742" s="383"/>
      <c r="AC742" s="25"/>
      <c r="AD742" s="152"/>
      <c r="AE742" s="153"/>
      <c r="AF742" s="153"/>
      <c r="AG742" s="153"/>
      <c r="AH742" s="153"/>
      <c r="AI742" s="275"/>
    </row>
    <row r="743" spans="1:35" ht="15" customHeight="1" x14ac:dyDescent="0.45">
      <c r="A743" s="46"/>
      <c r="B743" s="47"/>
      <c r="C743" s="384"/>
      <c r="AC743" s="290"/>
      <c r="AD743" s="154"/>
      <c r="AE743" s="155"/>
      <c r="AF743" s="155"/>
      <c r="AG743" s="155"/>
      <c r="AH743" s="155"/>
      <c r="AI743" s="194"/>
    </row>
    <row r="744" spans="1:35" ht="15" customHeight="1" x14ac:dyDescent="0.45">
      <c r="A744" s="164" t="s">
        <v>180</v>
      </c>
      <c r="B744" s="165"/>
      <c r="C744" s="166"/>
      <c r="D744" s="86" t="s">
        <v>326</v>
      </c>
      <c r="E744" s="87"/>
      <c r="F744" s="87"/>
      <c r="G744" s="87"/>
      <c r="H744" s="87"/>
      <c r="I744" s="18"/>
      <c r="J744" s="18"/>
      <c r="K744" s="18"/>
      <c r="L744" s="18"/>
      <c r="M744" s="18"/>
      <c r="N744" s="18"/>
      <c r="O744" s="18"/>
      <c r="P744" s="18"/>
      <c r="Q744" s="18"/>
      <c r="R744" s="18"/>
      <c r="S744" s="18"/>
      <c r="T744" s="18"/>
      <c r="U744" s="18"/>
      <c r="V744" s="18"/>
      <c r="W744" s="18"/>
      <c r="X744" s="18"/>
      <c r="Y744" s="18"/>
      <c r="Z744" s="18"/>
      <c r="AA744" s="18"/>
      <c r="AB744" s="18"/>
      <c r="AC744" s="19"/>
      <c r="AD744" s="147" t="s">
        <v>327</v>
      </c>
      <c r="AE744" s="148"/>
      <c r="AF744" s="148"/>
      <c r="AG744" s="148"/>
      <c r="AH744" s="148"/>
      <c r="AI744" s="201"/>
    </row>
    <row r="745" spans="1:35" ht="15" customHeight="1" x14ac:dyDescent="0.45">
      <c r="A745" s="159"/>
      <c r="B745" s="160"/>
      <c r="C745" s="161"/>
      <c r="D745" s="279" t="str">
        <f>V$1 &amp; " Road Approach"</f>
        <v>N Road Approach</v>
      </c>
      <c r="E745" s="111"/>
      <c r="F745" s="111"/>
      <c r="G745" s="111"/>
      <c r="H745" s="111"/>
      <c r="I745" s="111"/>
      <c r="J745" s="48"/>
      <c r="K745" s="48"/>
      <c r="L745" s="48"/>
      <c r="M745" s="48"/>
      <c r="N745" s="48"/>
      <c r="P745" s="111" t="str">
        <f>Z$1 &amp; " Road Approach"</f>
        <v>S Road Approach</v>
      </c>
      <c r="Q745" s="111"/>
      <c r="R745" s="111"/>
      <c r="S745" s="111"/>
      <c r="T745" s="111"/>
      <c r="U745" s="48"/>
      <c r="V745" s="48"/>
      <c r="W745" s="48"/>
      <c r="X745" s="48"/>
      <c r="Y745" s="48"/>
      <c r="Z745" s="110"/>
      <c r="AA745" s="110"/>
      <c r="AB745" s="110"/>
      <c r="AC745" s="113"/>
      <c r="AD745" s="154"/>
      <c r="AE745" s="155"/>
      <c r="AF745" s="155"/>
      <c r="AG745" s="155"/>
      <c r="AH745" s="155"/>
      <c r="AI745" s="194"/>
    </row>
    <row r="746" spans="1:35" ht="15" customHeight="1" x14ac:dyDescent="0.45">
      <c r="A746" s="164" t="s">
        <v>180</v>
      </c>
      <c r="B746" s="165"/>
      <c r="C746" s="166"/>
      <c r="D746" s="86" t="s">
        <v>328</v>
      </c>
      <c r="E746" s="87"/>
      <c r="F746" s="87"/>
      <c r="G746" s="87"/>
      <c r="H746" s="87"/>
      <c r="I746" s="87"/>
      <c r="J746" s="87"/>
      <c r="K746" s="87"/>
      <c r="L746" s="87"/>
      <c r="M746" s="87"/>
      <c r="N746" s="18"/>
      <c r="O746" s="18"/>
      <c r="P746" s="18"/>
      <c r="Q746" s="18"/>
      <c r="R746" s="18"/>
      <c r="S746" s="18"/>
      <c r="T746" s="18"/>
      <c r="U746" s="18"/>
      <c r="V746" s="18"/>
      <c r="W746" s="18"/>
      <c r="X746" s="18"/>
      <c r="Y746" s="18"/>
      <c r="Z746" s="18"/>
      <c r="AA746" s="18"/>
      <c r="AB746" s="18"/>
      <c r="AC746" s="19"/>
      <c r="AD746" s="147" t="s">
        <v>329</v>
      </c>
      <c r="AE746" s="148"/>
      <c r="AF746" s="148"/>
      <c r="AG746" s="148"/>
      <c r="AH746" s="148"/>
      <c r="AI746" s="201"/>
    </row>
    <row r="747" spans="1:35" ht="15" customHeight="1" x14ac:dyDescent="0.45">
      <c r="A747" s="159"/>
      <c r="B747" s="160"/>
      <c r="C747" s="161"/>
      <c r="D747" s="279" t="str">
        <f>V$1 &amp; " Road Approach"</f>
        <v>N Road Approach</v>
      </c>
      <c r="E747" s="111"/>
      <c r="F747" s="111"/>
      <c r="G747" s="111"/>
      <c r="H747" s="111"/>
      <c r="I747" s="111"/>
      <c r="J747" s="48"/>
      <c r="K747" s="48"/>
      <c r="L747" s="48"/>
      <c r="M747" s="48"/>
      <c r="N747" s="48"/>
      <c r="P747" s="111" t="str">
        <f>Z$1 &amp; " Road Approach"</f>
        <v>S Road Approach</v>
      </c>
      <c r="Q747" s="111"/>
      <c r="R747" s="111"/>
      <c r="S747" s="111"/>
      <c r="T747" s="111"/>
      <c r="U747" s="48"/>
      <c r="V747" s="48"/>
      <c r="W747" s="48"/>
      <c r="X747" s="48"/>
      <c r="Y747" s="48"/>
      <c r="Z747" s="110"/>
      <c r="AA747" s="110"/>
      <c r="AB747" s="110"/>
      <c r="AC747" s="113"/>
      <c r="AD747" s="154"/>
      <c r="AE747" s="155"/>
      <c r="AF747" s="155"/>
      <c r="AG747" s="155"/>
      <c r="AH747" s="155"/>
      <c r="AI747" s="194"/>
    </row>
    <row r="748" spans="1:35" ht="15" customHeight="1" x14ac:dyDescent="0.45">
      <c r="A748" s="164" t="s">
        <v>180</v>
      </c>
      <c r="B748" s="165"/>
      <c r="C748" s="166"/>
      <c r="D748" s="86" t="s">
        <v>330</v>
      </c>
      <c r="E748" s="87"/>
      <c r="F748" s="87"/>
      <c r="G748" s="87"/>
      <c r="H748" s="87"/>
      <c r="I748" s="87"/>
      <c r="J748" s="87"/>
      <c r="K748" s="87"/>
      <c r="L748" s="87"/>
      <c r="M748" s="87"/>
      <c r="N748" s="87"/>
      <c r="O748" s="87"/>
      <c r="P748" s="87"/>
      <c r="Q748" s="87"/>
      <c r="R748" s="87"/>
      <c r="S748" s="87"/>
      <c r="T748" s="87"/>
      <c r="U748" s="87"/>
      <c r="V748" s="87"/>
      <c r="W748" s="87"/>
      <c r="X748" s="87"/>
      <c r="Y748" s="87"/>
      <c r="Z748" s="87"/>
      <c r="AA748" s="87"/>
      <c r="AB748" s="87"/>
      <c r="AC748" s="268"/>
      <c r="AD748" s="385" t="s">
        <v>331</v>
      </c>
      <c r="AE748" s="386"/>
      <c r="AF748" s="386"/>
      <c r="AG748" s="386"/>
      <c r="AH748" s="386"/>
      <c r="AI748" s="387"/>
    </row>
    <row r="749" spans="1:35" ht="15" customHeight="1" x14ac:dyDescent="0.45">
      <c r="A749" s="159"/>
      <c r="B749" s="160"/>
      <c r="C749" s="161"/>
      <c r="D749" s="279" t="str">
        <f>V$1 &amp; " Road Approach"</f>
        <v>N Road Approach</v>
      </c>
      <c r="E749" s="111"/>
      <c r="F749" s="111"/>
      <c r="G749" s="111"/>
      <c r="H749" s="111"/>
      <c r="J749" s="48"/>
      <c r="K749" s="48"/>
      <c r="L749" s="48"/>
      <c r="M749" s="48"/>
      <c r="N749" s="48"/>
      <c r="P749" s="111" t="str">
        <f>Z$1 &amp; " Road Approach"</f>
        <v>S Road Approach</v>
      </c>
      <c r="Q749" s="111"/>
      <c r="R749" s="111"/>
      <c r="S749" s="111"/>
      <c r="T749" s="111"/>
      <c r="U749" s="48"/>
      <c r="V749" s="48"/>
      <c r="W749" s="48"/>
      <c r="X749" s="48"/>
      <c r="Y749" s="48"/>
      <c r="Z749" s="110"/>
      <c r="AA749" s="110"/>
      <c r="AB749" s="110"/>
      <c r="AC749" s="113"/>
      <c r="AD749" s="388"/>
      <c r="AE749" s="389"/>
      <c r="AF749" s="389"/>
      <c r="AG749" s="389"/>
      <c r="AH749" s="389"/>
      <c r="AI749" s="390"/>
    </row>
    <row r="750" spans="1:35" ht="15" customHeight="1" x14ac:dyDescent="0.45">
      <c r="A750" s="164" t="s">
        <v>180</v>
      </c>
      <c r="B750" s="165"/>
      <c r="C750" s="166"/>
      <c r="D750" s="86" t="s">
        <v>332</v>
      </c>
      <c r="E750" s="87"/>
      <c r="F750" s="87"/>
      <c r="G750" s="87"/>
      <c r="H750" s="87"/>
      <c r="I750" s="87"/>
      <c r="J750" s="87"/>
      <c r="K750" s="87"/>
      <c r="L750" s="87"/>
      <c r="M750" s="87"/>
      <c r="N750" s="87"/>
      <c r="O750" s="87"/>
      <c r="P750" s="87"/>
      <c r="Q750" s="87"/>
      <c r="R750" s="87"/>
      <c r="S750" s="87"/>
      <c r="T750" s="87"/>
      <c r="U750" s="87"/>
      <c r="V750" s="87"/>
      <c r="W750" s="87"/>
      <c r="X750" s="87"/>
      <c r="Y750" s="87"/>
      <c r="Z750" s="87"/>
      <c r="AA750" s="87"/>
      <c r="AB750" s="87"/>
      <c r="AC750" s="268"/>
      <c r="AD750" s="385" t="s">
        <v>333</v>
      </c>
      <c r="AE750" s="386"/>
      <c r="AF750" s="386"/>
      <c r="AG750" s="386"/>
      <c r="AH750" s="386"/>
      <c r="AI750" s="387"/>
    </row>
    <row r="751" spans="1:35" ht="15" customHeight="1" x14ac:dyDescent="0.45">
      <c r="A751" s="299"/>
      <c r="B751" s="300"/>
      <c r="C751" s="301"/>
      <c r="D751" s="96" t="str">
        <f>V$1 &amp; " Road Approach"</f>
        <v>N Road Approach</v>
      </c>
      <c r="E751" s="97"/>
      <c r="F751" s="97"/>
      <c r="G751" s="97"/>
      <c r="H751" s="97"/>
      <c r="I751" s="97" t="s">
        <v>334</v>
      </c>
      <c r="J751" s="97"/>
      <c r="K751" s="2"/>
      <c r="L751" s="2"/>
      <c r="M751" s="2"/>
      <c r="N751" s="2"/>
      <c r="O751" s="2"/>
      <c r="Q751" s="97" t="str">
        <f>Z$1 &amp; " Road Aproach"</f>
        <v>S Road Aproach</v>
      </c>
      <c r="R751" s="97"/>
      <c r="S751" s="97"/>
      <c r="T751" s="97"/>
      <c r="U751" s="97"/>
      <c r="V751" s="97" t="s">
        <v>334</v>
      </c>
      <c r="W751" s="97"/>
      <c r="X751" s="2"/>
      <c r="Y751" s="2"/>
      <c r="Z751" s="2"/>
      <c r="AA751" s="2"/>
      <c r="AB751" s="2"/>
      <c r="AC751" s="25"/>
      <c r="AD751" s="391"/>
      <c r="AE751" s="392"/>
      <c r="AF751" s="392"/>
      <c r="AG751" s="392"/>
      <c r="AH751" s="392"/>
      <c r="AI751" s="393"/>
    </row>
    <row r="752" spans="1:35" ht="15" customHeight="1" x14ac:dyDescent="0.45">
      <c r="A752" s="159"/>
      <c r="B752" s="160"/>
      <c r="C752" s="161"/>
      <c r="D752" s="171"/>
      <c r="E752" s="110"/>
      <c r="F752" s="142"/>
      <c r="G752" s="110"/>
      <c r="I752" s="111" t="s">
        <v>335</v>
      </c>
      <c r="J752" s="111"/>
      <c r="K752" s="48"/>
      <c r="L752" s="48"/>
      <c r="M752" s="48"/>
      <c r="N752" s="48"/>
      <c r="O752" s="48"/>
      <c r="Q752" s="142"/>
      <c r="R752" s="142"/>
      <c r="V752" s="111" t="s">
        <v>335</v>
      </c>
      <c r="W752" s="111"/>
      <c r="X752" s="48"/>
      <c r="Y752" s="48"/>
      <c r="Z752" s="48"/>
      <c r="AA752" s="48"/>
      <c r="AB752" s="48"/>
      <c r="AC752" s="113"/>
      <c r="AD752" s="388"/>
      <c r="AE752" s="389"/>
      <c r="AF752" s="389"/>
      <c r="AG752" s="389"/>
      <c r="AH752" s="389"/>
      <c r="AI752" s="390"/>
    </row>
    <row r="753" spans="1:35" ht="15" customHeight="1" x14ac:dyDescent="0.45">
      <c r="A753" s="164" t="s">
        <v>180</v>
      </c>
      <c r="B753" s="165"/>
      <c r="C753" s="166"/>
      <c r="D753" s="86" t="s">
        <v>336</v>
      </c>
      <c r="E753" s="87"/>
      <c r="F753" s="87"/>
      <c r="G753" s="87"/>
      <c r="H753" s="87"/>
      <c r="I753" s="87"/>
      <c r="J753" s="87"/>
      <c r="K753" s="87"/>
      <c r="L753" s="87"/>
      <c r="M753" s="87"/>
      <c r="N753" s="87"/>
      <c r="O753" s="87"/>
      <c r="P753" s="87"/>
      <c r="Q753" s="87"/>
      <c r="R753" s="87"/>
      <c r="S753" s="87"/>
      <c r="T753" s="87"/>
      <c r="U753" s="87"/>
      <c r="V753" s="87"/>
      <c r="W753" s="87"/>
      <c r="X753" s="87"/>
      <c r="Y753" s="87"/>
      <c r="Z753" s="87"/>
      <c r="AA753" s="87"/>
      <c r="AB753" s="87"/>
      <c r="AC753" s="268"/>
      <c r="AD753" s="385" t="s">
        <v>337</v>
      </c>
      <c r="AE753" s="386"/>
      <c r="AF753" s="386"/>
      <c r="AG753" s="386"/>
      <c r="AH753" s="386"/>
      <c r="AI753" s="387"/>
    </row>
    <row r="754" spans="1:35" ht="15" customHeight="1" x14ac:dyDescent="0.45">
      <c r="A754" s="299"/>
      <c r="B754" s="300"/>
      <c r="C754" s="301"/>
      <c r="D754" s="96" t="str">
        <f>V$1 &amp; " Road Approach"</f>
        <v>N Road Approach</v>
      </c>
      <c r="E754" s="97"/>
      <c r="F754" s="97"/>
      <c r="G754" s="97"/>
      <c r="H754" s="97"/>
      <c r="I754" s="394"/>
      <c r="J754" s="394"/>
      <c r="K754" s="394"/>
      <c r="L754" s="6" t="s">
        <v>157</v>
      </c>
      <c r="N754" s="6"/>
      <c r="O754" s="97" t="str">
        <f>Z$1 &amp; " Road Approach"</f>
        <v>S Road Approach</v>
      </c>
      <c r="P754" s="97"/>
      <c r="Q754" s="97"/>
      <c r="R754" s="97"/>
      <c r="S754" s="97"/>
      <c r="T754" s="394"/>
      <c r="U754" s="394"/>
      <c r="V754" s="394"/>
      <c r="W754" s="6" t="s">
        <v>157</v>
      </c>
      <c r="AC754" s="25"/>
      <c r="AD754" s="391"/>
      <c r="AE754" s="392"/>
      <c r="AF754" s="392"/>
      <c r="AG754" s="392"/>
      <c r="AH754" s="392"/>
      <c r="AI754" s="393"/>
    </row>
    <row r="755" spans="1:35" ht="15" customHeight="1" x14ac:dyDescent="0.45">
      <c r="A755" s="299"/>
      <c r="B755" s="300"/>
      <c r="C755" s="301"/>
      <c r="D755" s="282" t="s">
        <v>338</v>
      </c>
      <c r="E755" s="175"/>
      <c r="F755" s="175"/>
      <c r="G755" s="175"/>
      <c r="H755" s="175"/>
      <c r="I755" s="175"/>
      <c r="J755" s="175"/>
      <c r="K755" s="175"/>
      <c r="L755" s="175"/>
      <c r="M755" s="175"/>
      <c r="N755" s="175"/>
      <c r="O755" s="175"/>
      <c r="P755" s="175"/>
      <c r="Q755" s="175"/>
      <c r="R755" s="175"/>
      <c r="S755" s="175"/>
      <c r="T755" s="175"/>
      <c r="U755" s="175"/>
      <c r="V755" s="175"/>
      <c r="W755" s="175"/>
      <c r="X755" s="175"/>
      <c r="Y755" s="175"/>
      <c r="Z755" s="175"/>
      <c r="AA755" s="175"/>
      <c r="AB755" s="175"/>
      <c r="AC755" s="339"/>
      <c r="AD755" s="391" t="s">
        <v>339</v>
      </c>
      <c r="AE755" s="392"/>
      <c r="AF755" s="392"/>
      <c r="AG755" s="392"/>
      <c r="AH755" s="392"/>
      <c r="AI755" s="393"/>
    </row>
    <row r="756" spans="1:35" ht="15" customHeight="1" x14ac:dyDescent="0.45">
      <c r="A756" s="299"/>
      <c r="B756" s="300"/>
      <c r="C756" s="301"/>
      <c r="D756" s="282"/>
      <c r="E756" s="175"/>
      <c r="F756" s="175"/>
      <c r="G756" s="175"/>
      <c r="H756" s="175"/>
      <c r="I756" s="175"/>
      <c r="J756" s="175"/>
      <c r="K756" s="175"/>
      <c r="L756" s="175"/>
      <c r="M756" s="175"/>
      <c r="N756" s="175"/>
      <c r="O756" s="175"/>
      <c r="P756" s="175"/>
      <c r="Q756" s="175"/>
      <c r="R756" s="175"/>
      <c r="S756" s="175"/>
      <c r="T756" s="175"/>
      <c r="U756" s="175"/>
      <c r="V756" s="175"/>
      <c r="W756" s="175"/>
      <c r="X756" s="175"/>
      <c r="Y756" s="175"/>
      <c r="Z756" s="175"/>
      <c r="AA756" s="175"/>
      <c r="AB756" s="175"/>
      <c r="AC756" s="339"/>
      <c r="AD756" s="391"/>
      <c r="AE756" s="392"/>
      <c r="AF756" s="392"/>
      <c r="AG756" s="392"/>
      <c r="AH756" s="392"/>
      <c r="AI756" s="393"/>
    </row>
    <row r="757" spans="1:35" ht="15" customHeight="1" x14ac:dyDescent="0.45">
      <c r="A757" s="299"/>
      <c r="B757" s="300"/>
      <c r="C757" s="301"/>
      <c r="D757" s="96" t="str">
        <f>V$1 &amp; " Road Approach"</f>
        <v>N Road Approach</v>
      </c>
      <c r="E757" s="97"/>
      <c r="F757" s="97"/>
      <c r="G757" s="97"/>
      <c r="H757" s="97"/>
      <c r="I757" s="2"/>
      <c r="J757" s="2"/>
      <c r="K757" s="2"/>
      <c r="L757" s="6" t="s">
        <v>157</v>
      </c>
      <c r="N757" s="6"/>
      <c r="O757" s="97" t="str">
        <f>Z$1 &amp; " Road Approach"</f>
        <v>S Road Approach</v>
      </c>
      <c r="P757" s="97"/>
      <c r="Q757" s="97"/>
      <c r="R757" s="97"/>
      <c r="S757" s="97"/>
      <c r="T757" s="2"/>
      <c r="U757" s="2"/>
      <c r="V757" s="2"/>
      <c r="W757" s="6" t="s">
        <v>157</v>
      </c>
      <c r="AC757" s="25"/>
      <c r="AD757" s="391"/>
      <c r="AE757" s="392"/>
      <c r="AF757" s="392"/>
      <c r="AG757" s="392"/>
      <c r="AH757" s="392"/>
      <c r="AI757" s="393"/>
    </row>
    <row r="758" spans="1:35" ht="15" customHeight="1" x14ac:dyDescent="0.45">
      <c r="A758" s="299"/>
      <c r="B758" s="300"/>
      <c r="C758" s="301"/>
      <c r="D758" s="96" t="s">
        <v>340</v>
      </c>
      <c r="E758" s="97"/>
      <c r="F758" s="97"/>
      <c r="G758" s="97"/>
      <c r="H758" s="97"/>
      <c r="I758" s="97"/>
      <c r="J758" s="97"/>
      <c r="K758" s="97"/>
      <c r="L758" s="97"/>
      <c r="M758" s="97"/>
      <c r="N758" s="97"/>
      <c r="O758" s="97"/>
      <c r="P758" s="97"/>
      <c r="Q758" s="97"/>
      <c r="R758" s="97"/>
      <c r="S758" s="97"/>
      <c r="T758" s="97"/>
      <c r="U758" s="97"/>
      <c r="V758" s="97"/>
      <c r="W758" s="97"/>
      <c r="X758" s="97"/>
      <c r="Y758" s="97"/>
      <c r="Z758" s="97"/>
      <c r="AA758" s="97"/>
      <c r="AB758" s="97"/>
      <c r="AC758" s="274"/>
      <c r="AD758" s="391" t="s">
        <v>341</v>
      </c>
      <c r="AE758" s="392"/>
      <c r="AF758" s="392"/>
      <c r="AG758" s="392"/>
      <c r="AH758" s="392"/>
      <c r="AI758" s="393"/>
    </row>
    <row r="759" spans="1:35" ht="15" customHeight="1" x14ac:dyDescent="0.45">
      <c r="A759" s="159"/>
      <c r="B759" s="160"/>
      <c r="C759" s="161"/>
      <c r="D759" s="279" t="str">
        <f>V$1 &amp; " Road Approach"</f>
        <v>N Road Approach</v>
      </c>
      <c r="E759" s="111"/>
      <c r="F759" s="111"/>
      <c r="G759" s="111"/>
      <c r="H759" s="111"/>
      <c r="I759" s="48"/>
      <c r="J759" s="48"/>
      <c r="K759" s="48"/>
      <c r="L759" s="6" t="s">
        <v>157</v>
      </c>
      <c r="M759" s="110"/>
      <c r="N759" s="142"/>
      <c r="O759" s="111" t="str">
        <f>Z$1 &amp; " Road Approach"</f>
        <v>S Road Approach</v>
      </c>
      <c r="P759" s="111"/>
      <c r="Q759" s="111"/>
      <c r="R759" s="111"/>
      <c r="S759" s="111"/>
      <c r="T759" s="48"/>
      <c r="U759" s="48"/>
      <c r="V759" s="48"/>
      <c r="W759" s="6" t="s">
        <v>157</v>
      </c>
      <c r="X759" s="110"/>
      <c r="Y759" s="110"/>
      <c r="Z759" s="110"/>
      <c r="AA759" s="110"/>
      <c r="AB759" s="110"/>
      <c r="AC759" s="113"/>
      <c r="AD759" s="388"/>
      <c r="AE759" s="389"/>
      <c r="AF759" s="389"/>
      <c r="AG759" s="389"/>
      <c r="AH759" s="389"/>
      <c r="AI759" s="390"/>
    </row>
    <row r="760" spans="1:35" ht="15" customHeight="1" x14ac:dyDescent="0.45">
      <c r="A760" s="164" t="s">
        <v>180</v>
      </c>
      <c r="B760" s="165"/>
      <c r="C760" s="166"/>
      <c r="D760" s="86" t="s">
        <v>342</v>
      </c>
      <c r="E760" s="87"/>
      <c r="F760" s="87"/>
      <c r="G760" s="87"/>
      <c r="H760" s="87"/>
      <c r="I760" s="87"/>
      <c r="J760" s="87"/>
      <c r="K760" s="87"/>
      <c r="L760" s="87"/>
      <c r="M760" s="87"/>
      <c r="N760" s="87"/>
      <c r="O760" s="87"/>
      <c r="P760" s="87"/>
      <c r="Q760" s="87"/>
      <c r="R760" s="87"/>
      <c r="S760" s="87"/>
      <c r="T760" s="87"/>
      <c r="U760" s="87"/>
      <c r="V760" s="87"/>
      <c r="W760" s="87"/>
      <c r="X760" s="87"/>
      <c r="Y760" s="87"/>
      <c r="Z760" s="87"/>
      <c r="AA760" s="87"/>
      <c r="AB760" s="87"/>
      <c r="AC760" s="268"/>
      <c r="AD760" s="385" t="s">
        <v>343</v>
      </c>
      <c r="AE760" s="386"/>
      <c r="AF760" s="386"/>
      <c r="AG760" s="386"/>
      <c r="AH760" s="386"/>
      <c r="AI760" s="387"/>
    </row>
    <row r="761" spans="1:35" ht="15" customHeight="1" x14ac:dyDescent="0.45">
      <c r="A761" s="299"/>
      <c r="B761" s="300"/>
      <c r="C761" s="301"/>
      <c r="D761" s="96" t="str">
        <f>V$1 &amp; " Road Approach"</f>
        <v>N Road Approach</v>
      </c>
      <c r="E761" s="97"/>
      <c r="F761" s="97"/>
      <c r="G761" s="97"/>
      <c r="H761" s="97"/>
      <c r="I761" s="394"/>
      <c r="J761" s="394"/>
      <c r="K761" s="394"/>
      <c r="L761" s="6" t="s">
        <v>157</v>
      </c>
      <c r="N761" s="6"/>
      <c r="O761" s="97" t="str">
        <f>Z$1 &amp; " Road Approach"</f>
        <v>S Road Approach</v>
      </c>
      <c r="P761" s="97"/>
      <c r="Q761" s="97"/>
      <c r="R761" s="97"/>
      <c r="S761" s="97"/>
      <c r="T761" s="394"/>
      <c r="U761" s="394"/>
      <c r="V761" s="394"/>
      <c r="W761" s="6" t="s">
        <v>157</v>
      </c>
      <c r="AC761" s="25"/>
      <c r="AD761" s="391"/>
      <c r="AE761" s="392"/>
      <c r="AF761" s="392"/>
      <c r="AG761" s="392"/>
      <c r="AH761" s="392"/>
      <c r="AI761" s="393"/>
    </row>
    <row r="762" spans="1:35" ht="15" customHeight="1" x14ac:dyDescent="0.45">
      <c r="A762" s="369" t="s">
        <v>155</v>
      </c>
      <c r="B762" s="370"/>
      <c r="C762" s="371"/>
      <c r="D762" s="279" t="s">
        <v>344</v>
      </c>
      <c r="E762" s="111"/>
      <c r="F762" s="111"/>
      <c r="G762" s="111"/>
      <c r="H762" s="111"/>
      <c r="I762" s="111"/>
      <c r="J762" s="111"/>
      <c r="K762" s="111"/>
      <c r="L762" s="111"/>
      <c r="M762" s="111"/>
      <c r="N762" s="111"/>
      <c r="O762" s="111"/>
      <c r="P762" s="111"/>
      <c r="Q762" s="112" t="str">
        <f>IF(AND(ISBLANK(I761),ISBLANK(T761)),"No Value",IF(OR(I761&gt;3.6,T761&gt;3.6),"Yes","No"))</f>
        <v>No Value</v>
      </c>
      <c r="R762" s="112"/>
      <c r="S762" s="112"/>
      <c r="T762" s="112"/>
      <c r="U762" s="112"/>
      <c r="V762" s="6"/>
      <c r="W762" s="6"/>
      <c r="X762" s="6"/>
      <c r="Y762" s="6"/>
      <c r="Z762" s="6"/>
      <c r="AA762" s="6"/>
      <c r="AB762" s="6"/>
      <c r="AC762" s="6"/>
      <c r="AD762" s="388"/>
      <c r="AE762" s="389"/>
      <c r="AF762" s="389"/>
      <c r="AG762" s="389"/>
      <c r="AH762" s="389"/>
      <c r="AI762" s="390"/>
    </row>
    <row r="763" spans="1:35" ht="15" customHeight="1" x14ac:dyDescent="0.45">
      <c r="A763" s="176" t="s">
        <v>208</v>
      </c>
      <c r="B763" s="177"/>
      <c r="C763" s="177"/>
      <c r="D763" s="177"/>
      <c r="E763" s="177"/>
      <c r="F763" s="177"/>
      <c r="G763" s="177"/>
      <c r="H763" s="177"/>
      <c r="I763" s="177"/>
      <c r="J763" s="177"/>
      <c r="K763" s="177"/>
      <c r="L763" s="177"/>
      <c r="M763" s="177"/>
      <c r="N763" s="177"/>
      <c r="O763" s="177"/>
      <c r="P763" s="177"/>
      <c r="Q763" s="177"/>
      <c r="R763" s="177"/>
      <c r="S763" s="177"/>
      <c r="T763" s="177"/>
      <c r="U763" s="177"/>
      <c r="V763" s="177"/>
      <c r="W763" s="177"/>
      <c r="X763" s="177"/>
      <c r="Y763" s="177"/>
      <c r="Z763" s="177"/>
      <c r="AA763" s="177"/>
      <c r="AB763" s="177"/>
      <c r="AC763" s="177"/>
      <c r="AD763" s="177"/>
      <c r="AE763" s="177"/>
      <c r="AF763" s="177"/>
      <c r="AG763" s="177"/>
      <c r="AH763" s="177"/>
      <c r="AI763" s="178"/>
    </row>
    <row r="764" spans="1:35" ht="15" customHeight="1" x14ac:dyDescent="0.45">
      <c r="A764" s="256" t="s">
        <v>72</v>
      </c>
      <c r="B764" s="257"/>
      <c r="C764" s="257"/>
      <c r="D764" s="257"/>
      <c r="E764" s="257"/>
      <c r="F764" s="257"/>
      <c r="G764" s="257"/>
      <c r="H764" s="257"/>
      <c r="I764" s="257"/>
      <c r="J764" s="257"/>
      <c r="K764" s="257"/>
      <c r="L764" s="257"/>
      <c r="M764" s="257"/>
      <c r="N764" s="257"/>
      <c r="O764" s="257"/>
      <c r="P764" s="257"/>
      <c r="Q764" s="257"/>
      <c r="R764" s="257"/>
      <c r="S764" s="257"/>
      <c r="T764" s="257"/>
      <c r="U764" s="257"/>
      <c r="V764" s="257"/>
      <c r="W764" s="257"/>
      <c r="X764" s="257"/>
      <c r="Y764" s="257"/>
      <c r="Z764" s="257"/>
      <c r="AA764" s="257"/>
      <c r="AB764" s="257"/>
      <c r="AC764" s="257"/>
      <c r="AD764" s="257"/>
      <c r="AE764" s="257"/>
      <c r="AF764" s="257"/>
      <c r="AG764" s="257"/>
      <c r="AH764" s="257"/>
      <c r="AI764" s="258"/>
    </row>
    <row r="765" spans="1:35" ht="15" customHeight="1" x14ac:dyDescent="0.45">
      <c r="A765" s="259"/>
      <c r="B765" s="260"/>
      <c r="C765" s="260"/>
      <c r="D765" s="260"/>
      <c r="E765" s="260"/>
      <c r="F765" s="260"/>
      <c r="G765" s="260"/>
      <c r="H765" s="260"/>
      <c r="I765" s="260"/>
      <c r="J765" s="260"/>
      <c r="K765" s="260"/>
      <c r="L765" s="260"/>
      <c r="M765" s="260"/>
      <c r="N765" s="260"/>
      <c r="O765" s="260"/>
      <c r="P765" s="260"/>
      <c r="Q765" s="260"/>
      <c r="R765" s="260"/>
      <c r="S765" s="260"/>
      <c r="T765" s="260"/>
      <c r="U765" s="260"/>
      <c r="V765" s="260"/>
      <c r="W765" s="260"/>
      <c r="X765" s="260"/>
      <c r="Y765" s="260"/>
      <c r="Z765" s="260"/>
      <c r="AA765" s="260"/>
      <c r="AB765" s="260"/>
      <c r="AC765" s="260"/>
      <c r="AD765" s="260"/>
      <c r="AE765" s="260"/>
      <c r="AF765" s="260"/>
      <c r="AG765" s="260"/>
      <c r="AH765" s="260"/>
      <c r="AI765" s="261"/>
    </row>
    <row r="766" spans="1:35" ht="15" customHeight="1" x14ac:dyDescent="0.45">
      <c r="A766" s="259"/>
      <c r="B766" s="260"/>
      <c r="C766" s="260"/>
      <c r="D766" s="260"/>
      <c r="E766" s="260"/>
      <c r="F766" s="260"/>
      <c r="G766" s="260"/>
      <c r="H766" s="260"/>
      <c r="I766" s="260"/>
      <c r="J766" s="260"/>
      <c r="K766" s="260"/>
      <c r="L766" s="260"/>
      <c r="M766" s="260"/>
      <c r="N766" s="260"/>
      <c r="O766" s="260"/>
      <c r="P766" s="260"/>
      <c r="Q766" s="260"/>
      <c r="R766" s="260"/>
      <c r="S766" s="260"/>
      <c r="T766" s="260"/>
      <c r="U766" s="260"/>
      <c r="V766" s="260"/>
      <c r="W766" s="260"/>
      <c r="X766" s="260"/>
      <c r="Y766" s="260"/>
      <c r="Z766" s="260"/>
      <c r="AA766" s="260"/>
      <c r="AB766" s="260"/>
      <c r="AC766" s="260"/>
      <c r="AD766" s="260"/>
      <c r="AE766" s="260"/>
      <c r="AF766" s="260"/>
      <c r="AG766" s="260"/>
      <c r="AH766" s="260"/>
      <c r="AI766" s="261"/>
    </row>
    <row r="767" spans="1:35" ht="15" customHeight="1" x14ac:dyDescent="0.45">
      <c r="A767" s="259"/>
      <c r="B767" s="260"/>
      <c r="C767" s="260"/>
      <c r="D767" s="260"/>
      <c r="E767" s="260"/>
      <c r="F767" s="260"/>
      <c r="G767" s="260"/>
      <c r="H767" s="260"/>
      <c r="I767" s="260"/>
      <c r="J767" s="260"/>
      <c r="K767" s="260"/>
      <c r="L767" s="260"/>
      <c r="M767" s="260"/>
      <c r="N767" s="260"/>
      <c r="O767" s="260"/>
      <c r="P767" s="260"/>
      <c r="Q767" s="260"/>
      <c r="R767" s="260"/>
      <c r="S767" s="260"/>
      <c r="T767" s="260"/>
      <c r="U767" s="260"/>
      <c r="V767" s="260"/>
      <c r="W767" s="260"/>
      <c r="X767" s="260"/>
      <c r="Y767" s="260"/>
      <c r="Z767" s="260"/>
      <c r="AA767" s="260"/>
      <c r="AB767" s="260"/>
      <c r="AC767" s="260"/>
      <c r="AD767" s="260"/>
      <c r="AE767" s="260"/>
      <c r="AF767" s="260"/>
      <c r="AG767" s="260"/>
      <c r="AH767" s="260"/>
      <c r="AI767" s="261"/>
    </row>
    <row r="768" spans="1:35" ht="15" customHeight="1" x14ac:dyDescent="0.45">
      <c r="A768" s="259"/>
      <c r="B768" s="260"/>
      <c r="C768" s="260"/>
      <c r="D768" s="260"/>
      <c r="E768" s="260"/>
      <c r="F768" s="260"/>
      <c r="G768" s="260"/>
      <c r="H768" s="260"/>
      <c r="I768" s="260"/>
      <c r="J768" s="260"/>
      <c r="K768" s="260"/>
      <c r="L768" s="260"/>
      <c r="M768" s="260"/>
      <c r="N768" s="260"/>
      <c r="O768" s="260"/>
      <c r="P768" s="260"/>
      <c r="Q768" s="260"/>
      <c r="R768" s="260"/>
      <c r="S768" s="260"/>
      <c r="T768" s="260"/>
      <c r="U768" s="260"/>
      <c r="V768" s="260"/>
      <c r="W768" s="260"/>
      <c r="X768" s="260"/>
      <c r="Y768" s="260"/>
      <c r="Z768" s="260"/>
      <c r="AA768" s="260"/>
      <c r="AB768" s="260"/>
      <c r="AC768" s="260"/>
      <c r="AD768" s="260"/>
      <c r="AE768" s="260"/>
      <c r="AF768" s="260"/>
      <c r="AG768" s="260"/>
      <c r="AH768" s="260"/>
      <c r="AI768" s="261"/>
    </row>
    <row r="769" spans="1:35" ht="15" customHeight="1" x14ac:dyDescent="0.45">
      <c r="A769" s="259"/>
      <c r="B769" s="260"/>
      <c r="C769" s="260"/>
      <c r="D769" s="260"/>
      <c r="E769" s="260"/>
      <c r="F769" s="260"/>
      <c r="G769" s="260"/>
      <c r="H769" s="260"/>
      <c r="I769" s="260"/>
      <c r="J769" s="260"/>
      <c r="K769" s="260"/>
      <c r="L769" s="260"/>
      <c r="M769" s="260"/>
      <c r="N769" s="260"/>
      <c r="O769" s="260"/>
      <c r="P769" s="260"/>
      <c r="Q769" s="260"/>
      <c r="R769" s="260"/>
      <c r="S769" s="260"/>
      <c r="T769" s="260"/>
      <c r="U769" s="260"/>
      <c r="V769" s="260"/>
      <c r="W769" s="260"/>
      <c r="X769" s="260"/>
      <c r="Y769" s="260"/>
      <c r="Z769" s="260"/>
      <c r="AA769" s="260"/>
      <c r="AB769" s="260"/>
      <c r="AC769" s="260"/>
      <c r="AD769" s="260"/>
      <c r="AE769" s="260"/>
      <c r="AF769" s="260"/>
      <c r="AG769" s="260"/>
      <c r="AH769" s="260"/>
      <c r="AI769" s="261"/>
    </row>
    <row r="770" spans="1:35" ht="15" customHeight="1" x14ac:dyDescent="0.45">
      <c r="A770" s="259"/>
      <c r="B770" s="260"/>
      <c r="C770" s="260"/>
      <c r="D770" s="260"/>
      <c r="E770" s="260"/>
      <c r="F770" s="260"/>
      <c r="G770" s="260"/>
      <c r="H770" s="260"/>
      <c r="I770" s="260"/>
      <c r="J770" s="260"/>
      <c r="K770" s="260"/>
      <c r="L770" s="260"/>
      <c r="M770" s="260"/>
      <c r="N770" s="260"/>
      <c r="O770" s="260"/>
      <c r="P770" s="260"/>
      <c r="Q770" s="260"/>
      <c r="R770" s="260"/>
      <c r="S770" s="260"/>
      <c r="T770" s="260"/>
      <c r="U770" s="260"/>
      <c r="V770" s="260"/>
      <c r="W770" s="260"/>
      <c r="X770" s="260"/>
      <c r="Y770" s="260"/>
      <c r="Z770" s="260"/>
      <c r="AA770" s="260"/>
      <c r="AB770" s="260"/>
      <c r="AC770" s="260"/>
      <c r="AD770" s="260"/>
      <c r="AE770" s="260"/>
      <c r="AF770" s="260"/>
      <c r="AG770" s="260"/>
      <c r="AH770" s="260"/>
      <c r="AI770" s="261"/>
    </row>
    <row r="771" spans="1:35" ht="15" customHeight="1" x14ac:dyDescent="0.45">
      <c r="A771" s="259"/>
      <c r="B771" s="260"/>
      <c r="C771" s="260"/>
      <c r="D771" s="260"/>
      <c r="E771" s="260"/>
      <c r="F771" s="260"/>
      <c r="G771" s="260"/>
      <c r="H771" s="260"/>
      <c r="I771" s="260"/>
      <c r="J771" s="260"/>
      <c r="K771" s="260"/>
      <c r="L771" s="260"/>
      <c r="M771" s="260"/>
      <c r="N771" s="260"/>
      <c r="O771" s="260"/>
      <c r="P771" s="260"/>
      <c r="Q771" s="260"/>
      <c r="R771" s="260"/>
      <c r="S771" s="260"/>
      <c r="T771" s="260"/>
      <c r="U771" s="260"/>
      <c r="V771" s="260"/>
      <c r="W771" s="260"/>
      <c r="X771" s="260"/>
      <c r="Y771" s="260"/>
      <c r="Z771" s="260"/>
      <c r="AA771" s="260"/>
      <c r="AB771" s="260"/>
      <c r="AC771" s="260"/>
      <c r="AD771" s="260"/>
      <c r="AE771" s="260"/>
      <c r="AF771" s="260"/>
      <c r="AG771" s="260"/>
      <c r="AH771" s="260"/>
      <c r="AI771" s="261"/>
    </row>
    <row r="772" spans="1:35" ht="15" customHeight="1" x14ac:dyDescent="0.45">
      <c r="A772" s="259"/>
      <c r="B772" s="260"/>
      <c r="C772" s="260"/>
      <c r="D772" s="260"/>
      <c r="E772" s="260"/>
      <c r="F772" s="260"/>
      <c r="G772" s="260"/>
      <c r="H772" s="260"/>
      <c r="I772" s="260"/>
      <c r="J772" s="260"/>
      <c r="K772" s="260"/>
      <c r="L772" s="260"/>
      <c r="M772" s="260"/>
      <c r="N772" s="260"/>
      <c r="O772" s="260"/>
      <c r="P772" s="260"/>
      <c r="Q772" s="260"/>
      <c r="R772" s="260"/>
      <c r="S772" s="260"/>
      <c r="T772" s="260"/>
      <c r="U772" s="260"/>
      <c r="V772" s="260"/>
      <c r="W772" s="260"/>
      <c r="X772" s="260"/>
      <c r="Y772" s="260"/>
      <c r="Z772" s="260"/>
      <c r="AA772" s="260"/>
      <c r="AB772" s="260"/>
      <c r="AC772" s="260"/>
      <c r="AD772" s="260"/>
      <c r="AE772" s="260"/>
      <c r="AF772" s="260"/>
      <c r="AG772" s="260"/>
      <c r="AH772" s="260"/>
      <c r="AI772" s="261"/>
    </row>
    <row r="773" spans="1:35" ht="15" customHeight="1" x14ac:dyDescent="0.45">
      <c r="A773" s="259"/>
      <c r="B773" s="260"/>
      <c r="C773" s="260"/>
      <c r="D773" s="260"/>
      <c r="E773" s="260"/>
      <c r="F773" s="260"/>
      <c r="G773" s="260"/>
      <c r="H773" s="260"/>
      <c r="I773" s="260"/>
      <c r="J773" s="260"/>
      <c r="K773" s="260"/>
      <c r="L773" s="260"/>
      <c r="M773" s="260"/>
      <c r="N773" s="260"/>
      <c r="O773" s="260"/>
      <c r="P773" s="260"/>
      <c r="Q773" s="260"/>
      <c r="R773" s="260"/>
      <c r="S773" s="260"/>
      <c r="T773" s="260"/>
      <c r="U773" s="260"/>
      <c r="V773" s="260"/>
      <c r="W773" s="260"/>
      <c r="X773" s="260"/>
      <c r="Y773" s="260"/>
      <c r="Z773" s="260"/>
      <c r="AA773" s="260"/>
      <c r="AB773" s="260"/>
      <c r="AC773" s="260"/>
      <c r="AD773" s="260"/>
      <c r="AE773" s="260"/>
      <c r="AF773" s="260"/>
      <c r="AG773" s="260"/>
      <c r="AH773" s="260"/>
      <c r="AI773" s="261"/>
    </row>
    <row r="774" spans="1:35" ht="15" customHeight="1" x14ac:dyDescent="0.45">
      <c r="A774" s="259"/>
      <c r="B774" s="260"/>
      <c r="C774" s="260"/>
      <c r="D774" s="260"/>
      <c r="E774" s="260"/>
      <c r="F774" s="260"/>
      <c r="G774" s="260"/>
      <c r="H774" s="260"/>
      <c r="I774" s="260"/>
      <c r="J774" s="260"/>
      <c r="K774" s="260"/>
      <c r="L774" s="260"/>
      <c r="M774" s="260"/>
      <c r="N774" s="260"/>
      <c r="O774" s="260"/>
      <c r="P774" s="260"/>
      <c r="Q774" s="260"/>
      <c r="R774" s="260"/>
      <c r="S774" s="260"/>
      <c r="T774" s="260"/>
      <c r="U774" s="260"/>
      <c r="V774" s="260"/>
      <c r="W774" s="260"/>
      <c r="X774" s="260"/>
      <c r="Y774" s="260"/>
      <c r="Z774" s="260"/>
      <c r="AA774" s="260"/>
      <c r="AB774" s="260"/>
      <c r="AC774" s="260"/>
      <c r="AD774" s="260"/>
      <c r="AE774" s="260"/>
      <c r="AF774" s="260"/>
      <c r="AG774" s="260"/>
      <c r="AH774" s="260"/>
      <c r="AI774" s="261"/>
    </row>
    <row r="775" spans="1:35" ht="15" customHeight="1" x14ac:dyDescent="0.45">
      <c r="A775" s="262"/>
      <c r="B775" s="263"/>
      <c r="C775" s="263"/>
      <c r="D775" s="263"/>
      <c r="E775" s="263"/>
      <c r="F775" s="263"/>
      <c r="G775" s="263"/>
      <c r="H775" s="263"/>
      <c r="I775" s="263"/>
      <c r="J775" s="263"/>
      <c r="K775" s="263"/>
      <c r="L775" s="263"/>
      <c r="M775" s="263"/>
      <c r="N775" s="263"/>
      <c r="O775" s="263"/>
      <c r="P775" s="263"/>
      <c r="Q775" s="263"/>
      <c r="R775" s="263"/>
      <c r="S775" s="263"/>
      <c r="T775" s="263"/>
      <c r="U775" s="263"/>
      <c r="V775" s="263"/>
      <c r="W775" s="263"/>
      <c r="X775" s="263"/>
      <c r="Y775" s="263"/>
      <c r="Z775" s="263"/>
      <c r="AA775" s="263"/>
      <c r="AB775" s="263"/>
      <c r="AC775" s="263"/>
      <c r="AD775" s="263"/>
      <c r="AE775" s="263"/>
      <c r="AF775" s="263"/>
      <c r="AG775" s="263"/>
      <c r="AH775" s="263"/>
      <c r="AI775" s="264"/>
    </row>
    <row r="776" spans="1:35" ht="15" customHeight="1" x14ac:dyDescent="0.45"/>
    <row r="777" spans="1:35" ht="15" customHeight="1" thickBot="1" x14ac:dyDescent="0.5">
      <c r="A777" s="78" t="s">
        <v>98</v>
      </c>
      <c r="B777" s="79"/>
      <c r="C777" s="80"/>
      <c r="D777" s="78" t="s">
        <v>99</v>
      </c>
      <c r="E777" s="79"/>
      <c r="F777" s="79"/>
      <c r="G777" s="79"/>
      <c r="H777" s="79"/>
      <c r="I777" s="79"/>
      <c r="J777" s="79"/>
      <c r="K777" s="79"/>
      <c r="L777" s="79"/>
      <c r="M777" s="79"/>
      <c r="N777" s="79"/>
      <c r="O777" s="79"/>
      <c r="P777" s="79"/>
      <c r="Q777" s="79"/>
      <c r="R777" s="79"/>
      <c r="S777" s="79"/>
      <c r="T777" s="79"/>
      <c r="U777" s="79"/>
      <c r="V777" s="79"/>
      <c r="W777" s="79"/>
      <c r="X777" s="79"/>
      <c r="Y777" s="79"/>
      <c r="Z777" s="79"/>
      <c r="AA777" s="79"/>
      <c r="AB777" s="79"/>
      <c r="AC777" s="80"/>
      <c r="AD777" s="78" t="s">
        <v>100</v>
      </c>
      <c r="AE777" s="79"/>
      <c r="AF777" s="79"/>
      <c r="AG777" s="79"/>
      <c r="AH777" s="79"/>
      <c r="AI777" s="80"/>
    </row>
    <row r="778" spans="1:35" ht="15" customHeight="1" thickTop="1" x14ac:dyDescent="0.45">
      <c r="A778" s="31"/>
      <c r="B778" s="32"/>
      <c r="C778" s="381"/>
      <c r="D778" s="317" t="s">
        <v>345</v>
      </c>
      <c r="E778" s="318"/>
      <c r="F778" s="318"/>
      <c r="G778" s="318"/>
      <c r="H778" s="318"/>
      <c r="I778" s="318"/>
      <c r="J778" s="318"/>
      <c r="K778" s="382"/>
      <c r="L778" s="382"/>
      <c r="M778" s="382"/>
      <c r="N778" s="382"/>
      <c r="O778" s="382"/>
      <c r="P778" s="382"/>
      <c r="Q778" s="18"/>
      <c r="R778" s="18"/>
      <c r="S778" s="18"/>
      <c r="T778" s="18"/>
      <c r="U778" s="18"/>
      <c r="V778" s="18"/>
      <c r="W778" s="18"/>
      <c r="X778" s="18"/>
      <c r="Y778" s="18"/>
      <c r="Z778" s="18"/>
      <c r="AA778" s="18"/>
      <c r="AB778" s="18"/>
      <c r="AC778" s="19"/>
      <c r="AD778" s="395"/>
      <c r="AE778" s="92"/>
      <c r="AF778" s="92"/>
      <c r="AG778" s="92"/>
      <c r="AH778" s="92"/>
      <c r="AI778" s="93"/>
    </row>
    <row r="779" spans="1:35" ht="15" customHeight="1" x14ac:dyDescent="0.45">
      <c r="A779" s="20"/>
      <c r="B779" s="21"/>
      <c r="C779" s="331"/>
      <c r="D779" s="302"/>
      <c r="E779" s="383"/>
      <c r="F779" s="383"/>
      <c r="G779" s="383"/>
      <c r="H779" s="383"/>
      <c r="I779" s="383"/>
      <c r="J779" s="383"/>
      <c r="K779" s="383"/>
      <c r="L779" s="383"/>
      <c r="M779" s="383"/>
      <c r="N779" s="383"/>
      <c r="O779" s="383"/>
      <c r="P779" s="383"/>
      <c r="AC779" s="25"/>
      <c r="AD779" s="396"/>
      <c r="AE779" s="99"/>
      <c r="AF779" s="99"/>
      <c r="AG779" s="99"/>
      <c r="AH779" s="99"/>
      <c r="AI779" s="100"/>
    </row>
    <row r="780" spans="1:35" ht="15" customHeight="1" x14ac:dyDescent="0.45">
      <c r="A780" s="46"/>
      <c r="B780" s="47"/>
      <c r="C780" s="384"/>
      <c r="D780" s="302"/>
      <c r="E780" s="6"/>
      <c r="F780" s="6"/>
      <c r="AC780" s="290"/>
      <c r="AD780" s="143"/>
      <c r="AE780" s="103"/>
      <c r="AF780" s="103"/>
      <c r="AG780" s="103"/>
      <c r="AH780" s="103"/>
      <c r="AI780" s="104"/>
    </row>
    <row r="781" spans="1:35" ht="15" customHeight="1" x14ac:dyDescent="0.45">
      <c r="A781" s="164" t="s">
        <v>180</v>
      </c>
      <c r="B781" s="165"/>
      <c r="C781" s="166"/>
      <c r="D781" s="86" t="s">
        <v>326</v>
      </c>
      <c r="E781" s="87"/>
      <c r="F781" s="87"/>
      <c r="G781" s="87"/>
      <c r="H781" s="87"/>
      <c r="I781" s="18"/>
      <c r="J781" s="18"/>
      <c r="K781" s="18"/>
      <c r="L781" s="18"/>
      <c r="M781" s="18"/>
      <c r="N781" s="18"/>
      <c r="O781" s="18"/>
      <c r="P781" s="18"/>
      <c r="Q781" s="18"/>
      <c r="R781" s="18"/>
      <c r="S781" s="18"/>
      <c r="T781" s="18"/>
      <c r="U781" s="18"/>
      <c r="V781" s="18"/>
      <c r="W781" s="18"/>
      <c r="X781" s="18"/>
      <c r="Y781" s="18"/>
      <c r="Z781" s="18"/>
      <c r="AA781" s="18"/>
      <c r="AB781" s="18"/>
      <c r="AC781" s="19"/>
      <c r="AD781" s="147" t="s">
        <v>346</v>
      </c>
      <c r="AE781" s="148"/>
      <c r="AF781" s="148"/>
      <c r="AG781" s="148"/>
      <c r="AH781" s="148"/>
      <c r="AI781" s="201"/>
    </row>
    <row r="782" spans="1:35" ht="15" customHeight="1" x14ac:dyDescent="0.45">
      <c r="A782" s="159"/>
      <c r="B782" s="160"/>
      <c r="C782" s="161"/>
      <c r="D782" s="279" t="str">
        <f>V$1 &amp; " Road Approach"</f>
        <v>N Road Approach</v>
      </c>
      <c r="E782" s="111"/>
      <c r="F782" s="111"/>
      <c r="G782" s="111"/>
      <c r="H782" s="111"/>
      <c r="I782" s="111"/>
      <c r="J782" s="48"/>
      <c r="K782" s="48"/>
      <c r="L782" s="48"/>
      <c r="M782" s="48"/>
      <c r="N782" s="48"/>
      <c r="P782" s="111" t="str">
        <f>Z$1 &amp; " Road Approach"</f>
        <v>S Road Approach</v>
      </c>
      <c r="Q782" s="111"/>
      <c r="R782" s="111"/>
      <c r="S782" s="111"/>
      <c r="T782" s="111"/>
      <c r="U782" s="48"/>
      <c r="V782" s="48"/>
      <c r="W782" s="48"/>
      <c r="X782" s="48"/>
      <c r="Y782" s="48"/>
      <c r="Z782" s="110"/>
      <c r="AA782" s="110"/>
      <c r="AB782" s="110"/>
      <c r="AC782" s="113"/>
      <c r="AD782" s="154"/>
      <c r="AE782" s="155"/>
      <c r="AF782" s="155"/>
      <c r="AG782" s="155"/>
      <c r="AH782" s="155"/>
      <c r="AI782" s="194"/>
    </row>
    <row r="783" spans="1:35" ht="15" customHeight="1" x14ac:dyDescent="0.45">
      <c r="A783" s="326" t="s">
        <v>155</v>
      </c>
      <c r="B783" s="327"/>
      <c r="C783" s="328"/>
      <c r="D783" s="86" t="s">
        <v>347</v>
      </c>
      <c r="E783" s="87"/>
      <c r="F783" s="87"/>
      <c r="G783" s="87"/>
      <c r="H783" s="87"/>
      <c r="I783" s="18"/>
      <c r="J783" s="18"/>
      <c r="K783" s="18"/>
      <c r="L783" s="18"/>
      <c r="M783" s="18"/>
      <c r="N783" s="18"/>
      <c r="O783" s="18"/>
      <c r="P783" s="18"/>
      <c r="Q783" s="18"/>
      <c r="R783" s="18"/>
      <c r="S783" s="18"/>
      <c r="T783" s="18"/>
      <c r="U783" s="18"/>
      <c r="V783" s="18"/>
      <c r="W783" s="18"/>
      <c r="X783" s="18"/>
      <c r="Y783" s="18"/>
      <c r="Z783" s="18"/>
      <c r="AA783" s="18"/>
      <c r="AB783" s="18"/>
      <c r="AC783" s="19"/>
      <c r="AD783" s="147" t="s">
        <v>346</v>
      </c>
      <c r="AE783" s="148"/>
      <c r="AF783" s="148"/>
      <c r="AG783" s="148"/>
      <c r="AH783" s="148"/>
      <c r="AI783" s="201"/>
    </row>
    <row r="784" spans="1:35" ht="15" customHeight="1" x14ac:dyDescent="0.45">
      <c r="A784" s="372"/>
      <c r="B784" s="373"/>
      <c r="C784" s="374"/>
      <c r="D784" s="279" t="str">
        <f>V$1 &amp; " Road Approach"</f>
        <v>N Road Approach</v>
      </c>
      <c r="E784" s="111"/>
      <c r="F784" s="111"/>
      <c r="G784" s="111"/>
      <c r="H784" s="111"/>
      <c r="I784" s="111"/>
      <c r="J784" s="112" t="str">
        <f>IF(ISBLANK(General_Info_Rail_No_Tracks_Total),"No Value",IF(General_Info_Rail_No_Tracks_Total&gt;=2,"Yes","No"))</f>
        <v>No Value</v>
      </c>
      <c r="K784" s="112"/>
      <c r="L784" s="112"/>
      <c r="M784" s="112"/>
      <c r="N784" s="112"/>
      <c r="P784" s="111" t="str">
        <f>Z$1 &amp; " Road Approach"</f>
        <v>S Road Approach</v>
      </c>
      <c r="Q784" s="111"/>
      <c r="R784" s="111"/>
      <c r="S784" s="111"/>
      <c r="T784" s="111"/>
      <c r="U784" s="112" t="str">
        <f>IF(ISBLANK(General_Info_Rail_No_Tracks_Total),"No Value",IF(General_Info_Rail_No_Tracks_Total&gt;=2,"Yes","No"))</f>
        <v>No Value</v>
      </c>
      <c r="V784" s="112"/>
      <c r="W784" s="112"/>
      <c r="X784" s="112"/>
      <c r="Y784" s="112"/>
      <c r="Z784" s="110"/>
      <c r="AA784" s="110"/>
      <c r="AB784" s="110"/>
      <c r="AC784" s="113"/>
      <c r="AD784" s="154"/>
      <c r="AE784" s="155"/>
      <c r="AF784" s="155"/>
      <c r="AG784" s="155"/>
      <c r="AH784" s="155"/>
      <c r="AI784" s="194"/>
    </row>
    <row r="785" spans="1:35" ht="15" customHeight="1" x14ac:dyDescent="0.45">
      <c r="A785" s="164" t="s">
        <v>180</v>
      </c>
      <c r="B785" s="165"/>
      <c r="C785" s="166"/>
      <c r="D785" s="86" t="s">
        <v>348</v>
      </c>
      <c r="E785" s="87"/>
      <c r="F785" s="87"/>
      <c r="G785" s="87"/>
      <c r="H785" s="87"/>
      <c r="I785" s="87"/>
      <c r="J785" s="87"/>
      <c r="K785" s="87"/>
      <c r="L785" s="87"/>
      <c r="M785" s="87"/>
      <c r="N785" s="18"/>
      <c r="O785" s="18"/>
      <c r="P785" s="18"/>
      <c r="Q785" s="18"/>
      <c r="R785" s="18"/>
      <c r="S785" s="18"/>
      <c r="T785" s="18"/>
      <c r="U785" s="18"/>
      <c r="V785" s="18"/>
      <c r="W785" s="18"/>
      <c r="X785" s="18"/>
      <c r="Y785" s="18"/>
      <c r="Z785" s="18"/>
      <c r="AA785" s="18"/>
      <c r="AB785" s="18"/>
      <c r="AC785" s="19"/>
      <c r="AD785" s="147" t="s">
        <v>329</v>
      </c>
      <c r="AE785" s="148"/>
      <c r="AF785" s="148"/>
      <c r="AG785" s="148"/>
      <c r="AH785" s="148"/>
      <c r="AI785" s="201"/>
    </row>
    <row r="786" spans="1:35" ht="15" customHeight="1" x14ac:dyDescent="0.45">
      <c r="A786" s="159"/>
      <c r="B786" s="160"/>
      <c r="C786" s="161"/>
      <c r="D786" s="279" t="str">
        <f>V$1 &amp; " Road Approach"</f>
        <v>N Road Approach</v>
      </c>
      <c r="E786" s="111"/>
      <c r="F786" s="111"/>
      <c r="G786" s="111"/>
      <c r="J786" s="48"/>
      <c r="K786" s="48"/>
      <c r="L786" s="48"/>
      <c r="M786" s="48"/>
      <c r="N786" s="48"/>
      <c r="P786" s="111" t="str">
        <f>Z$1 &amp; " Road Approach"</f>
        <v>S Road Approach</v>
      </c>
      <c r="Q786" s="111"/>
      <c r="R786" s="111"/>
      <c r="S786" s="111"/>
      <c r="T786" s="111"/>
      <c r="U786" s="48"/>
      <c r="V786" s="48"/>
      <c r="W786" s="48"/>
      <c r="X786" s="48"/>
      <c r="Y786" s="48"/>
      <c r="Z786" s="110"/>
      <c r="AA786" s="110"/>
      <c r="AB786" s="110"/>
      <c r="AC786" s="113"/>
      <c r="AD786" s="154"/>
      <c r="AE786" s="155"/>
      <c r="AF786" s="155"/>
      <c r="AG786" s="155"/>
      <c r="AH786" s="155"/>
      <c r="AI786" s="194"/>
    </row>
    <row r="787" spans="1:35" ht="15" customHeight="1" x14ac:dyDescent="0.45">
      <c r="A787" s="164" t="s">
        <v>180</v>
      </c>
      <c r="B787" s="165"/>
      <c r="C787" s="166"/>
      <c r="D787" s="86" t="s">
        <v>349</v>
      </c>
      <c r="E787" s="87"/>
      <c r="F787" s="87"/>
      <c r="G787" s="87"/>
      <c r="H787" s="87"/>
      <c r="I787" s="87"/>
      <c r="J787" s="87"/>
      <c r="K787" s="87"/>
      <c r="L787" s="87"/>
      <c r="M787" s="87"/>
      <c r="N787" s="87"/>
      <c r="O787" s="87"/>
      <c r="P787" s="87"/>
      <c r="Q787" s="87"/>
      <c r="R787" s="87"/>
      <c r="S787" s="87"/>
      <c r="T787" s="87"/>
      <c r="U787" s="87"/>
      <c r="V787" s="87"/>
      <c r="W787" s="87"/>
      <c r="X787" s="87"/>
      <c r="Y787" s="87"/>
      <c r="Z787" s="87"/>
      <c r="AA787" s="87"/>
      <c r="AB787" s="87"/>
      <c r="AC787" s="19"/>
      <c r="AD787" s="147" t="s">
        <v>350</v>
      </c>
      <c r="AE787" s="148"/>
      <c r="AF787" s="148"/>
      <c r="AG787" s="148"/>
      <c r="AH787" s="148"/>
      <c r="AI787" s="201"/>
    </row>
    <row r="788" spans="1:35" ht="15" customHeight="1" x14ac:dyDescent="0.45">
      <c r="A788" s="159"/>
      <c r="B788" s="160"/>
      <c r="C788" s="161"/>
      <c r="D788" s="279" t="str">
        <f>V$1 &amp; " Road Approach"</f>
        <v>N Road Approach</v>
      </c>
      <c r="E788" s="111"/>
      <c r="F788" s="111"/>
      <c r="G788" s="111"/>
      <c r="H788" s="111"/>
      <c r="I788" s="111"/>
      <c r="J788" s="48"/>
      <c r="K788" s="48"/>
      <c r="L788" s="48"/>
      <c r="M788" s="48"/>
      <c r="N788" s="48"/>
      <c r="P788" s="111" t="str">
        <f>Z$1 &amp; " Road Approach"</f>
        <v>S Road Approach</v>
      </c>
      <c r="Q788" s="111"/>
      <c r="R788" s="111"/>
      <c r="S788" s="111"/>
      <c r="T788" s="111"/>
      <c r="U788" s="48"/>
      <c r="V788" s="48"/>
      <c r="W788" s="48"/>
      <c r="X788" s="48"/>
      <c r="Y788" s="48"/>
      <c r="Z788" s="110"/>
      <c r="AA788" s="110"/>
      <c r="AB788" s="110"/>
      <c r="AC788" s="113"/>
      <c r="AD788" s="154"/>
      <c r="AE788" s="155"/>
      <c r="AF788" s="155"/>
      <c r="AG788" s="155"/>
      <c r="AH788" s="155"/>
      <c r="AI788" s="194"/>
    </row>
    <row r="789" spans="1:35" ht="15" customHeight="1" x14ac:dyDescent="0.45">
      <c r="A789" s="176" t="s">
        <v>208</v>
      </c>
      <c r="B789" s="177"/>
      <c r="C789" s="177"/>
      <c r="D789" s="177"/>
      <c r="E789" s="177"/>
      <c r="F789" s="177"/>
      <c r="G789" s="177"/>
      <c r="H789" s="177"/>
      <c r="I789" s="177"/>
      <c r="J789" s="177"/>
      <c r="K789" s="177"/>
      <c r="L789" s="177"/>
      <c r="M789" s="177"/>
      <c r="N789" s="177"/>
      <c r="O789" s="177"/>
      <c r="P789" s="177"/>
      <c r="Q789" s="177"/>
      <c r="R789" s="177"/>
      <c r="S789" s="177"/>
      <c r="T789" s="177"/>
      <c r="U789" s="177"/>
      <c r="V789" s="177"/>
      <c r="W789" s="177"/>
      <c r="X789" s="177"/>
      <c r="Y789" s="177"/>
      <c r="Z789" s="177"/>
      <c r="AA789" s="177"/>
      <c r="AB789" s="177"/>
      <c r="AC789" s="177"/>
      <c r="AD789" s="177"/>
      <c r="AE789" s="177"/>
      <c r="AF789" s="177"/>
      <c r="AG789" s="177"/>
      <c r="AH789" s="177"/>
      <c r="AI789" s="178"/>
    </row>
    <row r="790" spans="1:35" ht="15" customHeight="1" x14ac:dyDescent="0.45">
      <c r="A790" s="256"/>
      <c r="B790" s="257"/>
      <c r="C790" s="257"/>
      <c r="D790" s="257"/>
      <c r="E790" s="257"/>
      <c r="F790" s="257"/>
      <c r="G790" s="257"/>
      <c r="H790" s="257"/>
      <c r="I790" s="257"/>
      <c r="J790" s="257"/>
      <c r="K790" s="257"/>
      <c r="L790" s="257"/>
      <c r="M790" s="257"/>
      <c r="N790" s="257"/>
      <c r="O790" s="257"/>
      <c r="P790" s="257"/>
      <c r="Q790" s="257"/>
      <c r="R790" s="257"/>
      <c r="S790" s="257"/>
      <c r="T790" s="257"/>
      <c r="U790" s="257"/>
      <c r="V790" s="257"/>
      <c r="W790" s="257"/>
      <c r="X790" s="257"/>
      <c r="Y790" s="257"/>
      <c r="Z790" s="257"/>
      <c r="AA790" s="257"/>
      <c r="AB790" s="257"/>
      <c r="AC790" s="257"/>
      <c r="AD790" s="257"/>
      <c r="AE790" s="257"/>
      <c r="AF790" s="257"/>
      <c r="AG790" s="257"/>
      <c r="AH790" s="257"/>
      <c r="AI790" s="258"/>
    </row>
    <row r="791" spans="1:35" ht="15" customHeight="1" x14ac:dyDescent="0.45">
      <c r="A791" s="259"/>
      <c r="B791" s="260"/>
      <c r="C791" s="260"/>
      <c r="D791" s="260"/>
      <c r="E791" s="260"/>
      <c r="F791" s="260"/>
      <c r="G791" s="260"/>
      <c r="H791" s="260"/>
      <c r="I791" s="260"/>
      <c r="J791" s="260"/>
      <c r="K791" s="260"/>
      <c r="L791" s="260"/>
      <c r="M791" s="260"/>
      <c r="N791" s="260"/>
      <c r="O791" s="260"/>
      <c r="P791" s="260"/>
      <c r="Q791" s="260"/>
      <c r="R791" s="260"/>
      <c r="S791" s="260"/>
      <c r="T791" s="260"/>
      <c r="U791" s="260"/>
      <c r="V791" s="260"/>
      <c r="W791" s="260"/>
      <c r="X791" s="260"/>
      <c r="Y791" s="260"/>
      <c r="Z791" s="260"/>
      <c r="AA791" s="260"/>
      <c r="AB791" s="260"/>
      <c r="AC791" s="260"/>
      <c r="AD791" s="260"/>
      <c r="AE791" s="260"/>
      <c r="AF791" s="260"/>
      <c r="AG791" s="260"/>
      <c r="AH791" s="260"/>
      <c r="AI791" s="261"/>
    </row>
    <row r="792" spans="1:35" ht="15" customHeight="1" x14ac:dyDescent="0.45">
      <c r="A792" s="259"/>
      <c r="B792" s="260"/>
      <c r="C792" s="260"/>
      <c r="D792" s="260"/>
      <c r="E792" s="260"/>
      <c r="F792" s="260"/>
      <c r="G792" s="260"/>
      <c r="H792" s="260"/>
      <c r="I792" s="260"/>
      <c r="J792" s="260"/>
      <c r="K792" s="260"/>
      <c r="L792" s="260"/>
      <c r="M792" s="260"/>
      <c r="N792" s="260"/>
      <c r="O792" s="260"/>
      <c r="P792" s="260"/>
      <c r="Q792" s="260"/>
      <c r="R792" s="260"/>
      <c r="S792" s="260"/>
      <c r="T792" s="260"/>
      <c r="U792" s="260"/>
      <c r="V792" s="260"/>
      <c r="W792" s="260"/>
      <c r="X792" s="260"/>
      <c r="Y792" s="260"/>
      <c r="Z792" s="260"/>
      <c r="AA792" s="260"/>
      <c r="AB792" s="260"/>
      <c r="AC792" s="260"/>
      <c r="AD792" s="260"/>
      <c r="AE792" s="260"/>
      <c r="AF792" s="260"/>
      <c r="AG792" s="260"/>
      <c r="AH792" s="260"/>
      <c r="AI792" s="261"/>
    </row>
    <row r="793" spans="1:35" ht="15" customHeight="1" x14ac:dyDescent="0.45">
      <c r="A793" s="259"/>
      <c r="B793" s="260"/>
      <c r="C793" s="260"/>
      <c r="D793" s="260"/>
      <c r="E793" s="260"/>
      <c r="F793" s="260"/>
      <c r="G793" s="260"/>
      <c r="H793" s="260"/>
      <c r="I793" s="260"/>
      <c r="J793" s="260"/>
      <c r="K793" s="260"/>
      <c r="L793" s="260"/>
      <c r="M793" s="260"/>
      <c r="N793" s="260"/>
      <c r="O793" s="260"/>
      <c r="P793" s="260"/>
      <c r="Q793" s="260"/>
      <c r="R793" s="260"/>
      <c r="S793" s="260"/>
      <c r="T793" s="260"/>
      <c r="U793" s="260"/>
      <c r="V793" s="260"/>
      <c r="W793" s="260"/>
      <c r="X793" s="260"/>
      <c r="Y793" s="260"/>
      <c r="Z793" s="260"/>
      <c r="AA793" s="260"/>
      <c r="AB793" s="260"/>
      <c r="AC793" s="260"/>
      <c r="AD793" s="260"/>
      <c r="AE793" s="260"/>
      <c r="AF793" s="260"/>
      <c r="AG793" s="260"/>
      <c r="AH793" s="260"/>
      <c r="AI793" s="261"/>
    </row>
    <row r="794" spans="1:35" ht="15" customHeight="1" x14ac:dyDescent="0.45">
      <c r="A794" s="259"/>
      <c r="B794" s="260"/>
      <c r="C794" s="260"/>
      <c r="D794" s="260"/>
      <c r="E794" s="260"/>
      <c r="F794" s="260"/>
      <c r="G794" s="260"/>
      <c r="H794" s="260"/>
      <c r="I794" s="260"/>
      <c r="J794" s="260"/>
      <c r="K794" s="260"/>
      <c r="L794" s="260"/>
      <c r="M794" s="260"/>
      <c r="N794" s="260"/>
      <c r="O794" s="260"/>
      <c r="P794" s="260"/>
      <c r="Q794" s="260"/>
      <c r="R794" s="260"/>
      <c r="S794" s="260"/>
      <c r="T794" s="260"/>
      <c r="U794" s="260"/>
      <c r="V794" s="260"/>
      <c r="W794" s="260"/>
      <c r="X794" s="260"/>
      <c r="Y794" s="260"/>
      <c r="Z794" s="260"/>
      <c r="AA794" s="260"/>
      <c r="AB794" s="260"/>
      <c r="AC794" s="260"/>
      <c r="AD794" s="260"/>
      <c r="AE794" s="260"/>
      <c r="AF794" s="260"/>
      <c r="AG794" s="260"/>
      <c r="AH794" s="260"/>
      <c r="AI794" s="261"/>
    </row>
    <row r="795" spans="1:35" ht="15" customHeight="1" x14ac:dyDescent="0.45">
      <c r="A795" s="259"/>
      <c r="B795" s="260"/>
      <c r="C795" s="260"/>
      <c r="D795" s="260"/>
      <c r="E795" s="260"/>
      <c r="F795" s="260"/>
      <c r="G795" s="260"/>
      <c r="H795" s="260"/>
      <c r="I795" s="260"/>
      <c r="J795" s="260"/>
      <c r="K795" s="260"/>
      <c r="L795" s="260"/>
      <c r="M795" s="260"/>
      <c r="N795" s="260"/>
      <c r="O795" s="260"/>
      <c r="P795" s="260"/>
      <c r="Q795" s="260"/>
      <c r="R795" s="260"/>
      <c r="S795" s="260"/>
      <c r="T795" s="260"/>
      <c r="U795" s="260"/>
      <c r="V795" s="260"/>
      <c r="W795" s="260"/>
      <c r="X795" s="260"/>
      <c r="Y795" s="260"/>
      <c r="Z795" s="260"/>
      <c r="AA795" s="260"/>
      <c r="AB795" s="260"/>
      <c r="AC795" s="260"/>
      <c r="AD795" s="260"/>
      <c r="AE795" s="260"/>
      <c r="AF795" s="260"/>
      <c r="AG795" s="260"/>
      <c r="AH795" s="260"/>
      <c r="AI795" s="261"/>
    </row>
    <row r="796" spans="1:35" ht="15" customHeight="1" x14ac:dyDescent="0.45">
      <c r="A796" s="259"/>
      <c r="B796" s="260"/>
      <c r="C796" s="260"/>
      <c r="D796" s="260"/>
      <c r="E796" s="260"/>
      <c r="F796" s="260"/>
      <c r="G796" s="260"/>
      <c r="H796" s="260"/>
      <c r="I796" s="260"/>
      <c r="J796" s="260"/>
      <c r="K796" s="260"/>
      <c r="L796" s="260"/>
      <c r="M796" s="260"/>
      <c r="N796" s="260"/>
      <c r="O796" s="260"/>
      <c r="P796" s="260"/>
      <c r="Q796" s="260"/>
      <c r="R796" s="260"/>
      <c r="S796" s="260"/>
      <c r="T796" s="260"/>
      <c r="U796" s="260"/>
      <c r="V796" s="260"/>
      <c r="W796" s="260"/>
      <c r="X796" s="260"/>
      <c r="Y796" s="260"/>
      <c r="Z796" s="260"/>
      <c r="AA796" s="260"/>
      <c r="AB796" s="260"/>
      <c r="AC796" s="260"/>
      <c r="AD796" s="260"/>
      <c r="AE796" s="260"/>
      <c r="AF796" s="260"/>
      <c r="AG796" s="260"/>
      <c r="AH796" s="260"/>
      <c r="AI796" s="261"/>
    </row>
    <row r="797" spans="1:35" ht="15" customHeight="1" x14ac:dyDescent="0.45">
      <c r="A797" s="259"/>
      <c r="B797" s="260"/>
      <c r="C797" s="260"/>
      <c r="D797" s="260"/>
      <c r="E797" s="260"/>
      <c r="F797" s="260"/>
      <c r="G797" s="260"/>
      <c r="H797" s="260"/>
      <c r="I797" s="260"/>
      <c r="J797" s="260"/>
      <c r="K797" s="260"/>
      <c r="L797" s="260"/>
      <c r="M797" s="260"/>
      <c r="N797" s="260"/>
      <c r="O797" s="260"/>
      <c r="P797" s="260"/>
      <c r="Q797" s="260"/>
      <c r="R797" s="260"/>
      <c r="S797" s="260"/>
      <c r="T797" s="260"/>
      <c r="U797" s="260"/>
      <c r="V797" s="260"/>
      <c r="W797" s="260"/>
      <c r="X797" s="260"/>
      <c r="Y797" s="260"/>
      <c r="Z797" s="260"/>
      <c r="AA797" s="260"/>
      <c r="AB797" s="260"/>
      <c r="AC797" s="260"/>
      <c r="AD797" s="260"/>
      <c r="AE797" s="260"/>
      <c r="AF797" s="260"/>
      <c r="AG797" s="260"/>
      <c r="AH797" s="260"/>
      <c r="AI797" s="261"/>
    </row>
    <row r="798" spans="1:35" ht="15" customHeight="1" x14ac:dyDescent="0.45">
      <c r="A798" s="259"/>
      <c r="B798" s="260"/>
      <c r="C798" s="260"/>
      <c r="D798" s="260"/>
      <c r="E798" s="260"/>
      <c r="F798" s="260"/>
      <c r="G798" s="260"/>
      <c r="H798" s="260"/>
      <c r="I798" s="260"/>
      <c r="J798" s="260"/>
      <c r="K798" s="260"/>
      <c r="L798" s="260"/>
      <c r="M798" s="260"/>
      <c r="N798" s="260"/>
      <c r="O798" s="260"/>
      <c r="P798" s="260"/>
      <c r="Q798" s="260"/>
      <c r="R798" s="260"/>
      <c r="S798" s="260"/>
      <c r="T798" s="260"/>
      <c r="U798" s="260"/>
      <c r="V798" s="260"/>
      <c r="W798" s="260"/>
      <c r="X798" s="260"/>
      <c r="Y798" s="260"/>
      <c r="Z798" s="260"/>
      <c r="AA798" s="260"/>
      <c r="AB798" s="260"/>
      <c r="AC798" s="260"/>
      <c r="AD798" s="260"/>
      <c r="AE798" s="260"/>
      <c r="AF798" s="260"/>
      <c r="AG798" s="260"/>
      <c r="AH798" s="260"/>
      <c r="AI798" s="261"/>
    </row>
    <row r="799" spans="1:35" ht="15" customHeight="1" x14ac:dyDescent="0.45">
      <c r="A799" s="259"/>
      <c r="B799" s="260"/>
      <c r="C799" s="260"/>
      <c r="D799" s="260"/>
      <c r="E799" s="260"/>
      <c r="F799" s="260"/>
      <c r="G799" s="260"/>
      <c r="H799" s="260"/>
      <c r="I799" s="260"/>
      <c r="J799" s="260"/>
      <c r="K799" s="260"/>
      <c r="L799" s="260"/>
      <c r="M799" s="260"/>
      <c r="N799" s="260"/>
      <c r="O799" s="260"/>
      <c r="P799" s="260"/>
      <c r="Q799" s="260"/>
      <c r="R799" s="260"/>
      <c r="S799" s="260"/>
      <c r="T799" s="260"/>
      <c r="U799" s="260"/>
      <c r="V799" s="260"/>
      <c r="W799" s="260"/>
      <c r="X799" s="260"/>
      <c r="Y799" s="260"/>
      <c r="Z799" s="260"/>
      <c r="AA799" s="260"/>
      <c r="AB799" s="260"/>
      <c r="AC799" s="260"/>
      <c r="AD799" s="260"/>
      <c r="AE799" s="260"/>
      <c r="AF799" s="260"/>
      <c r="AG799" s="260"/>
      <c r="AH799" s="260"/>
      <c r="AI799" s="261"/>
    </row>
    <row r="800" spans="1:35" ht="15" customHeight="1" x14ac:dyDescent="0.45">
      <c r="A800" s="262"/>
      <c r="B800" s="263"/>
      <c r="C800" s="263"/>
      <c r="D800" s="263"/>
      <c r="E800" s="263"/>
      <c r="F800" s="263"/>
      <c r="G800" s="263"/>
      <c r="H800" s="263"/>
      <c r="I800" s="263"/>
      <c r="J800" s="263"/>
      <c r="K800" s="263"/>
      <c r="L800" s="263"/>
      <c r="M800" s="263"/>
      <c r="N800" s="263"/>
      <c r="O800" s="263"/>
      <c r="P800" s="263"/>
      <c r="Q800" s="263"/>
      <c r="R800" s="263"/>
      <c r="S800" s="263"/>
      <c r="T800" s="263"/>
      <c r="U800" s="263"/>
      <c r="V800" s="263"/>
      <c r="W800" s="263"/>
      <c r="X800" s="263"/>
      <c r="Y800" s="263"/>
      <c r="Z800" s="263"/>
      <c r="AA800" s="263"/>
      <c r="AB800" s="263"/>
      <c r="AC800" s="263"/>
      <c r="AD800" s="263"/>
      <c r="AE800" s="263"/>
      <c r="AF800" s="263"/>
      <c r="AG800" s="263"/>
      <c r="AH800" s="263"/>
      <c r="AI800" s="264"/>
    </row>
    <row r="801" spans="1:35" ht="15" customHeight="1" x14ac:dyDescent="0.45"/>
    <row r="802" spans="1:35" ht="15" customHeight="1" x14ac:dyDescent="0.45">
      <c r="A802" s="14" t="s">
        <v>318</v>
      </c>
      <c r="B802" s="14"/>
      <c r="C802" s="14"/>
      <c r="D802" s="14"/>
      <c r="E802" s="14"/>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66"/>
      <c r="AD802" s="66"/>
      <c r="AE802" s="66"/>
      <c r="AF802" s="66"/>
      <c r="AG802" s="66"/>
      <c r="AH802" s="66"/>
      <c r="AI802" s="66"/>
    </row>
    <row r="803" spans="1:35" ht="15" customHeight="1" x14ac:dyDescent="0.45"/>
    <row r="804" spans="1:35" ht="15" customHeight="1" x14ac:dyDescent="0.45"/>
    <row r="805" spans="1:35" ht="15" customHeight="1" x14ac:dyDescent="0.45"/>
    <row r="806" spans="1:35" ht="15" customHeight="1" x14ac:dyDescent="0.45"/>
    <row r="807" spans="1:35" ht="15" customHeight="1" x14ac:dyDescent="0.45"/>
    <row r="808" spans="1:35" ht="15" customHeight="1" x14ac:dyDescent="0.45"/>
    <row r="809" spans="1:35" ht="15" customHeight="1" x14ac:dyDescent="0.45"/>
    <row r="810" spans="1:35" ht="15" customHeight="1" x14ac:dyDescent="0.45"/>
    <row r="811" spans="1:35" ht="15" customHeight="1" x14ac:dyDescent="0.45"/>
    <row r="812" spans="1:35" ht="15" customHeight="1" x14ac:dyDescent="0.45"/>
    <row r="813" spans="1:35" ht="15" customHeight="1" x14ac:dyDescent="0.45"/>
    <row r="814" spans="1:35" ht="15" customHeight="1" x14ac:dyDescent="0.45"/>
    <row r="815" spans="1:35" ht="15" customHeight="1" x14ac:dyDescent="0.45"/>
    <row r="816" spans="1:35" ht="15" customHeight="1" x14ac:dyDescent="0.45"/>
    <row r="817" ht="15" customHeight="1" x14ac:dyDescent="0.45"/>
    <row r="818" ht="15" customHeight="1" x14ac:dyDescent="0.45"/>
    <row r="819" ht="15" customHeight="1" x14ac:dyDescent="0.45"/>
    <row r="820" ht="15" customHeight="1" x14ac:dyDescent="0.45"/>
    <row r="821" ht="15" customHeight="1" x14ac:dyDescent="0.45"/>
    <row r="822" ht="15" customHeight="1" x14ac:dyDescent="0.45"/>
    <row r="823" ht="15" customHeight="1" x14ac:dyDescent="0.45"/>
    <row r="824" ht="15" customHeight="1" x14ac:dyDescent="0.45"/>
    <row r="825" ht="15" customHeight="1" x14ac:dyDescent="0.45"/>
    <row r="826" ht="15" customHeight="1" x14ac:dyDescent="0.45"/>
    <row r="827" ht="15" customHeight="1" x14ac:dyDescent="0.45"/>
    <row r="828" ht="15" customHeight="1" x14ac:dyDescent="0.45"/>
    <row r="829" ht="15" customHeight="1" x14ac:dyDescent="0.45"/>
    <row r="830" ht="15" customHeight="1" x14ac:dyDescent="0.45"/>
    <row r="831" ht="15" customHeight="1" x14ac:dyDescent="0.45"/>
    <row r="832" ht="15" customHeight="1" x14ac:dyDescent="0.45"/>
    <row r="833" ht="15" customHeight="1" x14ac:dyDescent="0.45"/>
    <row r="834" ht="15" customHeight="1" x14ac:dyDescent="0.45"/>
    <row r="835" ht="15" customHeight="1" x14ac:dyDescent="0.45"/>
    <row r="836" ht="15" customHeight="1" x14ac:dyDescent="0.45"/>
    <row r="837" ht="15" customHeight="1" x14ac:dyDescent="0.45"/>
    <row r="838" ht="15" customHeight="1" x14ac:dyDescent="0.45"/>
    <row r="839" ht="15" customHeight="1" x14ac:dyDescent="0.45"/>
    <row r="840" ht="15" customHeight="1" x14ac:dyDescent="0.45"/>
    <row r="841" ht="15" customHeight="1" x14ac:dyDescent="0.45"/>
    <row r="842" ht="15" customHeight="1" x14ac:dyDescent="0.45"/>
    <row r="843" ht="15" customHeight="1" x14ac:dyDescent="0.45"/>
    <row r="844" ht="15" customHeight="1" x14ac:dyDescent="0.45"/>
    <row r="845" ht="15" customHeight="1" x14ac:dyDescent="0.45"/>
    <row r="846" ht="15" customHeight="1" x14ac:dyDescent="0.45"/>
    <row r="847" ht="15" customHeight="1" x14ac:dyDescent="0.45"/>
    <row r="848" ht="15" customHeight="1" x14ac:dyDescent="0.45"/>
    <row r="849" spans="1:35" ht="15" customHeight="1" x14ac:dyDescent="0.45"/>
    <row r="850" spans="1:35" ht="15" customHeight="1" x14ac:dyDescent="0.45"/>
    <row r="851" spans="1:35" ht="15" customHeight="1" x14ac:dyDescent="0.45">
      <c r="A851" s="14" t="s">
        <v>351</v>
      </c>
      <c r="B851" s="14"/>
      <c r="C851" s="14"/>
      <c r="D851" s="14"/>
      <c r="E851" s="14"/>
      <c r="F851" s="15" t="s">
        <v>323</v>
      </c>
      <c r="G851" s="15"/>
      <c r="H851" s="15"/>
      <c r="I851" s="15"/>
      <c r="J851" s="15"/>
      <c r="K851" s="15"/>
      <c r="L851" s="15"/>
      <c r="M851" s="15"/>
      <c r="N851" s="15"/>
      <c r="O851" s="15"/>
      <c r="P851" s="15"/>
      <c r="Q851" s="15"/>
      <c r="R851" s="15"/>
      <c r="S851" s="15"/>
      <c r="T851" s="15"/>
      <c r="U851" s="15"/>
      <c r="V851" s="15"/>
      <c r="W851" s="15"/>
      <c r="X851" s="15"/>
      <c r="Y851" s="15"/>
      <c r="Z851" s="15"/>
      <c r="AA851" s="15"/>
      <c r="AB851" s="15"/>
      <c r="AC851" s="66" t="s">
        <v>318</v>
      </c>
      <c r="AD851" s="66"/>
      <c r="AE851" s="66"/>
      <c r="AF851" s="66"/>
      <c r="AG851" s="66"/>
      <c r="AH851" s="66"/>
      <c r="AI851" s="66"/>
    </row>
    <row r="852" spans="1:35" ht="15" customHeight="1" x14ac:dyDescent="0.45"/>
    <row r="853" spans="1:35" ht="15" customHeight="1" thickBot="1" x14ac:dyDescent="0.5">
      <c r="A853" s="78" t="s">
        <v>98</v>
      </c>
      <c r="B853" s="79"/>
      <c r="C853" s="80"/>
      <c r="D853" s="78" t="s">
        <v>99</v>
      </c>
      <c r="E853" s="79"/>
      <c r="F853" s="79"/>
      <c r="G853" s="79"/>
      <c r="H853" s="79"/>
      <c r="I853" s="79"/>
      <c r="J853" s="79"/>
      <c r="K853" s="79"/>
      <c r="L853" s="79"/>
      <c r="M853" s="79"/>
      <c r="N853" s="79"/>
      <c r="O853" s="79"/>
      <c r="P853" s="79"/>
      <c r="Q853" s="79"/>
      <c r="R853" s="79"/>
      <c r="S853" s="79"/>
      <c r="T853" s="79"/>
      <c r="U853" s="79"/>
      <c r="V853" s="79"/>
      <c r="W853" s="79"/>
      <c r="X853" s="79"/>
      <c r="Y853" s="79"/>
      <c r="Z853" s="79"/>
      <c r="AA853" s="79"/>
      <c r="AB853" s="79"/>
      <c r="AC853" s="80"/>
      <c r="AD853" s="78" t="s">
        <v>100</v>
      </c>
      <c r="AE853" s="79"/>
      <c r="AF853" s="79"/>
      <c r="AG853" s="79"/>
      <c r="AH853" s="79"/>
      <c r="AI853" s="80"/>
    </row>
    <row r="854" spans="1:35" ht="15" customHeight="1" thickTop="1" x14ac:dyDescent="0.45">
      <c r="A854" s="31"/>
      <c r="B854" s="32"/>
      <c r="C854" s="381"/>
      <c r="D854" s="317" t="s">
        <v>352</v>
      </c>
      <c r="E854" s="318"/>
      <c r="F854" s="318"/>
      <c r="G854" s="318"/>
      <c r="H854" s="318"/>
      <c r="I854" s="318"/>
      <c r="J854" s="318"/>
      <c r="K854" s="318"/>
      <c r="L854" s="318"/>
      <c r="M854" s="318"/>
      <c r="N854" s="318"/>
      <c r="O854" s="318"/>
      <c r="P854" s="318"/>
      <c r="Q854" s="318"/>
      <c r="R854" s="18"/>
      <c r="S854" s="18"/>
      <c r="T854" s="18"/>
      <c r="U854" s="18"/>
      <c r="V854" s="18"/>
      <c r="W854" s="18"/>
      <c r="X854" s="18"/>
      <c r="Y854" s="18"/>
      <c r="Z854" s="18"/>
      <c r="AA854" s="18"/>
      <c r="AB854" s="18"/>
      <c r="AC854" s="19"/>
      <c r="AD854" s="269" t="s">
        <v>353</v>
      </c>
      <c r="AE854" s="148"/>
      <c r="AF854" s="148"/>
      <c r="AG854" s="148"/>
      <c r="AH854" s="148"/>
      <c r="AI854" s="201"/>
    </row>
    <row r="855" spans="1:35" ht="15" customHeight="1" x14ac:dyDescent="0.45">
      <c r="A855" s="20"/>
      <c r="B855" s="21"/>
      <c r="C855" s="331"/>
      <c r="D855" s="302"/>
      <c r="E855" s="383"/>
      <c r="F855" s="383"/>
      <c r="G855" s="383"/>
      <c r="H855" s="383"/>
      <c r="I855" s="383"/>
      <c r="J855" s="383"/>
      <c r="K855" s="383"/>
      <c r="L855" s="383"/>
      <c r="M855" s="383"/>
      <c r="N855" s="383"/>
      <c r="O855" s="383"/>
      <c r="P855" s="383"/>
      <c r="AC855" s="25"/>
      <c r="AD855" s="152"/>
      <c r="AE855" s="153"/>
      <c r="AF855" s="153"/>
      <c r="AG855" s="153"/>
      <c r="AH855" s="153"/>
      <c r="AI855" s="275"/>
    </row>
    <row r="856" spans="1:35" ht="15" customHeight="1" x14ac:dyDescent="0.45">
      <c r="A856" s="46"/>
      <c r="B856" s="47"/>
      <c r="C856" s="384"/>
      <c r="D856" s="302"/>
      <c r="E856" s="6"/>
      <c r="F856" s="6"/>
      <c r="AC856" s="290"/>
      <c r="AD856" s="154"/>
      <c r="AE856" s="155"/>
      <c r="AF856" s="155"/>
      <c r="AG856" s="155"/>
      <c r="AH856" s="155"/>
      <c r="AI856" s="194"/>
    </row>
    <row r="857" spans="1:35" ht="15" customHeight="1" x14ac:dyDescent="0.45">
      <c r="A857" s="164" t="s">
        <v>180</v>
      </c>
      <c r="B857" s="165"/>
      <c r="C857" s="166"/>
      <c r="D857" s="86" t="s">
        <v>326</v>
      </c>
      <c r="E857" s="87"/>
      <c r="F857" s="87"/>
      <c r="G857" s="87"/>
      <c r="H857" s="87"/>
      <c r="I857" s="18"/>
      <c r="J857" s="18"/>
      <c r="K857" s="18"/>
      <c r="L857" s="18"/>
      <c r="M857" s="18"/>
      <c r="N857" s="18"/>
      <c r="O857" s="18"/>
      <c r="P857" s="18"/>
      <c r="Q857" s="18"/>
      <c r="R857" s="18"/>
      <c r="S857" s="18"/>
      <c r="T857" s="18"/>
      <c r="U857" s="18"/>
      <c r="V857" s="18"/>
      <c r="W857" s="18"/>
      <c r="X857" s="18"/>
      <c r="Y857" s="18"/>
      <c r="Z857" s="18"/>
      <c r="AA857" s="18"/>
      <c r="AB857" s="18"/>
      <c r="AC857" s="19"/>
      <c r="AD857" s="147"/>
      <c r="AE857" s="148"/>
      <c r="AF857" s="148"/>
      <c r="AG857" s="148"/>
      <c r="AH857" s="148"/>
      <c r="AI857" s="201"/>
    </row>
    <row r="858" spans="1:35" ht="15" customHeight="1" x14ac:dyDescent="0.45">
      <c r="A858" s="159"/>
      <c r="B858" s="160"/>
      <c r="C858" s="161"/>
      <c r="D858" s="279" t="str">
        <f>V$1 &amp; " Road Approach"</f>
        <v>N Road Approach</v>
      </c>
      <c r="E858" s="111"/>
      <c r="F858" s="111"/>
      <c r="G858" s="111"/>
      <c r="H858" s="111"/>
      <c r="I858" s="48"/>
      <c r="J858" s="48"/>
      <c r="K858" s="48"/>
      <c r="L858" s="48"/>
      <c r="M858" s="48"/>
      <c r="N858" s="142"/>
      <c r="O858" s="110"/>
      <c r="P858" s="111" t="str">
        <f>Z$1 &amp; " Road Approach"</f>
        <v>S Road Approach</v>
      </c>
      <c r="Q858" s="111"/>
      <c r="R858" s="111"/>
      <c r="S858" s="111"/>
      <c r="T858" s="111"/>
      <c r="U858" s="48"/>
      <c r="V858" s="48"/>
      <c r="W858" s="48"/>
      <c r="X858" s="48"/>
      <c r="Y858" s="48"/>
      <c r="Z858" s="110"/>
      <c r="AA858" s="110"/>
      <c r="AB858" s="110"/>
      <c r="AC858" s="113"/>
      <c r="AD858" s="154"/>
      <c r="AE858" s="155"/>
      <c r="AF858" s="155"/>
      <c r="AG858" s="155"/>
      <c r="AH858" s="155"/>
      <c r="AI858" s="194"/>
    </row>
    <row r="859" spans="1:35" ht="15" customHeight="1" x14ac:dyDescent="0.45">
      <c r="A859" s="326" t="s">
        <v>155</v>
      </c>
      <c r="B859" s="327"/>
      <c r="C859" s="328"/>
      <c r="D859" s="86" t="s">
        <v>347</v>
      </c>
      <c r="E859" s="87"/>
      <c r="F859" s="87"/>
      <c r="G859" s="87"/>
      <c r="H859" s="87"/>
      <c r="I859" s="87"/>
      <c r="J859" s="18"/>
      <c r="K859" s="18"/>
      <c r="L859" s="18"/>
      <c r="M859" s="18"/>
      <c r="N859" s="18"/>
      <c r="O859" s="18"/>
      <c r="P859" s="18"/>
      <c r="Q859" s="18"/>
      <c r="R859" s="18"/>
      <c r="S859" s="18"/>
      <c r="T859" s="18"/>
      <c r="U859" s="18"/>
      <c r="V859" s="18"/>
      <c r="W859" s="18"/>
      <c r="X859" s="18"/>
      <c r="Y859" s="18"/>
      <c r="Z859" s="18"/>
      <c r="AA859" s="18"/>
      <c r="AB859" s="18"/>
      <c r="AC859" s="19"/>
      <c r="AD859" s="147" t="s">
        <v>354</v>
      </c>
      <c r="AE859" s="148"/>
      <c r="AF859" s="148"/>
      <c r="AG859" s="148"/>
      <c r="AH859" s="148"/>
      <c r="AI859" s="201"/>
    </row>
    <row r="860" spans="1:35" ht="15" customHeight="1" x14ac:dyDescent="0.45">
      <c r="A860" s="372"/>
      <c r="B860" s="373"/>
      <c r="C860" s="374"/>
      <c r="D860" s="279" t="str">
        <f>V$1 &amp; " Road Approach"</f>
        <v>N Road Approach</v>
      </c>
      <c r="E860" s="111"/>
      <c r="F860" s="111"/>
      <c r="G860" s="111"/>
      <c r="H860" s="111"/>
      <c r="I860" s="112"/>
      <c r="J860" s="112"/>
      <c r="K860" s="112"/>
      <c r="L860" s="112"/>
      <c r="M860" s="112"/>
      <c r="N860" s="142"/>
      <c r="O860" s="110"/>
      <c r="P860" s="111" t="str">
        <f>Z$1 &amp; " Road Approach"</f>
        <v>S Road Approach</v>
      </c>
      <c r="Q860" s="111"/>
      <c r="R860" s="111"/>
      <c r="S860" s="111"/>
      <c r="T860" s="111"/>
      <c r="U860" s="112"/>
      <c r="V860" s="112"/>
      <c r="W860" s="112"/>
      <c r="X860" s="112"/>
      <c r="Y860" s="112"/>
      <c r="Z860" s="110"/>
      <c r="AA860" s="110"/>
      <c r="AB860" s="110"/>
      <c r="AC860" s="113"/>
      <c r="AD860" s="154"/>
      <c r="AE860" s="155"/>
      <c r="AF860" s="155"/>
      <c r="AG860" s="155"/>
      <c r="AH860" s="155"/>
      <c r="AI860" s="194"/>
    </row>
    <row r="861" spans="1:35" ht="15" customHeight="1" x14ac:dyDescent="0.45">
      <c r="A861" s="164" t="s">
        <v>180</v>
      </c>
      <c r="B861" s="165"/>
      <c r="C861" s="166"/>
      <c r="D861" s="86" t="s">
        <v>355</v>
      </c>
      <c r="E861" s="87"/>
      <c r="F861" s="87"/>
      <c r="G861" s="87"/>
      <c r="H861" s="87"/>
      <c r="I861" s="87"/>
      <c r="J861" s="87"/>
      <c r="K861" s="87"/>
      <c r="L861" s="87"/>
      <c r="M861" s="87"/>
      <c r="N861" s="87"/>
      <c r="O861" s="18"/>
      <c r="P861" s="18"/>
      <c r="Q861" s="18"/>
      <c r="R861" s="18"/>
      <c r="S861" s="18"/>
      <c r="T861" s="18"/>
      <c r="U861" s="18"/>
      <c r="V861" s="18"/>
      <c r="W861" s="18"/>
      <c r="X861" s="18"/>
      <c r="Y861" s="18"/>
      <c r="Z861" s="18"/>
      <c r="AA861" s="18"/>
      <c r="AB861" s="18"/>
      <c r="AC861" s="19"/>
      <c r="AD861" s="147" t="s">
        <v>356</v>
      </c>
      <c r="AE861" s="148"/>
      <c r="AF861" s="148"/>
      <c r="AG861" s="148"/>
      <c r="AH861" s="148"/>
      <c r="AI861" s="201"/>
    </row>
    <row r="862" spans="1:35" ht="15" customHeight="1" x14ac:dyDescent="0.45">
      <c r="A862" s="159"/>
      <c r="B862" s="160"/>
      <c r="C862" s="161"/>
      <c r="D862" s="279" t="str">
        <f>V$1 &amp; " Road Approach"</f>
        <v>N Road Approach</v>
      </c>
      <c r="E862" s="111"/>
      <c r="F862" s="111"/>
      <c r="G862" s="111"/>
      <c r="H862" s="111"/>
      <c r="I862" s="48"/>
      <c r="J862" s="48"/>
      <c r="K862" s="48"/>
      <c r="L862" s="48"/>
      <c r="M862" s="48"/>
      <c r="N862" s="142"/>
      <c r="O862" s="110"/>
      <c r="P862" s="111" t="str">
        <f>Z$1 &amp; " Road Approach"</f>
        <v>S Road Approach</v>
      </c>
      <c r="Q862" s="111"/>
      <c r="R862" s="111"/>
      <c r="S862" s="111"/>
      <c r="T862" s="111"/>
      <c r="U862" s="48"/>
      <c r="V862" s="48"/>
      <c r="W862" s="48"/>
      <c r="X862" s="48"/>
      <c r="Y862" s="48"/>
      <c r="Z862" s="110"/>
      <c r="AA862" s="110"/>
      <c r="AB862" s="110"/>
      <c r="AC862" s="113"/>
      <c r="AD862" s="154"/>
      <c r="AE862" s="155"/>
      <c r="AF862" s="155"/>
      <c r="AG862" s="155"/>
      <c r="AH862" s="155"/>
      <c r="AI862" s="194"/>
    </row>
    <row r="863" spans="1:35" ht="15" customHeight="1" x14ac:dyDescent="0.45">
      <c r="A863" s="164" t="s">
        <v>159</v>
      </c>
      <c r="B863" s="165"/>
      <c r="C863" s="166"/>
      <c r="D863" s="96" t="s">
        <v>357</v>
      </c>
      <c r="E863" s="97"/>
      <c r="F863" s="97"/>
      <c r="G863" s="97"/>
      <c r="H863" s="97"/>
      <c r="I863" s="97"/>
      <c r="J863" s="97"/>
      <c r="AC863" s="25"/>
      <c r="AD863" s="147"/>
      <c r="AE863" s="148"/>
      <c r="AF863" s="148"/>
      <c r="AG863" s="148"/>
      <c r="AH863" s="148"/>
      <c r="AI863" s="201"/>
    </row>
    <row r="864" spans="1:35" ht="15" customHeight="1" x14ac:dyDescent="0.45">
      <c r="A864" s="299"/>
      <c r="B864" s="300"/>
      <c r="C864" s="301"/>
      <c r="D864" s="302"/>
      <c r="E864" s="397" t="str">
        <f>V$1 &amp; " Road Approach"</f>
        <v>N Road Approach</v>
      </c>
      <c r="F864" s="397"/>
      <c r="G864" s="397"/>
      <c r="H864" s="397"/>
      <c r="I864" s="397"/>
      <c r="J864" s="2"/>
      <c r="K864" s="2"/>
      <c r="L864" s="2"/>
      <c r="M864" s="6" t="s">
        <v>157</v>
      </c>
      <c r="P864" s="6"/>
      <c r="Q864" s="397" t="str">
        <f>Z$1 &amp; " Road Approach"</f>
        <v>S Road Approach</v>
      </c>
      <c r="R864" s="397"/>
      <c r="S864" s="397"/>
      <c r="T864" s="397"/>
      <c r="U864" s="397"/>
      <c r="V864" s="2"/>
      <c r="W864" s="2"/>
      <c r="X864" s="2"/>
      <c r="Y864" s="6" t="s">
        <v>157</v>
      </c>
      <c r="Z864" s="6"/>
      <c r="AC864" s="25"/>
      <c r="AD864" s="152" t="s">
        <v>358</v>
      </c>
      <c r="AE864" s="153"/>
      <c r="AF864" s="153"/>
      <c r="AG864" s="153"/>
      <c r="AH864" s="153"/>
      <c r="AI864" s="275"/>
    </row>
    <row r="865" spans="1:35" ht="15" customHeight="1" x14ac:dyDescent="0.45">
      <c r="A865" s="299"/>
      <c r="B865" s="300"/>
      <c r="C865" s="301"/>
      <c r="D865" s="96" t="s">
        <v>359</v>
      </c>
      <c r="E865" s="97"/>
      <c r="F865" s="97"/>
      <c r="G865" s="97"/>
      <c r="H865" s="97"/>
      <c r="AC865" s="25"/>
      <c r="AD865" s="152"/>
      <c r="AE865" s="153"/>
      <c r="AF865" s="153"/>
      <c r="AG865" s="153"/>
      <c r="AH865" s="153"/>
      <c r="AI865" s="275"/>
    </row>
    <row r="866" spans="1:35" ht="15" customHeight="1" x14ac:dyDescent="0.45">
      <c r="A866" s="299"/>
      <c r="B866" s="300"/>
      <c r="C866" s="301"/>
      <c r="D866" s="398"/>
      <c r="E866" s="153" t="str">
        <f>V$1 &amp; " Road Approach"</f>
        <v>N Road Approach</v>
      </c>
      <c r="F866" s="153"/>
      <c r="G866" s="153"/>
      <c r="H866" s="153"/>
      <c r="I866" s="153"/>
      <c r="J866" s="2"/>
      <c r="K866" s="2"/>
      <c r="L866" s="2"/>
      <c r="M866" s="6" t="s">
        <v>157</v>
      </c>
      <c r="P866" s="6"/>
      <c r="Q866" s="97" t="str">
        <f>Z$1 &amp; " Road Approach"</f>
        <v>S Road Approach</v>
      </c>
      <c r="R866" s="97"/>
      <c r="S866" s="97"/>
      <c r="T866" s="97"/>
      <c r="U866" s="97"/>
      <c r="V866" s="2"/>
      <c r="W866" s="2"/>
      <c r="X866" s="2"/>
      <c r="Y866" s="6" t="s">
        <v>157</v>
      </c>
      <c r="Z866" s="6"/>
      <c r="AC866" s="25"/>
      <c r="AD866" s="152" t="s">
        <v>360</v>
      </c>
      <c r="AE866" s="153"/>
      <c r="AF866" s="153"/>
      <c r="AG866" s="153"/>
      <c r="AH866" s="153"/>
      <c r="AI866" s="275"/>
    </row>
    <row r="867" spans="1:35" ht="15" customHeight="1" x14ac:dyDescent="0.45">
      <c r="A867" s="299"/>
      <c r="B867" s="300"/>
      <c r="C867" s="301"/>
      <c r="D867" s="96" t="s">
        <v>361</v>
      </c>
      <c r="E867" s="97"/>
      <c r="F867" s="97"/>
      <c r="G867" s="6"/>
      <c r="AC867" s="25"/>
      <c r="AD867" s="152"/>
      <c r="AE867" s="153"/>
      <c r="AF867" s="153"/>
      <c r="AG867" s="153"/>
      <c r="AH867" s="153"/>
      <c r="AI867" s="275"/>
    </row>
    <row r="868" spans="1:35" ht="15" customHeight="1" x14ac:dyDescent="0.45">
      <c r="A868" s="159"/>
      <c r="B868" s="160"/>
      <c r="C868" s="161"/>
      <c r="D868" s="171"/>
      <c r="E868" s="111" t="str">
        <f>V$1 &amp; " Road Approach"</f>
        <v>N Road Approach</v>
      </c>
      <c r="F868" s="111"/>
      <c r="G868" s="111"/>
      <c r="H868" s="111"/>
      <c r="I868" s="111"/>
      <c r="J868" s="48"/>
      <c r="K868" s="48"/>
      <c r="L868" s="48"/>
      <c r="M868" s="6" t="s">
        <v>157</v>
      </c>
      <c r="P868" s="6"/>
      <c r="Q868" s="111" t="str">
        <f>Z$1 &amp; " Road Approach"</f>
        <v>S Road Approach</v>
      </c>
      <c r="R868" s="111"/>
      <c r="S868" s="111"/>
      <c r="T868" s="111"/>
      <c r="U868" s="111"/>
      <c r="V868" s="48"/>
      <c r="W868" s="48"/>
      <c r="X868" s="48"/>
      <c r="Y868" s="6" t="s">
        <v>157</v>
      </c>
      <c r="Z868" s="6"/>
      <c r="AA868" s="110"/>
      <c r="AB868" s="110"/>
      <c r="AC868" s="113"/>
      <c r="AD868" s="152" t="s">
        <v>360</v>
      </c>
      <c r="AE868" s="153"/>
      <c r="AF868" s="153"/>
      <c r="AG868" s="153"/>
      <c r="AH868" s="153"/>
      <c r="AI868" s="275"/>
    </row>
    <row r="869" spans="1:35" ht="15" customHeight="1" x14ac:dyDescent="0.45">
      <c r="A869" s="176" t="s">
        <v>208</v>
      </c>
      <c r="B869" s="177"/>
      <c r="C869" s="177"/>
      <c r="D869" s="177"/>
      <c r="E869" s="177"/>
      <c r="F869" s="177"/>
      <c r="G869" s="177"/>
      <c r="H869" s="177"/>
      <c r="I869" s="177"/>
      <c r="J869" s="177"/>
      <c r="K869" s="177"/>
      <c r="L869" s="177"/>
      <c r="M869" s="177"/>
      <c r="N869" s="177"/>
      <c r="O869" s="177"/>
      <c r="P869" s="177"/>
      <c r="Q869" s="177"/>
      <c r="R869" s="177"/>
      <c r="S869" s="177"/>
      <c r="T869" s="177"/>
      <c r="U869" s="177"/>
      <c r="V869" s="177"/>
      <c r="W869" s="177"/>
      <c r="X869" s="177"/>
      <c r="Y869" s="177"/>
      <c r="Z869" s="177"/>
      <c r="AA869" s="177"/>
      <c r="AB869" s="177"/>
      <c r="AC869" s="177"/>
      <c r="AD869" s="177"/>
      <c r="AE869" s="177"/>
      <c r="AF869" s="177"/>
      <c r="AG869" s="177"/>
      <c r="AH869" s="177"/>
      <c r="AI869" s="178"/>
    </row>
    <row r="870" spans="1:35" ht="15" customHeight="1" x14ac:dyDescent="0.45">
      <c r="A870" s="57"/>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c r="AA870" s="58"/>
      <c r="AB870" s="58"/>
      <c r="AC870" s="58"/>
      <c r="AD870" s="58"/>
      <c r="AE870" s="58"/>
      <c r="AF870" s="58"/>
      <c r="AG870" s="58"/>
      <c r="AH870" s="58"/>
      <c r="AI870" s="59"/>
    </row>
    <row r="871" spans="1:35" ht="15" customHeight="1" x14ac:dyDescent="0.45">
      <c r="A871" s="60"/>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c r="AA871" s="61"/>
      <c r="AB871" s="61"/>
      <c r="AC871" s="61"/>
      <c r="AD871" s="61"/>
      <c r="AE871" s="61"/>
      <c r="AF871" s="61"/>
      <c r="AG871" s="61"/>
      <c r="AH871" s="61"/>
      <c r="AI871" s="62"/>
    </row>
    <row r="872" spans="1:35" ht="15" customHeight="1" x14ac:dyDescent="0.45">
      <c r="A872" s="60"/>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c r="AA872" s="61"/>
      <c r="AB872" s="61"/>
      <c r="AC872" s="61"/>
      <c r="AD872" s="61"/>
      <c r="AE872" s="61"/>
      <c r="AF872" s="61"/>
      <c r="AG872" s="61"/>
      <c r="AH872" s="61"/>
      <c r="AI872" s="62"/>
    </row>
    <row r="873" spans="1:35" ht="15" customHeight="1" x14ac:dyDescent="0.45">
      <c r="A873" s="60"/>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c r="AA873" s="61"/>
      <c r="AB873" s="61"/>
      <c r="AC873" s="61"/>
      <c r="AD873" s="61"/>
      <c r="AE873" s="61"/>
      <c r="AF873" s="61"/>
      <c r="AG873" s="61"/>
      <c r="AH873" s="61"/>
      <c r="AI873" s="62"/>
    </row>
    <row r="874" spans="1:35" ht="15" customHeight="1" x14ac:dyDescent="0.45">
      <c r="A874" s="60"/>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c r="AA874" s="61"/>
      <c r="AB874" s="61"/>
      <c r="AC874" s="61"/>
      <c r="AD874" s="61"/>
      <c r="AE874" s="61"/>
      <c r="AF874" s="61"/>
      <c r="AG874" s="61"/>
      <c r="AH874" s="61"/>
      <c r="AI874" s="62"/>
    </row>
    <row r="875" spans="1:35" ht="15" customHeight="1" x14ac:dyDescent="0.45">
      <c r="A875" s="60"/>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c r="AA875" s="61"/>
      <c r="AB875" s="61"/>
      <c r="AC875" s="61"/>
      <c r="AD875" s="61"/>
      <c r="AE875" s="61"/>
      <c r="AF875" s="61"/>
      <c r="AG875" s="61"/>
      <c r="AH875" s="61"/>
      <c r="AI875" s="62"/>
    </row>
    <row r="876" spans="1:35" ht="15" customHeight="1" x14ac:dyDescent="0.45">
      <c r="A876" s="60"/>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c r="AA876" s="61"/>
      <c r="AB876" s="61"/>
      <c r="AC876" s="61"/>
      <c r="AD876" s="61"/>
      <c r="AE876" s="61"/>
      <c r="AF876" s="61"/>
      <c r="AG876" s="61"/>
      <c r="AH876" s="61"/>
      <c r="AI876" s="62"/>
    </row>
    <row r="877" spans="1:35" ht="15" customHeight="1" x14ac:dyDescent="0.45">
      <c r="A877" s="60"/>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c r="AA877" s="61"/>
      <c r="AB877" s="61"/>
      <c r="AC877" s="61"/>
      <c r="AD877" s="61"/>
      <c r="AE877" s="61"/>
      <c r="AF877" s="61"/>
      <c r="AG877" s="61"/>
      <c r="AH877" s="61"/>
      <c r="AI877" s="62"/>
    </row>
    <row r="878" spans="1:35" ht="15" customHeight="1" x14ac:dyDescent="0.45">
      <c r="A878" s="60"/>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c r="AA878" s="61"/>
      <c r="AB878" s="61"/>
      <c r="AC878" s="61"/>
      <c r="AD878" s="61"/>
      <c r="AE878" s="61"/>
      <c r="AF878" s="61"/>
      <c r="AG878" s="61"/>
      <c r="AH878" s="61"/>
      <c r="AI878" s="62"/>
    </row>
    <row r="879" spans="1:35" ht="15" customHeight="1" x14ac:dyDescent="0.45">
      <c r="A879" s="60"/>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c r="AA879" s="61"/>
      <c r="AB879" s="61"/>
      <c r="AC879" s="61"/>
      <c r="AD879" s="61"/>
      <c r="AE879" s="61"/>
      <c r="AF879" s="61"/>
      <c r="AG879" s="61"/>
      <c r="AH879" s="61"/>
      <c r="AI879" s="62"/>
    </row>
    <row r="880" spans="1:35" ht="15" customHeight="1" x14ac:dyDescent="0.45">
      <c r="A880" s="63"/>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c r="AA880" s="64"/>
      <c r="AB880" s="64"/>
      <c r="AC880" s="64"/>
      <c r="AD880" s="64"/>
      <c r="AE880" s="64"/>
      <c r="AF880" s="64"/>
      <c r="AG880" s="64"/>
      <c r="AH880" s="64"/>
      <c r="AI880" s="65"/>
    </row>
    <row r="881" spans="1:35" ht="15" customHeight="1" x14ac:dyDescent="0.45">
      <c r="A881" s="399"/>
      <c r="B881" s="399"/>
      <c r="C881" s="399"/>
      <c r="D881" s="399"/>
      <c r="E881" s="399"/>
      <c r="F881" s="399"/>
      <c r="G881" s="399"/>
      <c r="H881" s="399"/>
      <c r="I881" s="399"/>
      <c r="J881" s="399"/>
      <c r="K881" s="399"/>
      <c r="L881" s="399"/>
      <c r="M881" s="399"/>
      <c r="N881" s="399"/>
      <c r="O881" s="399"/>
      <c r="P881" s="399"/>
      <c r="Q881" s="399"/>
      <c r="R881" s="399"/>
      <c r="S881" s="399"/>
      <c r="T881" s="399"/>
      <c r="U881" s="399"/>
      <c r="V881" s="399"/>
      <c r="W881" s="399"/>
      <c r="X881" s="399"/>
      <c r="Y881" s="399"/>
      <c r="Z881" s="399"/>
      <c r="AA881" s="399"/>
      <c r="AB881" s="399"/>
      <c r="AC881" s="399"/>
      <c r="AD881" s="399"/>
      <c r="AE881" s="399"/>
      <c r="AF881" s="399"/>
      <c r="AG881" s="399"/>
      <c r="AH881" s="399"/>
      <c r="AI881" s="399"/>
    </row>
    <row r="882" spans="1:35" ht="15" customHeight="1" thickBot="1" x14ac:dyDescent="0.5">
      <c r="A882" s="78" t="s">
        <v>98</v>
      </c>
      <c r="B882" s="79"/>
      <c r="C882" s="80"/>
      <c r="D882" s="78" t="s">
        <v>99</v>
      </c>
      <c r="E882" s="79"/>
      <c r="F882" s="79"/>
      <c r="G882" s="79"/>
      <c r="H882" s="79"/>
      <c r="I882" s="79"/>
      <c r="J882" s="79"/>
      <c r="K882" s="79"/>
      <c r="L882" s="79"/>
      <c r="M882" s="79"/>
      <c r="N882" s="79"/>
      <c r="O882" s="79"/>
      <c r="P882" s="79"/>
      <c r="Q882" s="79"/>
      <c r="R882" s="79"/>
      <c r="S882" s="79"/>
      <c r="T882" s="79"/>
      <c r="U882" s="79"/>
      <c r="V882" s="79"/>
      <c r="W882" s="79"/>
      <c r="X882" s="79"/>
      <c r="Y882" s="79"/>
      <c r="Z882" s="79"/>
      <c r="AA882" s="79"/>
      <c r="AB882" s="79"/>
      <c r="AC882" s="80"/>
      <c r="AD882" s="78" t="s">
        <v>100</v>
      </c>
      <c r="AE882" s="79"/>
      <c r="AF882" s="79"/>
      <c r="AG882" s="79"/>
      <c r="AH882" s="79"/>
      <c r="AI882" s="80"/>
    </row>
    <row r="883" spans="1:35" ht="15" customHeight="1" thickTop="1" x14ac:dyDescent="0.45">
      <c r="A883" s="31"/>
      <c r="B883" s="32"/>
      <c r="C883" s="381"/>
      <c r="D883" s="50" t="s">
        <v>362</v>
      </c>
      <c r="E883" s="382"/>
      <c r="F883" s="382"/>
      <c r="G883" s="382"/>
      <c r="H883" s="382"/>
      <c r="I883" s="382"/>
      <c r="J883" s="382"/>
      <c r="K883" s="382"/>
      <c r="L883" s="382"/>
      <c r="M883" s="382"/>
      <c r="N883" s="382"/>
      <c r="O883" s="382"/>
      <c r="P883" s="382"/>
      <c r="Q883" s="18"/>
      <c r="R883" s="18"/>
      <c r="S883" s="18"/>
      <c r="T883" s="18"/>
      <c r="U883" s="18"/>
      <c r="V883" s="18"/>
      <c r="W883" s="18"/>
      <c r="X883" s="18"/>
      <c r="Y883" s="18"/>
      <c r="Z883" s="18"/>
      <c r="AA883" s="18"/>
      <c r="AB883" s="18"/>
      <c r="AC883" s="19"/>
      <c r="AD883" s="269" t="s">
        <v>363</v>
      </c>
      <c r="AE883" s="92"/>
      <c r="AF883" s="92"/>
      <c r="AG883" s="92"/>
      <c r="AH883" s="92"/>
      <c r="AI883" s="93"/>
    </row>
    <row r="884" spans="1:35" ht="15" customHeight="1" x14ac:dyDescent="0.45">
      <c r="A884" s="20"/>
      <c r="B884" s="21"/>
      <c r="C884" s="331"/>
      <c r="D884" s="302"/>
      <c r="E884" s="383"/>
      <c r="F884" s="383"/>
      <c r="G884" s="383"/>
      <c r="H884" s="383"/>
      <c r="I884" s="383"/>
      <c r="J884" s="383"/>
      <c r="K884" s="383"/>
      <c r="L884" s="383"/>
      <c r="M884" s="383"/>
      <c r="N884" s="383"/>
      <c r="O884" s="383"/>
      <c r="P884" s="383"/>
      <c r="AC884" s="25"/>
      <c r="AD884" s="396"/>
      <c r="AE884" s="99"/>
      <c r="AF884" s="99"/>
      <c r="AG884" s="99"/>
      <c r="AH884" s="99"/>
      <c r="AI884" s="100"/>
    </row>
    <row r="885" spans="1:35" ht="15" customHeight="1" x14ac:dyDescent="0.45">
      <c r="A885" s="46"/>
      <c r="B885" s="47"/>
      <c r="C885" s="384"/>
      <c r="D885" s="302"/>
      <c r="E885" s="6"/>
      <c r="F885" s="6"/>
      <c r="AC885" s="290"/>
      <c r="AD885" s="143"/>
      <c r="AE885" s="103"/>
      <c r="AF885" s="103"/>
      <c r="AG885" s="103"/>
      <c r="AH885" s="103"/>
      <c r="AI885" s="104"/>
    </row>
    <row r="886" spans="1:35" ht="15" customHeight="1" x14ac:dyDescent="0.45">
      <c r="A886" s="164" t="s">
        <v>180</v>
      </c>
      <c r="B886" s="165"/>
      <c r="C886" s="166"/>
      <c r="D886" s="86" t="s">
        <v>326</v>
      </c>
      <c r="E886" s="87"/>
      <c r="F886" s="87"/>
      <c r="G886" s="87"/>
      <c r="H886" s="87"/>
      <c r="I886" s="18"/>
      <c r="J886" s="18"/>
      <c r="K886" s="18"/>
      <c r="L886" s="18"/>
      <c r="M886" s="18"/>
      <c r="N886" s="18"/>
      <c r="O886" s="18"/>
      <c r="P886" s="18"/>
      <c r="Q886" s="18"/>
      <c r="R886" s="18"/>
      <c r="S886" s="18"/>
      <c r="T886" s="18"/>
      <c r="U886" s="18"/>
      <c r="V886" s="18"/>
      <c r="W886" s="18"/>
      <c r="X886" s="18"/>
      <c r="Y886" s="18"/>
      <c r="Z886" s="18"/>
      <c r="AA886" s="18"/>
      <c r="AB886" s="18"/>
      <c r="AC886" s="19"/>
      <c r="AD886" s="147"/>
      <c r="AE886" s="148"/>
      <c r="AF886" s="148"/>
      <c r="AG886" s="148"/>
      <c r="AH886" s="148"/>
      <c r="AI886" s="201"/>
    </row>
    <row r="887" spans="1:35" ht="15" customHeight="1" x14ac:dyDescent="0.45">
      <c r="A887" s="159"/>
      <c r="B887" s="160"/>
      <c r="C887" s="161"/>
      <c r="D887" s="279" t="str">
        <f>V$1 &amp; " Road Approach"</f>
        <v>N Road Approach</v>
      </c>
      <c r="E887" s="111"/>
      <c r="F887" s="111"/>
      <c r="G887" s="111"/>
      <c r="H887" s="111"/>
      <c r="I887" s="48"/>
      <c r="J887" s="48"/>
      <c r="K887" s="48"/>
      <c r="L887" s="48"/>
      <c r="M887" s="48"/>
      <c r="N887" s="142"/>
      <c r="P887" s="111" t="str">
        <f>Z$1 &amp; " Road Approach"</f>
        <v>S Road Approach</v>
      </c>
      <c r="Q887" s="111"/>
      <c r="R887" s="111"/>
      <c r="S887" s="111"/>
      <c r="T887" s="111"/>
      <c r="U887" s="48"/>
      <c r="V887" s="48"/>
      <c r="W887" s="48"/>
      <c r="X887" s="48"/>
      <c r="Y887" s="48"/>
      <c r="Z887" s="110"/>
      <c r="AA887" s="110"/>
      <c r="AB887" s="110"/>
      <c r="AC887" s="113"/>
      <c r="AD887" s="154"/>
      <c r="AE887" s="155"/>
      <c r="AF887" s="155"/>
      <c r="AG887" s="155"/>
      <c r="AH887" s="155"/>
      <c r="AI887" s="194"/>
    </row>
    <row r="888" spans="1:35" ht="15" customHeight="1" x14ac:dyDescent="0.45">
      <c r="A888" s="326" t="s">
        <v>155</v>
      </c>
      <c r="B888" s="327"/>
      <c r="C888" s="328"/>
      <c r="D888" s="86" t="s">
        <v>347</v>
      </c>
      <c r="E888" s="87"/>
      <c r="F888" s="87"/>
      <c r="G888" s="87"/>
      <c r="H888" s="87"/>
      <c r="I888" s="18"/>
      <c r="J888" s="18"/>
      <c r="K888" s="18"/>
      <c r="L888" s="18"/>
      <c r="M888" s="18"/>
      <c r="N888" s="18"/>
      <c r="O888" s="18"/>
      <c r="P888" s="18"/>
      <c r="Q888" s="18"/>
      <c r="R888" s="18"/>
      <c r="S888" s="18"/>
      <c r="T888" s="18"/>
      <c r="U888" s="18"/>
      <c r="V888" s="18"/>
      <c r="W888" s="18"/>
      <c r="X888" s="18"/>
      <c r="Y888" s="18"/>
      <c r="Z888" s="18"/>
      <c r="AA888" s="18"/>
      <c r="AB888" s="18"/>
      <c r="AC888" s="19"/>
      <c r="AD888" s="147" t="s">
        <v>354</v>
      </c>
      <c r="AE888" s="148"/>
      <c r="AF888" s="148"/>
      <c r="AG888" s="148"/>
      <c r="AH888" s="148"/>
      <c r="AI888" s="201"/>
    </row>
    <row r="889" spans="1:35" ht="15" customHeight="1" x14ac:dyDescent="0.45">
      <c r="A889" s="372"/>
      <c r="B889" s="373"/>
      <c r="C889" s="374"/>
      <c r="D889" s="279" t="str">
        <f>V$1 &amp; " Road Approach"</f>
        <v>N Road Approach</v>
      </c>
      <c r="E889" s="111"/>
      <c r="F889" s="111"/>
      <c r="G889" s="111"/>
      <c r="H889" s="111"/>
      <c r="I889" s="112"/>
      <c r="J889" s="112"/>
      <c r="K889" s="112"/>
      <c r="L889" s="112"/>
      <c r="M889" s="112"/>
      <c r="N889" s="142"/>
      <c r="P889" s="111" t="str">
        <f>Z$1 &amp; " Road Approach"</f>
        <v>S Road Approach</v>
      </c>
      <c r="Q889" s="111"/>
      <c r="R889" s="111"/>
      <c r="S889" s="111"/>
      <c r="T889" s="111"/>
      <c r="U889" s="112"/>
      <c r="V889" s="112"/>
      <c r="W889" s="112"/>
      <c r="X889" s="112"/>
      <c r="Y889" s="112"/>
      <c r="Z889" s="110"/>
      <c r="AA889" s="110"/>
      <c r="AB889" s="110"/>
      <c r="AC889" s="113"/>
      <c r="AD889" s="154"/>
      <c r="AE889" s="155"/>
      <c r="AF889" s="155"/>
      <c r="AG889" s="155"/>
      <c r="AH889" s="155"/>
      <c r="AI889" s="194"/>
    </row>
    <row r="890" spans="1:35" ht="15" customHeight="1" x14ac:dyDescent="0.45">
      <c r="A890" s="164" t="s">
        <v>180</v>
      </c>
      <c r="B890" s="165"/>
      <c r="C890" s="166"/>
      <c r="D890" s="86" t="s">
        <v>364</v>
      </c>
      <c r="E890" s="87"/>
      <c r="F890" s="87"/>
      <c r="G890" s="87"/>
      <c r="H890" s="87"/>
      <c r="I890" s="87"/>
      <c r="J890" s="87"/>
      <c r="K890" s="87"/>
      <c r="L890" s="87"/>
      <c r="M890" s="87"/>
      <c r="N890" s="87"/>
      <c r="O890" s="87"/>
      <c r="P890" s="87"/>
      <c r="Q890" s="87"/>
      <c r="R890" s="87"/>
      <c r="S890" s="87"/>
      <c r="T890" s="87"/>
      <c r="U890" s="87"/>
      <c r="V890" s="87"/>
      <c r="W890" s="18"/>
      <c r="X890" s="18"/>
      <c r="Y890" s="18"/>
      <c r="Z890" s="18"/>
      <c r="AA890" s="18"/>
      <c r="AB890" s="18"/>
      <c r="AC890" s="19"/>
      <c r="AD890" s="147" t="s">
        <v>365</v>
      </c>
      <c r="AE890" s="148"/>
      <c r="AF890" s="148"/>
      <c r="AG890" s="148"/>
      <c r="AH890" s="148"/>
      <c r="AI890" s="201"/>
    </row>
    <row r="891" spans="1:35" ht="15" customHeight="1" x14ac:dyDescent="0.45">
      <c r="A891" s="159"/>
      <c r="B891" s="160"/>
      <c r="C891" s="161"/>
      <c r="D891" s="279" t="str">
        <f>V$1 &amp; " Road Approach"</f>
        <v>N Road Approach</v>
      </c>
      <c r="E891" s="111"/>
      <c r="F891" s="111"/>
      <c r="G891" s="111"/>
      <c r="H891" s="111"/>
      <c r="I891" s="48"/>
      <c r="J891" s="48"/>
      <c r="K891" s="48"/>
      <c r="L891" s="48"/>
      <c r="M891" s="48"/>
      <c r="N891" s="142"/>
      <c r="P891" s="111" t="str">
        <f>Z$1 &amp; " Road Approach"</f>
        <v>S Road Approach</v>
      </c>
      <c r="Q891" s="111"/>
      <c r="R891" s="111"/>
      <c r="S891" s="111"/>
      <c r="T891" s="111"/>
      <c r="U891" s="48"/>
      <c r="V891" s="48"/>
      <c r="W891" s="48"/>
      <c r="X891" s="48"/>
      <c r="Y891" s="48"/>
      <c r="Z891" s="110"/>
      <c r="AA891" s="110"/>
      <c r="AB891" s="110"/>
      <c r="AC891" s="113"/>
      <c r="AD891" s="154"/>
      <c r="AE891" s="155"/>
      <c r="AF891" s="155"/>
      <c r="AG891" s="155"/>
      <c r="AH891" s="155"/>
      <c r="AI891" s="194"/>
    </row>
    <row r="892" spans="1:35" ht="15" customHeight="1" x14ac:dyDescent="0.45">
      <c r="A892" s="164" t="s">
        <v>180</v>
      </c>
      <c r="B892" s="165"/>
      <c r="C892" s="166"/>
      <c r="D892" s="86" t="s">
        <v>366</v>
      </c>
      <c r="E892" s="87"/>
      <c r="F892" s="87"/>
      <c r="G892" s="87"/>
      <c r="H892" s="87"/>
      <c r="I892" s="18"/>
      <c r="J892" s="18"/>
      <c r="K892" s="18"/>
      <c r="L892" s="18"/>
      <c r="M892" s="18"/>
      <c r="N892" s="18"/>
      <c r="O892" s="18"/>
      <c r="P892" s="18"/>
      <c r="Q892" s="18"/>
      <c r="R892" s="18"/>
      <c r="S892" s="18"/>
      <c r="T892" s="18"/>
      <c r="U892" s="18"/>
      <c r="V892" s="18"/>
      <c r="W892" s="18"/>
      <c r="X892" s="18"/>
      <c r="Y892" s="18"/>
      <c r="Z892" s="18"/>
      <c r="AA892" s="18"/>
      <c r="AB892" s="18"/>
      <c r="AC892" s="19"/>
      <c r="AD892" s="147"/>
      <c r="AE892" s="148"/>
      <c r="AF892" s="148"/>
      <c r="AG892" s="148"/>
      <c r="AH892" s="148"/>
      <c r="AI892" s="201"/>
    </row>
    <row r="893" spans="1:35" ht="15" customHeight="1" x14ac:dyDescent="0.45">
      <c r="A893" s="159"/>
      <c r="B893" s="160"/>
      <c r="C893" s="161"/>
      <c r="D893" s="279" t="str">
        <f>V$1 &amp; " Road Approach"</f>
        <v>N Road Approach</v>
      </c>
      <c r="E893" s="111"/>
      <c r="F893" s="111"/>
      <c r="G893" s="111"/>
      <c r="H893" s="111"/>
      <c r="I893" s="48"/>
      <c r="J893" s="48"/>
      <c r="K893" s="48"/>
      <c r="L893" s="48"/>
      <c r="M893" s="48"/>
      <c r="N893" s="142"/>
      <c r="P893" s="111" t="str">
        <f>Z$1 &amp; " Road Approach"</f>
        <v>S Road Approach</v>
      </c>
      <c r="Q893" s="111"/>
      <c r="R893" s="111"/>
      <c r="S893" s="111"/>
      <c r="T893" s="111"/>
      <c r="U893" s="48"/>
      <c r="V893" s="48"/>
      <c r="W893" s="48"/>
      <c r="X893" s="48"/>
      <c r="Y893" s="48"/>
      <c r="Z893" s="110"/>
      <c r="AA893" s="110"/>
      <c r="AB893" s="110"/>
      <c r="AC893" s="113"/>
      <c r="AD893" s="154"/>
      <c r="AE893" s="155"/>
      <c r="AF893" s="155"/>
      <c r="AG893" s="155"/>
      <c r="AH893" s="155"/>
      <c r="AI893" s="194"/>
    </row>
    <row r="894" spans="1:35" ht="15" customHeight="1" x14ac:dyDescent="0.45">
      <c r="A894" s="176" t="s">
        <v>208</v>
      </c>
      <c r="B894" s="177"/>
      <c r="C894" s="177"/>
      <c r="D894" s="177"/>
      <c r="E894" s="177"/>
      <c r="F894" s="177"/>
      <c r="G894" s="177"/>
      <c r="H894" s="177"/>
      <c r="I894" s="177"/>
      <c r="J894" s="177"/>
      <c r="K894" s="177"/>
      <c r="L894" s="177"/>
      <c r="M894" s="177"/>
      <c r="N894" s="177"/>
      <c r="O894" s="177"/>
      <c r="P894" s="177"/>
      <c r="Q894" s="177"/>
      <c r="R894" s="177"/>
      <c r="S894" s="177"/>
      <c r="T894" s="177"/>
      <c r="U894" s="177"/>
      <c r="V894" s="177"/>
      <c r="W894" s="177"/>
      <c r="X894" s="177"/>
      <c r="Y894" s="177"/>
      <c r="Z894" s="177"/>
      <c r="AA894" s="177"/>
      <c r="AB894" s="177"/>
      <c r="AC894" s="177"/>
      <c r="AD894" s="177"/>
      <c r="AE894" s="177"/>
      <c r="AF894" s="177"/>
      <c r="AG894" s="177"/>
      <c r="AH894" s="177"/>
      <c r="AI894" s="178"/>
    </row>
    <row r="895" spans="1:35" ht="15" customHeight="1" x14ac:dyDescent="0.45">
      <c r="A895" s="256" t="s">
        <v>72</v>
      </c>
      <c r="B895" s="257"/>
      <c r="C895" s="257"/>
      <c r="D895" s="257"/>
      <c r="E895" s="257"/>
      <c r="F895" s="257"/>
      <c r="G895" s="257"/>
      <c r="H895" s="257"/>
      <c r="I895" s="257"/>
      <c r="J895" s="257"/>
      <c r="K895" s="257"/>
      <c r="L895" s="257"/>
      <c r="M895" s="257"/>
      <c r="N895" s="257"/>
      <c r="O895" s="257"/>
      <c r="P895" s="257"/>
      <c r="Q895" s="257"/>
      <c r="R895" s="257"/>
      <c r="S895" s="257"/>
      <c r="T895" s="257"/>
      <c r="U895" s="257"/>
      <c r="V895" s="257"/>
      <c r="W895" s="257"/>
      <c r="X895" s="257"/>
      <c r="Y895" s="257"/>
      <c r="Z895" s="257"/>
      <c r="AA895" s="257"/>
      <c r="AB895" s="257"/>
      <c r="AC895" s="257"/>
      <c r="AD895" s="257"/>
      <c r="AE895" s="257"/>
      <c r="AF895" s="257"/>
      <c r="AG895" s="257"/>
      <c r="AH895" s="257"/>
      <c r="AI895" s="258"/>
    </row>
    <row r="896" spans="1:35" ht="15" customHeight="1" x14ac:dyDescent="0.45">
      <c r="A896" s="259"/>
      <c r="B896" s="260"/>
      <c r="C896" s="260"/>
      <c r="D896" s="260"/>
      <c r="E896" s="260"/>
      <c r="F896" s="260"/>
      <c r="G896" s="260"/>
      <c r="H896" s="260"/>
      <c r="I896" s="260"/>
      <c r="J896" s="260"/>
      <c r="K896" s="260"/>
      <c r="L896" s="260"/>
      <c r="M896" s="260"/>
      <c r="N896" s="260"/>
      <c r="O896" s="260"/>
      <c r="P896" s="260"/>
      <c r="Q896" s="260"/>
      <c r="R896" s="260"/>
      <c r="S896" s="260"/>
      <c r="T896" s="260"/>
      <c r="U896" s="260"/>
      <c r="V896" s="260"/>
      <c r="W896" s="260"/>
      <c r="X896" s="260"/>
      <c r="Y896" s="260"/>
      <c r="Z896" s="260"/>
      <c r="AA896" s="260"/>
      <c r="AB896" s="260"/>
      <c r="AC896" s="260"/>
      <c r="AD896" s="260"/>
      <c r="AE896" s="260"/>
      <c r="AF896" s="260"/>
      <c r="AG896" s="260"/>
      <c r="AH896" s="260"/>
      <c r="AI896" s="261"/>
    </row>
    <row r="897" spans="1:42" ht="15" customHeight="1" x14ac:dyDescent="0.45">
      <c r="A897" s="259"/>
      <c r="B897" s="260"/>
      <c r="C897" s="260"/>
      <c r="D897" s="260"/>
      <c r="E897" s="260"/>
      <c r="F897" s="260"/>
      <c r="G897" s="260"/>
      <c r="H897" s="260"/>
      <c r="I897" s="260"/>
      <c r="J897" s="260"/>
      <c r="K897" s="260"/>
      <c r="L897" s="260"/>
      <c r="M897" s="260"/>
      <c r="N897" s="260"/>
      <c r="O897" s="260"/>
      <c r="P897" s="260"/>
      <c r="Q897" s="260"/>
      <c r="R897" s="260"/>
      <c r="S897" s="260"/>
      <c r="T897" s="260"/>
      <c r="U897" s="260"/>
      <c r="V897" s="260"/>
      <c r="W897" s="260"/>
      <c r="X897" s="260"/>
      <c r="Y897" s="260"/>
      <c r="Z897" s="260"/>
      <c r="AA897" s="260"/>
      <c r="AB897" s="260"/>
      <c r="AC897" s="260"/>
      <c r="AD897" s="260"/>
      <c r="AE897" s="260"/>
      <c r="AF897" s="260"/>
      <c r="AG897" s="260"/>
      <c r="AH897" s="260"/>
      <c r="AI897" s="261"/>
    </row>
    <row r="898" spans="1:42" ht="15" customHeight="1" x14ac:dyDescent="0.45">
      <c r="A898" s="259"/>
      <c r="B898" s="260"/>
      <c r="C898" s="260"/>
      <c r="D898" s="260"/>
      <c r="E898" s="260"/>
      <c r="F898" s="260"/>
      <c r="G898" s="260"/>
      <c r="H898" s="260"/>
      <c r="I898" s="260"/>
      <c r="J898" s="260"/>
      <c r="K898" s="260"/>
      <c r="L898" s="260"/>
      <c r="M898" s="260"/>
      <c r="N898" s="260"/>
      <c r="O898" s="260"/>
      <c r="P898" s="260"/>
      <c r="Q898" s="260"/>
      <c r="R898" s="260"/>
      <c r="S898" s="260"/>
      <c r="T898" s="260"/>
      <c r="U898" s="260"/>
      <c r="V898" s="260"/>
      <c r="W898" s="260"/>
      <c r="X898" s="260"/>
      <c r="Y898" s="260"/>
      <c r="Z898" s="260"/>
      <c r="AA898" s="260"/>
      <c r="AB898" s="260"/>
      <c r="AC898" s="260"/>
      <c r="AD898" s="260"/>
      <c r="AE898" s="260"/>
      <c r="AF898" s="260"/>
      <c r="AG898" s="260"/>
      <c r="AH898" s="260"/>
      <c r="AI898" s="261"/>
    </row>
    <row r="899" spans="1:42" ht="15" customHeight="1" x14ac:dyDescent="0.45">
      <c r="A899" s="259"/>
      <c r="B899" s="260"/>
      <c r="C899" s="260"/>
      <c r="D899" s="260"/>
      <c r="E899" s="260"/>
      <c r="F899" s="260"/>
      <c r="G899" s="260"/>
      <c r="H899" s="260"/>
      <c r="I899" s="260"/>
      <c r="J899" s="260"/>
      <c r="K899" s="260"/>
      <c r="L899" s="260"/>
      <c r="M899" s="260"/>
      <c r="N899" s="260"/>
      <c r="O899" s="260"/>
      <c r="P899" s="260"/>
      <c r="Q899" s="260"/>
      <c r="R899" s="260"/>
      <c r="S899" s="260"/>
      <c r="T899" s="260"/>
      <c r="U899" s="260"/>
      <c r="V899" s="260"/>
      <c r="W899" s="260"/>
      <c r="X899" s="260"/>
      <c r="Y899" s="260"/>
      <c r="Z899" s="260"/>
      <c r="AA899" s="260"/>
      <c r="AB899" s="260"/>
      <c r="AC899" s="260"/>
      <c r="AD899" s="260"/>
      <c r="AE899" s="260"/>
      <c r="AF899" s="260"/>
      <c r="AG899" s="260"/>
      <c r="AH899" s="260"/>
      <c r="AI899" s="261"/>
    </row>
    <row r="900" spans="1:42" ht="15" customHeight="1" x14ac:dyDescent="0.45">
      <c r="A900" s="259"/>
      <c r="B900" s="260"/>
      <c r="C900" s="260"/>
      <c r="D900" s="260"/>
      <c r="E900" s="260"/>
      <c r="F900" s="260"/>
      <c r="G900" s="260"/>
      <c r="H900" s="260"/>
      <c r="I900" s="260"/>
      <c r="J900" s="260"/>
      <c r="K900" s="260"/>
      <c r="L900" s="260"/>
      <c r="M900" s="260"/>
      <c r="N900" s="260"/>
      <c r="O900" s="260"/>
      <c r="P900" s="260"/>
      <c r="Q900" s="260"/>
      <c r="R900" s="260"/>
      <c r="S900" s="260"/>
      <c r="T900" s="260"/>
      <c r="U900" s="260"/>
      <c r="V900" s="260"/>
      <c r="W900" s="260"/>
      <c r="X900" s="260"/>
      <c r="Y900" s="260"/>
      <c r="Z900" s="260"/>
      <c r="AA900" s="260"/>
      <c r="AB900" s="260"/>
      <c r="AC900" s="260"/>
      <c r="AD900" s="260"/>
      <c r="AE900" s="260"/>
      <c r="AF900" s="260"/>
      <c r="AG900" s="260"/>
      <c r="AH900" s="260"/>
      <c r="AI900" s="261"/>
    </row>
    <row r="901" spans="1:42" ht="15" customHeight="1" x14ac:dyDescent="0.45">
      <c r="A901" s="259"/>
      <c r="B901" s="260"/>
      <c r="C901" s="260"/>
      <c r="D901" s="260"/>
      <c r="E901" s="260"/>
      <c r="F901" s="260"/>
      <c r="G901" s="260"/>
      <c r="H901" s="260"/>
      <c r="I901" s="260"/>
      <c r="J901" s="260"/>
      <c r="K901" s="260"/>
      <c r="L901" s="260"/>
      <c r="M901" s="260"/>
      <c r="N901" s="260"/>
      <c r="O901" s="260"/>
      <c r="P901" s="260"/>
      <c r="Q901" s="260"/>
      <c r="R901" s="260"/>
      <c r="S901" s="260"/>
      <c r="T901" s="260"/>
      <c r="U901" s="260"/>
      <c r="V901" s="260"/>
      <c r="W901" s="260"/>
      <c r="X901" s="260"/>
      <c r="Y901" s="260"/>
      <c r="Z901" s="260"/>
      <c r="AA901" s="260"/>
      <c r="AB901" s="260"/>
      <c r="AC901" s="260"/>
      <c r="AD901" s="260"/>
      <c r="AE901" s="260"/>
      <c r="AF901" s="260"/>
      <c r="AG901" s="260"/>
      <c r="AH901" s="260"/>
      <c r="AI901" s="261"/>
    </row>
    <row r="902" spans="1:42" ht="15" customHeight="1" x14ac:dyDescent="0.45">
      <c r="A902" s="259"/>
      <c r="B902" s="260"/>
      <c r="C902" s="260"/>
      <c r="D902" s="260"/>
      <c r="E902" s="260"/>
      <c r="F902" s="260"/>
      <c r="G902" s="260"/>
      <c r="H902" s="260"/>
      <c r="I902" s="260"/>
      <c r="J902" s="260"/>
      <c r="K902" s="260"/>
      <c r="L902" s="260"/>
      <c r="M902" s="260"/>
      <c r="N902" s="260"/>
      <c r="O902" s="260"/>
      <c r="P902" s="260"/>
      <c r="Q902" s="260"/>
      <c r="R902" s="260"/>
      <c r="S902" s="260"/>
      <c r="T902" s="260"/>
      <c r="U902" s="260"/>
      <c r="V902" s="260"/>
      <c r="W902" s="260"/>
      <c r="X902" s="260"/>
      <c r="Y902" s="260"/>
      <c r="Z902" s="260"/>
      <c r="AA902" s="260"/>
      <c r="AB902" s="260"/>
      <c r="AC902" s="260"/>
      <c r="AD902" s="260"/>
      <c r="AE902" s="260"/>
      <c r="AF902" s="260"/>
      <c r="AG902" s="260"/>
      <c r="AH902" s="260"/>
      <c r="AI902" s="261"/>
      <c r="AK902" s="6" t="s">
        <v>367</v>
      </c>
    </row>
    <row r="903" spans="1:42" ht="15" customHeight="1" x14ac:dyDescent="0.45">
      <c r="A903" s="259"/>
      <c r="B903" s="260"/>
      <c r="C903" s="260"/>
      <c r="D903" s="260"/>
      <c r="E903" s="260"/>
      <c r="F903" s="260"/>
      <c r="G903" s="260"/>
      <c r="H903" s="260"/>
      <c r="I903" s="260"/>
      <c r="J903" s="260"/>
      <c r="K903" s="260"/>
      <c r="L903" s="260"/>
      <c r="M903" s="260"/>
      <c r="N903" s="260"/>
      <c r="O903" s="260"/>
      <c r="P903" s="260"/>
      <c r="Q903" s="260"/>
      <c r="R903" s="260"/>
      <c r="S903" s="260"/>
      <c r="T903" s="260"/>
      <c r="U903" s="260"/>
      <c r="V903" s="260"/>
      <c r="W903" s="260"/>
      <c r="X903" s="260"/>
      <c r="Y903" s="260"/>
      <c r="Z903" s="260"/>
      <c r="AA903" s="260"/>
      <c r="AB903" s="260"/>
      <c r="AC903" s="260"/>
      <c r="AD903" s="260"/>
      <c r="AE903" s="260"/>
      <c r="AF903" s="260"/>
      <c r="AG903" s="260"/>
      <c r="AH903" s="260"/>
      <c r="AI903" s="261"/>
      <c r="AK903" s="6" t="s">
        <v>368</v>
      </c>
    </row>
    <row r="904" spans="1:42" ht="15" customHeight="1" x14ac:dyDescent="0.45">
      <c r="A904" s="259"/>
      <c r="B904" s="260"/>
      <c r="C904" s="260"/>
      <c r="D904" s="260"/>
      <c r="E904" s="260"/>
      <c r="F904" s="260"/>
      <c r="G904" s="260"/>
      <c r="H904" s="260"/>
      <c r="I904" s="260"/>
      <c r="J904" s="260"/>
      <c r="K904" s="260"/>
      <c r="L904" s="260"/>
      <c r="M904" s="260"/>
      <c r="N904" s="260"/>
      <c r="O904" s="260"/>
      <c r="P904" s="260"/>
      <c r="Q904" s="260"/>
      <c r="R904" s="260"/>
      <c r="S904" s="260"/>
      <c r="T904" s="260"/>
      <c r="U904" s="260"/>
      <c r="V904" s="260"/>
      <c r="W904" s="260"/>
      <c r="X904" s="260"/>
      <c r="Y904" s="260"/>
      <c r="Z904" s="260"/>
      <c r="AA904" s="260"/>
      <c r="AB904" s="260"/>
      <c r="AC904" s="260"/>
      <c r="AD904" s="260"/>
      <c r="AE904" s="260"/>
      <c r="AF904" s="260"/>
      <c r="AG904" s="260"/>
      <c r="AH904" s="260"/>
      <c r="AI904" s="261"/>
      <c r="AK904" s="6" t="s">
        <v>369</v>
      </c>
    </row>
    <row r="905" spans="1:42" ht="15" customHeight="1" x14ac:dyDescent="0.45">
      <c r="A905" s="262"/>
      <c r="B905" s="263"/>
      <c r="C905" s="263"/>
      <c r="D905" s="263"/>
      <c r="E905" s="263"/>
      <c r="F905" s="263"/>
      <c r="G905" s="263"/>
      <c r="H905" s="263"/>
      <c r="I905" s="263"/>
      <c r="J905" s="263"/>
      <c r="K905" s="263"/>
      <c r="L905" s="263"/>
      <c r="M905" s="263"/>
      <c r="N905" s="263"/>
      <c r="O905" s="263"/>
      <c r="P905" s="263"/>
      <c r="Q905" s="263"/>
      <c r="R905" s="263"/>
      <c r="S905" s="263"/>
      <c r="T905" s="263"/>
      <c r="U905" s="263"/>
      <c r="V905" s="263"/>
      <c r="W905" s="263"/>
      <c r="X905" s="263"/>
      <c r="Y905" s="263"/>
      <c r="Z905" s="263"/>
      <c r="AA905" s="263"/>
      <c r="AB905" s="263"/>
      <c r="AC905" s="263"/>
      <c r="AD905" s="263"/>
      <c r="AE905" s="263"/>
      <c r="AF905" s="263"/>
      <c r="AG905" s="263"/>
      <c r="AH905" s="263"/>
      <c r="AI905" s="264"/>
      <c r="AK905" s="6" t="s">
        <v>370</v>
      </c>
    </row>
    <row r="906" spans="1:42" ht="15" customHeight="1" x14ac:dyDescent="0.45"/>
    <row r="907" spans="1:42" ht="15" customHeight="1" x14ac:dyDescent="0.45">
      <c r="A907" s="14" t="s">
        <v>371</v>
      </c>
      <c r="B907" s="14"/>
      <c r="C907" s="14"/>
      <c r="D907" s="14"/>
      <c r="E907" s="14"/>
      <c r="F907" s="15" t="s">
        <v>323</v>
      </c>
      <c r="G907" s="15"/>
      <c r="H907" s="15"/>
      <c r="I907" s="15"/>
      <c r="J907" s="15"/>
      <c r="K907" s="15"/>
      <c r="L907" s="15"/>
      <c r="M907" s="15"/>
      <c r="N907" s="15"/>
      <c r="O907" s="15"/>
      <c r="P907" s="15"/>
      <c r="Q907" s="15"/>
      <c r="R907" s="15"/>
      <c r="S907" s="15"/>
      <c r="T907" s="15"/>
      <c r="U907" s="15"/>
      <c r="V907" s="15"/>
      <c r="W907" s="15"/>
      <c r="X907" s="15"/>
      <c r="Y907" s="15"/>
      <c r="Z907" s="15"/>
      <c r="AA907" s="15"/>
      <c r="AB907" s="15"/>
      <c r="AC907" s="66" t="s">
        <v>318</v>
      </c>
      <c r="AD907" s="66"/>
      <c r="AE907" s="66"/>
      <c r="AF907" s="66"/>
      <c r="AG907" s="66"/>
      <c r="AH907" s="66"/>
      <c r="AI907" s="66"/>
      <c r="AK907" s="6" t="s">
        <v>372</v>
      </c>
      <c r="AP907" s="6" t="s">
        <v>373</v>
      </c>
    </row>
    <row r="908" spans="1:42" ht="15" customHeight="1" x14ac:dyDescent="0.45">
      <c r="AK908" s="6" t="s">
        <v>374</v>
      </c>
      <c r="AP908" s="6" t="s">
        <v>375</v>
      </c>
    </row>
    <row r="909" spans="1:42" ht="15" customHeight="1" thickBot="1" x14ac:dyDescent="0.5">
      <c r="A909" s="78" t="s">
        <v>98</v>
      </c>
      <c r="B909" s="79"/>
      <c r="C909" s="80"/>
      <c r="D909" s="78" t="s">
        <v>99</v>
      </c>
      <c r="E909" s="79"/>
      <c r="F909" s="79"/>
      <c r="G909" s="79"/>
      <c r="H909" s="79"/>
      <c r="I909" s="79"/>
      <c r="J909" s="79"/>
      <c r="K909" s="79"/>
      <c r="L909" s="79"/>
      <c r="M909" s="79"/>
      <c r="N909" s="79"/>
      <c r="O909" s="79"/>
      <c r="P909" s="79"/>
      <c r="Q909" s="79"/>
      <c r="R909" s="79"/>
      <c r="S909" s="79"/>
      <c r="T909" s="79"/>
      <c r="U909" s="79"/>
      <c r="V909" s="79"/>
      <c r="W909" s="79"/>
      <c r="X909" s="79"/>
      <c r="Y909" s="79"/>
      <c r="Z909" s="79"/>
      <c r="AA909" s="79"/>
      <c r="AB909" s="79"/>
      <c r="AC909" s="80"/>
      <c r="AD909" s="78" t="s">
        <v>100</v>
      </c>
      <c r="AE909" s="79"/>
      <c r="AF909" s="79"/>
      <c r="AG909" s="79"/>
      <c r="AH909" s="79"/>
      <c r="AI909" s="80"/>
    </row>
    <row r="910" spans="1:42" ht="15" customHeight="1" thickTop="1" x14ac:dyDescent="0.45">
      <c r="A910" s="31"/>
      <c r="B910" s="32"/>
      <c r="C910" s="381"/>
      <c r="D910" s="50" t="s">
        <v>376</v>
      </c>
      <c r="E910" s="382"/>
      <c r="F910" s="382"/>
      <c r="G910" s="382"/>
      <c r="H910" s="382"/>
      <c r="I910" s="382"/>
      <c r="J910" s="382"/>
      <c r="K910" s="382"/>
      <c r="L910" s="382"/>
      <c r="M910" s="382"/>
      <c r="N910" s="382"/>
      <c r="O910" s="382"/>
      <c r="P910" s="382"/>
      <c r="Q910" s="18"/>
      <c r="R910" s="18"/>
      <c r="S910" s="18"/>
      <c r="T910" s="18"/>
      <c r="U910" s="18"/>
      <c r="V910" s="18"/>
      <c r="W910" s="18"/>
      <c r="X910" s="18"/>
      <c r="Y910" s="18"/>
      <c r="Z910" s="18"/>
      <c r="AA910" s="18"/>
      <c r="AB910" s="18"/>
      <c r="AC910" s="19"/>
      <c r="AD910" s="400" t="s">
        <v>377</v>
      </c>
      <c r="AE910" s="401"/>
      <c r="AF910" s="401"/>
      <c r="AG910" s="401"/>
      <c r="AH910" s="401"/>
      <c r="AI910" s="402"/>
    </row>
    <row r="911" spans="1:42" ht="15" customHeight="1" x14ac:dyDescent="0.45">
      <c r="A911" s="20"/>
      <c r="B911" s="21"/>
      <c r="C911" s="331"/>
      <c r="D911" s="302"/>
      <c r="E911" s="383"/>
      <c r="F911" s="383"/>
      <c r="G911" s="383"/>
      <c r="H911" s="383"/>
      <c r="I911" s="383"/>
      <c r="J911" s="383"/>
      <c r="K911" s="383"/>
      <c r="L911" s="383"/>
      <c r="M911" s="383"/>
      <c r="N911" s="383"/>
      <c r="O911" s="383"/>
      <c r="P911" s="383"/>
      <c r="AC911" s="25"/>
      <c r="AD911" s="403"/>
      <c r="AE911" s="404"/>
      <c r="AF911" s="404"/>
      <c r="AG911" s="404"/>
      <c r="AH911" s="404"/>
      <c r="AI911" s="405"/>
    </row>
    <row r="912" spans="1:42" ht="15" customHeight="1" x14ac:dyDescent="0.45">
      <c r="A912" s="164" t="s">
        <v>180</v>
      </c>
      <c r="B912" s="165"/>
      <c r="C912" s="166"/>
      <c r="D912" s="86" t="s">
        <v>326</v>
      </c>
      <c r="E912" s="87"/>
      <c r="F912" s="87"/>
      <c r="G912" s="87"/>
      <c r="H912" s="87"/>
      <c r="I912" s="18"/>
      <c r="J912" s="18"/>
      <c r="K912" s="18"/>
      <c r="L912" s="18"/>
      <c r="M912" s="18"/>
      <c r="N912" s="18"/>
      <c r="O912" s="18"/>
      <c r="P912" s="18"/>
      <c r="Q912" s="18"/>
      <c r="R912" s="18"/>
      <c r="S912" s="18"/>
      <c r="T912" s="18"/>
      <c r="U912" s="18"/>
      <c r="V912" s="18"/>
      <c r="W912" s="18"/>
      <c r="X912" s="18"/>
      <c r="Y912" s="18"/>
      <c r="Z912" s="18"/>
      <c r="AA912" s="18"/>
      <c r="AB912" s="18"/>
      <c r="AC912" s="19"/>
      <c r="AD912" s="385"/>
      <c r="AE912" s="386"/>
      <c r="AF912" s="386"/>
      <c r="AG912" s="386"/>
      <c r="AH912" s="386"/>
      <c r="AI912" s="387"/>
    </row>
    <row r="913" spans="1:35" ht="15" customHeight="1" x14ac:dyDescent="0.45">
      <c r="A913" s="159"/>
      <c r="B913" s="160"/>
      <c r="C913" s="161"/>
      <c r="D913" s="279" t="str">
        <f>V$1 &amp; " Road Approach"</f>
        <v>N Road Approach</v>
      </c>
      <c r="E913" s="111"/>
      <c r="F913" s="111"/>
      <c r="G913" s="111"/>
      <c r="H913" s="111"/>
      <c r="I913" s="48"/>
      <c r="J913" s="48"/>
      <c r="K913" s="48"/>
      <c r="L913" s="48"/>
      <c r="M913" s="48"/>
      <c r="N913" s="142"/>
      <c r="P913" s="111" t="str">
        <f>Z$1 &amp; " Road Approach"</f>
        <v>S Road Approach</v>
      </c>
      <c r="Q913" s="111"/>
      <c r="R913" s="111"/>
      <c r="S913" s="111"/>
      <c r="T913" s="111"/>
      <c r="U913" s="48"/>
      <c r="V913" s="48"/>
      <c r="W913" s="48"/>
      <c r="X913" s="48"/>
      <c r="Y913" s="48"/>
      <c r="Z913" s="110"/>
      <c r="AA913" s="110"/>
      <c r="AB913" s="110"/>
      <c r="AC913" s="113"/>
      <c r="AD913" s="388"/>
      <c r="AE913" s="389"/>
      <c r="AF913" s="389"/>
      <c r="AG913" s="389"/>
      <c r="AH913" s="389"/>
      <c r="AI913" s="390"/>
    </row>
    <row r="914" spans="1:35" ht="15" customHeight="1" x14ac:dyDescent="0.45">
      <c r="A914" s="326" t="s">
        <v>155</v>
      </c>
      <c r="B914" s="327"/>
      <c r="C914" s="328"/>
      <c r="D914" s="86" t="s">
        <v>347</v>
      </c>
      <c r="E914" s="87"/>
      <c r="F914" s="87"/>
      <c r="G914" s="87"/>
      <c r="H914" s="87"/>
      <c r="I914" s="18"/>
      <c r="J914" s="18"/>
      <c r="K914" s="18"/>
      <c r="L914" s="18"/>
      <c r="M914" s="18"/>
      <c r="N914" s="18"/>
      <c r="O914" s="18"/>
      <c r="P914" s="18"/>
      <c r="Q914" s="18"/>
      <c r="R914" s="18"/>
      <c r="S914" s="18"/>
      <c r="T914" s="18"/>
      <c r="U914" s="18"/>
      <c r="V914" s="18"/>
      <c r="W914" s="18"/>
      <c r="X914" s="18"/>
      <c r="Y914" s="18"/>
      <c r="Z914" s="18"/>
      <c r="AA914" s="18"/>
      <c r="AB914" s="18"/>
      <c r="AC914" s="19"/>
      <c r="AD914" s="385" t="s">
        <v>378</v>
      </c>
      <c r="AE914" s="386"/>
      <c r="AF914" s="386"/>
      <c r="AG914" s="386"/>
      <c r="AH914" s="386"/>
      <c r="AI914" s="387"/>
    </row>
    <row r="915" spans="1:35" ht="15" customHeight="1" x14ac:dyDescent="0.45">
      <c r="A915" s="372"/>
      <c r="B915" s="373"/>
      <c r="C915" s="374"/>
      <c r="D915" s="279" t="str">
        <f>V$1 &amp; " Road Approach"</f>
        <v>N Road Approach</v>
      </c>
      <c r="E915" s="111"/>
      <c r="F915" s="111"/>
      <c r="G915" s="111"/>
      <c r="H915" s="111"/>
      <c r="I915" s="112"/>
      <c r="J915" s="112"/>
      <c r="K915" s="112"/>
      <c r="L915" s="112"/>
      <c r="M915" s="112"/>
      <c r="N915" s="142"/>
      <c r="P915" s="111" t="str">
        <f>Z$1 &amp; " Road Approach"</f>
        <v>S Road Approach</v>
      </c>
      <c r="Q915" s="111"/>
      <c r="R915" s="111"/>
      <c r="S915" s="111"/>
      <c r="T915" s="111"/>
      <c r="U915" s="112"/>
      <c r="V915" s="112"/>
      <c r="W915" s="112"/>
      <c r="X915" s="112"/>
      <c r="Y915" s="112"/>
      <c r="Z915" s="110"/>
      <c r="AA915" s="110"/>
      <c r="AB915" s="110"/>
      <c r="AC915" s="113"/>
      <c r="AD915" s="388"/>
      <c r="AE915" s="389"/>
      <c r="AF915" s="389"/>
      <c r="AG915" s="389"/>
      <c r="AH915" s="389"/>
      <c r="AI915" s="390"/>
    </row>
    <row r="916" spans="1:35" ht="15" customHeight="1" x14ac:dyDescent="0.45">
      <c r="A916" s="164" t="s">
        <v>159</v>
      </c>
      <c r="B916" s="165"/>
      <c r="C916" s="166"/>
      <c r="D916" s="86" t="s">
        <v>357</v>
      </c>
      <c r="E916" s="87"/>
      <c r="F916" s="87"/>
      <c r="G916" s="87"/>
      <c r="H916" s="87"/>
      <c r="I916" s="87"/>
      <c r="J916" s="18"/>
      <c r="K916" s="18"/>
      <c r="L916" s="18"/>
      <c r="M916" s="18"/>
      <c r="N916" s="18"/>
      <c r="O916" s="18"/>
      <c r="P916" s="18"/>
      <c r="Q916" s="18"/>
      <c r="R916" s="18"/>
      <c r="S916" s="18"/>
      <c r="T916" s="18"/>
      <c r="U916" s="18"/>
      <c r="V916" s="18"/>
      <c r="W916" s="18"/>
      <c r="X916" s="18"/>
      <c r="Y916" s="18"/>
      <c r="Z916" s="18"/>
      <c r="AA916" s="18"/>
      <c r="AB916" s="18"/>
      <c r="AC916" s="19"/>
      <c r="AD916" s="385"/>
      <c r="AE916" s="386"/>
      <c r="AF916" s="386"/>
      <c r="AG916" s="386"/>
      <c r="AH916" s="386"/>
      <c r="AI916" s="387"/>
    </row>
    <row r="917" spans="1:35" ht="15" customHeight="1" x14ac:dyDescent="0.45">
      <c r="A917" s="299"/>
      <c r="B917" s="300"/>
      <c r="C917" s="301"/>
      <c r="D917" s="302"/>
      <c r="E917" s="97" t="str">
        <f>V$1 &amp; " Road Approach"</f>
        <v>N Road Approach</v>
      </c>
      <c r="F917" s="97"/>
      <c r="G917" s="97"/>
      <c r="H917" s="97"/>
      <c r="I917" s="97"/>
      <c r="J917" s="394"/>
      <c r="K917" s="394"/>
      <c r="L917" s="394"/>
      <c r="M917" s="6" t="s">
        <v>157</v>
      </c>
      <c r="O917" s="6"/>
      <c r="P917" s="97" t="str">
        <f>Z$1 &amp; " Road Approach"</f>
        <v>S Road Approach</v>
      </c>
      <c r="Q917" s="97"/>
      <c r="R917" s="97"/>
      <c r="S917" s="97"/>
      <c r="T917" s="97"/>
      <c r="U917" s="394"/>
      <c r="V917" s="394"/>
      <c r="W917" s="394"/>
      <c r="X917" s="6" t="s">
        <v>157</v>
      </c>
      <c r="Z917" s="6"/>
      <c r="AC917" s="25"/>
      <c r="AD917" s="391" t="s">
        <v>358</v>
      </c>
      <c r="AE917" s="392"/>
      <c r="AF917" s="392"/>
      <c r="AG917" s="392"/>
      <c r="AH917" s="392"/>
      <c r="AI917" s="393"/>
    </row>
    <row r="918" spans="1:35" ht="15" customHeight="1" x14ac:dyDescent="0.45">
      <c r="A918" s="299"/>
      <c r="B918" s="300"/>
      <c r="C918" s="301"/>
      <c r="D918" s="96" t="s">
        <v>359</v>
      </c>
      <c r="E918" s="97"/>
      <c r="F918" s="97"/>
      <c r="G918" s="97"/>
      <c r="H918" s="97"/>
      <c r="AC918" s="25"/>
      <c r="AD918" s="391"/>
      <c r="AE918" s="392"/>
      <c r="AF918" s="392"/>
      <c r="AG918" s="392"/>
      <c r="AH918" s="392"/>
      <c r="AI918" s="393"/>
    </row>
    <row r="919" spans="1:35" ht="15" customHeight="1" x14ac:dyDescent="0.45">
      <c r="A919" s="299"/>
      <c r="B919" s="300"/>
      <c r="C919" s="301"/>
      <c r="D919" s="302"/>
      <c r="E919" s="97" t="str">
        <f>V$1 &amp; " Road Approach"</f>
        <v>N Road Approach</v>
      </c>
      <c r="F919" s="97"/>
      <c r="G919" s="97"/>
      <c r="H919" s="97"/>
      <c r="I919" s="97"/>
      <c r="J919" s="394"/>
      <c r="K919" s="394"/>
      <c r="L919" s="394"/>
      <c r="M919" s="6" t="s">
        <v>157</v>
      </c>
      <c r="O919" s="6"/>
      <c r="P919" s="97" t="str">
        <f>Z$1 &amp; " Road Approach"</f>
        <v>S Road Approach</v>
      </c>
      <c r="Q919" s="97"/>
      <c r="R919" s="97"/>
      <c r="S919" s="97"/>
      <c r="T919" s="97"/>
      <c r="U919" s="394"/>
      <c r="V919" s="394"/>
      <c r="W919" s="394"/>
      <c r="X919" s="6" t="s">
        <v>157</v>
      </c>
      <c r="Z919" s="6"/>
      <c r="AC919" s="25"/>
      <c r="AD919" s="391" t="s">
        <v>360</v>
      </c>
      <c r="AE919" s="392"/>
      <c r="AF919" s="392"/>
      <c r="AG919" s="392"/>
      <c r="AH919" s="392"/>
      <c r="AI919" s="393"/>
    </row>
    <row r="920" spans="1:35" ht="15" customHeight="1" x14ac:dyDescent="0.45">
      <c r="A920" s="299"/>
      <c r="B920" s="300"/>
      <c r="C920" s="301"/>
      <c r="D920" s="96" t="s">
        <v>361</v>
      </c>
      <c r="E920" s="97"/>
      <c r="G920" s="6"/>
      <c r="AC920" s="25"/>
      <c r="AD920" s="391"/>
      <c r="AE920" s="392"/>
      <c r="AF920" s="392"/>
      <c r="AG920" s="392"/>
      <c r="AH920" s="392"/>
      <c r="AI920" s="393"/>
    </row>
    <row r="921" spans="1:35" ht="15" customHeight="1" x14ac:dyDescent="0.45">
      <c r="A921" s="159"/>
      <c r="B921" s="160"/>
      <c r="C921" s="161"/>
      <c r="D921" s="171"/>
      <c r="E921" s="111" t="str">
        <f>V$1 &amp; " Road Approach"</f>
        <v>N Road Approach</v>
      </c>
      <c r="F921" s="111"/>
      <c r="G921" s="111"/>
      <c r="H921" s="111"/>
      <c r="I921" s="111"/>
      <c r="J921" s="406"/>
      <c r="K921" s="406"/>
      <c r="L921" s="406"/>
      <c r="M921" s="6" t="s">
        <v>157</v>
      </c>
      <c r="O921" s="6"/>
      <c r="P921" s="111" t="str">
        <f>Z$1 &amp; " Road Approach"</f>
        <v>S Road Approach</v>
      </c>
      <c r="Q921" s="111"/>
      <c r="R921" s="111"/>
      <c r="S921" s="111"/>
      <c r="T921" s="111"/>
      <c r="U921" s="406"/>
      <c r="V921" s="406"/>
      <c r="W921" s="406"/>
      <c r="X921" s="6" t="s">
        <v>157</v>
      </c>
      <c r="Z921" s="6"/>
      <c r="AA921" s="110"/>
      <c r="AB921" s="110"/>
      <c r="AC921" s="113"/>
      <c r="AD921" s="391" t="s">
        <v>360</v>
      </c>
      <c r="AE921" s="392"/>
      <c r="AF921" s="392"/>
      <c r="AG921" s="392"/>
      <c r="AH921" s="392"/>
      <c r="AI921" s="393"/>
    </row>
    <row r="922" spans="1:35" ht="15" customHeight="1" x14ac:dyDescent="0.45">
      <c r="A922" s="176" t="s">
        <v>208</v>
      </c>
      <c r="B922" s="177"/>
      <c r="C922" s="177"/>
      <c r="D922" s="177"/>
      <c r="E922" s="177"/>
      <c r="F922" s="177"/>
      <c r="G922" s="177"/>
      <c r="H922" s="177"/>
      <c r="I922" s="177"/>
      <c r="J922" s="177"/>
      <c r="K922" s="177"/>
      <c r="L922" s="177"/>
      <c r="M922" s="177"/>
      <c r="N922" s="177"/>
      <c r="O922" s="177"/>
      <c r="P922" s="177"/>
      <c r="Q922" s="177"/>
      <c r="R922" s="177"/>
      <c r="S922" s="177"/>
      <c r="T922" s="177"/>
      <c r="U922" s="177"/>
      <c r="V922" s="177"/>
      <c r="W922" s="177"/>
      <c r="X922" s="177"/>
      <c r="Y922" s="177"/>
      <c r="Z922" s="177"/>
      <c r="AA922" s="177"/>
      <c r="AB922" s="177"/>
      <c r="AC922" s="177"/>
      <c r="AD922" s="177"/>
      <c r="AE922" s="177"/>
      <c r="AF922" s="177"/>
      <c r="AG922" s="177"/>
      <c r="AH922" s="177"/>
      <c r="AI922" s="178"/>
    </row>
    <row r="923" spans="1:35" ht="15" customHeight="1" x14ac:dyDescent="0.45">
      <c r="A923" s="256"/>
      <c r="B923" s="257"/>
      <c r="C923" s="257"/>
      <c r="D923" s="257"/>
      <c r="E923" s="257"/>
      <c r="F923" s="257"/>
      <c r="G923" s="257"/>
      <c r="H923" s="257"/>
      <c r="I923" s="257"/>
      <c r="J923" s="257"/>
      <c r="K923" s="257"/>
      <c r="L923" s="257"/>
      <c r="M923" s="257"/>
      <c r="N923" s="257"/>
      <c r="O923" s="257"/>
      <c r="P923" s="257"/>
      <c r="Q923" s="257"/>
      <c r="R923" s="257"/>
      <c r="S923" s="257"/>
      <c r="T923" s="257"/>
      <c r="U923" s="257"/>
      <c r="V923" s="257"/>
      <c r="W923" s="257"/>
      <c r="X923" s="257"/>
      <c r="Y923" s="257"/>
      <c r="Z923" s="257"/>
      <c r="AA923" s="257"/>
      <c r="AB923" s="257"/>
      <c r="AC923" s="257"/>
      <c r="AD923" s="257"/>
      <c r="AE923" s="257"/>
      <c r="AF923" s="257"/>
      <c r="AG923" s="257"/>
      <c r="AH923" s="257"/>
      <c r="AI923" s="258"/>
    </row>
    <row r="924" spans="1:35" ht="15" customHeight="1" x14ac:dyDescent="0.45">
      <c r="A924" s="259"/>
      <c r="B924" s="260"/>
      <c r="C924" s="260"/>
      <c r="D924" s="260"/>
      <c r="E924" s="260"/>
      <c r="F924" s="260"/>
      <c r="G924" s="260"/>
      <c r="H924" s="260"/>
      <c r="I924" s="260"/>
      <c r="J924" s="260"/>
      <c r="K924" s="260"/>
      <c r="L924" s="260"/>
      <c r="M924" s="260"/>
      <c r="N924" s="260"/>
      <c r="O924" s="260"/>
      <c r="P924" s="260"/>
      <c r="Q924" s="260"/>
      <c r="R924" s="260"/>
      <c r="S924" s="260"/>
      <c r="T924" s="260"/>
      <c r="U924" s="260"/>
      <c r="V924" s="260"/>
      <c r="W924" s="260"/>
      <c r="X924" s="260"/>
      <c r="Y924" s="260"/>
      <c r="Z924" s="260"/>
      <c r="AA924" s="260"/>
      <c r="AB924" s="260"/>
      <c r="AC924" s="260"/>
      <c r="AD924" s="260"/>
      <c r="AE924" s="260"/>
      <c r="AF924" s="260"/>
      <c r="AG924" s="260"/>
      <c r="AH924" s="260"/>
      <c r="AI924" s="261"/>
    </row>
    <row r="925" spans="1:35" ht="15" customHeight="1" x14ac:dyDescent="0.45">
      <c r="A925" s="259"/>
      <c r="B925" s="260"/>
      <c r="C925" s="260"/>
      <c r="D925" s="260"/>
      <c r="E925" s="260"/>
      <c r="F925" s="260"/>
      <c r="G925" s="260"/>
      <c r="H925" s="260"/>
      <c r="I925" s="260"/>
      <c r="J925" s="260"/>
      <c r="K925" s="260"/>
      <c r="L925" s="260"/>
      <c r="M925" s="260"/>
      <c r="N925" s="260"/>
      <c r="O925" s="260"/>
      <c r="P925" s="260"/>
      <c r="Q925" s="260"/>
      <c r="R925" s="260"/>
      <c r="S925" s="260"/>
      <c r="T925" s="260"/>
      <c r="U925" s="260"/>
      <c r="V925" s="260"/>
      <c r="W925" s="260"/>
      <c r="X925" s="260"/>
      <c r="Y925" s="260"/>
      <c r="Z925" s="260"/>
      <c r="AA925" s="260"/>
      <c r="AB925" s="260"/>
      <c r="AC925" s="260"/>
      <c r="AD925" s="260"/>
      <c r="AE925" s="260"/>
      <c r="AF925" s="260"/>
      <c r="AG925" s="260"/>
      <c r="AH925" s="260"/>
      <c r="AI925" s="261"/>
    </row>
    <row r="926" spans="1:35" ht="15" customHeight="1" x14ac:dyDescent="0.45">
      <c r="A926" s="259"/>
      <c r="B926" s="260"/>
      <c r="C926" s="260"/>
      <c r="D926" s="260"/>
      <c r="E926" s="260"/>
      <c r="F926" s="260"/>
      <c r="G926" s="260"/>
      <c r="H926" s="260"/>
      <c r="I926" s="260"/>
      <c r="J926" s="260"/>
      <c r="K926" s="260"/>
      <c r="L926" s="260"/>
      <c r="M926" s="260"/>
      <c r="N926" s="260"/>
      <c r="O926" s="260"/>
      <c r="P926" s="260"/>
      <c r="Q926" s="260"/>
      <c r="R926" s="260"/>
      <c r="S926" s="260"/>
      <c r="T926" s="260"/>
      <c r="U926" s="260"/>
      <c r="V926" s="260"/>
      <c r="W926" s="260"/>
      <c r="X926" s="260"/>
      <c r="Y926" s="260"/>
      <c r="Z926" s="260"/>
      <c r="AA926" s="260"/>
      <c r="AB926" s="260"/>
      <c r="AC926" s="260"/>
      <c r="AD926" s="260"/>
      <c r="AE926" s="260"/>
      <c r="AF926" s="260"/>
      <c r="AG926" s="260"/>
      <c r="AH926" s="260"/>
      <c r="AI926" s="261"/>
    </row>
    <row r="927" spans="1:35" ht="15" customHeight="1" x14ac:dyDescent="0.45">
      <c r="A927" s="262"/>
      <c r="B927" s="263"/>
      <c r="C927" s="263"/>
      <c r="D927" s="263"/>
      <c r="E927" s="263"/>
      <c r="F927" s="263"/>
      <c r="G927" s="263"/>
      <c r="H927" s="263"/>
      <c r="I927" s="263"/>
      <c r="J927" s="263"/>
      <c r="K927" s="263"/>
      <c r="L927" s="263"/>
      <c r="M927" s="263"/>
      <c r="N927" s="263"/>
      <c r="O927" s="263"/>
      <c r="P927" s="263"/>
      <c r="Q927" s="263"/>
      <c r="R927" s="263"/>
      <c r="S927" s="263"/>
      <c r="T927" s="263"/>
      <c r="U927" s="263"/>
      <c r="V927" s="263"/>
      <c r="W927" s="263"/>
      <c r="X927" s="263"/>
      <c r="Y927" s="263"/>
      <c r="Z927" s="263"/>
      <c r="AA927" s="263"/>
      <c r="AB927" s="263"/>
      <c r="AC927" s="263"/>
      <c r="AD927" s="263"/>
      <c r="AE927" s="263"/>
      <c r="AF927" s="263"/>
      <c r="AG927" s="263"/>
      <c r="AH927" s="263"/>
      <c r="AI927" s="264"/>
    </row>
    <row r="928" spans="1:35" ht="15" customHeight="1" x14ac:dyDescent="0.45">
      <c r="A928" s="407"/>
      <c r="B928" s="408"/>
      <c r="C928" s="409"/>
      <c r="D928" s="410"/>
      <c r="E928" s="41"/>
      <c r="F928" s="41"/>
      <c r="G928" s="41"/>
      <c r="H928" s="41"/>
      <c r="I928" s="41"/>
      <c r="J928" s="41"/>
      <c r="K928" s="41"/>
      <c r="L928" s="408"/>
      <c r="M928" s="408"/>
      <c r="N928" s="408"/>
      <c r="O928" s="408"/>
      <c r="P928" s="408"/>
      <c r="Q928" s="408"/>
      <c r="R928" s="408"/>
      <c r="S928" s="408"/>
      <c r="T928" s="408"/>
      <c r="U928" s="408"/>
      <c r="V928" s="408"/>
      <c r="W928" s="408"/>
      <c r="X928" s="408"/>
      <c r="Y928" s="408"/>
      <c r="Z928" s="408"/>
      <c r="AA928" s="408"/>
      <c r="AB928" s="408"/>
      <c r="AC928" s="409"/>
      <c r="AD928" s="407"/>
      <c r="AE928" s="408"/>
      <c r="AF928" s="408"/>
      <c r="AG928" s="408"/>
      <c r="AH928" s="408"/>
      <c r="AI928" s="409"/>
    </row>
    <row r="929" spans="1:35" ht="15" customHeight="1" x14ac:dyDescent="0.45">
      <c r="A929" s="31"/>
      <c r="B929" s="32"/>
      <c r="C929" s="381"/>
      <c r="D929" s="50" t="s">
        <v>379</v>
      </c>
      <c r="E929" s="382"/>
      <c r="F929" s="382"/>
      <c r="G929" s="382"/>
      <c r="H929" s="382"/>
      <c r="I929" s="382"/>
      <c r="J929" s="382"/>
      <c r="K929" s="382"/>
      <c r="L929" s="382"/>
      <c r="M929" s="382"/>
      <c r="N929" s="382"/>
      <c r="O929" s="382"/>
      <c r="P929" s="382"/>
      <c r="Q929" s="18"/>
      <c r="R929" s="18"/>
      <c r="S929" s="18"/>
      <c r="T929" s="18"/>
      <c r="U929" s="18"/>
      <c r="V929" s="18"/>
      <c r="W929" s="18"/>
      <c r="X929" s="18"/>
      <c r="Y929" s="18"/>
      <c r="Z929" s="18"/>
      <c r="AA929" s="18"/>
      <c r="AB929" s="18"/>
      <c r="AC929" s="19"/>
      <c r="AD929" s="411" t="s">
        <v>380</v>
      </c>
      <c r="AE929" s="412"/>
      <c r="AF929" s="412"/>
      <c r="AG929" s="412"/>
      <c r="AH929" s="412"/>
      <c r="AI929" s="413"/>
    </row>
    <row r="930" spans="1:35" x14ac:dyDescent="0.45">
      <c r="A930" s="20"/>
      <c r="B930" s="21"/>
      <c r="C930" s="331"/>
      <c r="D930" s="302"/>
      <c r="E930" s="383"/>
      <c r="F930" s="383"/>
      <c r="G930" s="383"/>
      <c r="H930" s="383"/>
      <c r="I930" s="383"/>
      <c r="J930" s="383"/>
      <c r="K930" s="383"/>
      <c r="L930" s="383"/>
      <c r="M930" s="383"/>
      <c r="N930" s="383"/>
      <c r="O930" s="383"/>
      <c r="P930" s="383"/>
      <c r="AC930" s="25"/>
      <c r="AD930" s="403"/>
      <c r="AE930" s="404"/>
      <c r="AF930" s="404"/>
      <c r="AG930" s="404"/>
      <c r="AH930" s="404"/>
      <c r="AI930" s="405"/>
    </row>
    <row r="931" spans="1:35" ht="15" customHeight="1" x14ac:dyDescent="0.45">
      <c r="A931" s="164" t="s">
        <v>180</v>
      </c>
      <c r="B931" s="165"/>
      <c r="C931" s="166"/>
      <c r="D931" s="86" t="s">
        <v>326</v>
      </c>
      <c r="E931" s="87"/>
      <c r="F931" s="87"/>
      <c r="G931" s="87"/>
      <c r="H931" s="87"/>
      <c r="I931" s="18"/>
      <c r="J931" s="18"/>
      <c r="K931" s="18"/>
      <c r="L931" s="18"/>
      <c r="M931" s="18"/>
      <c r="N931" s="18"/>
      <c r="O931" s="18"/>
      <c r="P931" s="18"/>
      <c r="Q931" s="18"/>
      <c r="R931" s="18"/>
      <c r="S931" s="18"/>
      <c r="T931" s="18"/>
      <c r="U931" s="18"/>
      <c r="V931" s="18"/>
      <c r="W931" s="18"/>
      <c r="X931" s="18"/>
      <c r="Y931" s="18"/>
      <c r="Z931" s="18"/>
      <c r="AA931" s="18"/>
      <c r="AB931" s="18"/>
      <c r="AC931" s="19"/>
      <c r="AD931" s="385"/>
      <c r="AE931" s="386"/>
      <c r="AF931" s="386"/>
      <c r="AG931" s="386"/>
      <c r="AH931" s="386"/>
      <c r="AI931" s="387"/>
    </row>
    <row r="932" spans="1:35" ht="15" customHeight="1" x14ac:dyDescent="0.45">
      <c r="A932" s="159"/>
      <c r="B932" s="160"/>
      <c r="C932" s="161"/>
      <c r="D932" s="279" t="str">
        <f>V$1 &amp; " Road Approach"</f>
        <v>N Road Approach</v>
      </c>
      <c r="E932" s="111"/>
      <c r="F932" s="111"/>
      <c r="G932" s="111"/>
      <c r="H932" s="111"/>
      <c r="I932" s="48"/>
      <c r="J932" s="48"/>
      <c r="K932" s="48"/>
      <c r="L932" s="48"/>
      <c r="M932" s="48"/>
      <c r="N932" s="142"/>
      <c r="P932" s="111" t="str">
        <f>Z$1 &amp; " Road Approach"</f>
        <v>S Road Approach</v>
      </c>
      <c r="Q932" s="111"/>
      <c r="R932" s="111"/>
      <c r="S932" s="111"/>
      <c r="T932" s="111"/>
      <c r="U932" s="48"/>
      <c r="V932" s="48"/>
      <c r="W932" s="48"/>
      <c r="X932" s="48"/>
      <c r="Y932" s="48"/>
      <c r="Z932" s="110"/>
      <c r="AA932" s="110"/>
      <c r="AB932" s="110"/>
      <c r="AC932" s="113"/>
      <c r="AD932" s="388"/>
      <c r="AE932" s="389"/>
      <c r="AF932" s="389"/>
      <c r="AG932" s="389"/>
      <c r="AH932" s="389"/>
      <c r="AI932" s="390"/>
    </row>
    <row r="933" spans="1:35" ht="15" customHeight="1" x14ac:dyDescent="0.45">
      <c r="A933" s="326" t="s">
        <v>155</v>
      </c>
      <c r="B933" s="327"/>
      <c r="C933" s="328"/>
      <c r="D933" s="347" t="s">
        <v>347</v>
      </c>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9"/>
      <c r="AD933" s="385" t="s">
        <v>381</v>
      </c>
      <c r="AE933" s="386"/>
      <c r="AF933" s="386"/>
      <c r="AG933" s="386"/>
      <c r="AH933" s="386"/>
      <c r="AI933" s="387"/>
    </row>
    <row r="934" spans="1:35" x14ac:dyDescent="0.45">
      <c r="A934" s="372"/>
      <c r="B934" s="373"/>
      <c r="C934" s="374"/>
      <c r="D934" s="279" t="str">
        <f>V$1 &amp; " Road Approach"</f>
        <v>N Road Approach</v>
      </c>
      <c r="E934" s="111"/>
      <c r="F934" s="111"/>
      <c r="G934" s="111"/>
      <c r="H934" s="111"/>
      <c r="I934" s="112"/>
      <c r="J934" s="112"/>
      <c r="K934" s="112"/>
      <c r="L934" s="112"/>
      <c r="M934" s="112"/>
      <c r="N934" s="142"/>
      <c r="P934" s="111" t="str">
        <f>Z$1 &amp; " Road Approach"</f>
        <v>S Road Approach</v>
      </c>
      <c r="Q934" s="111"/>
      <c r="R934" s="111"/>
      <c r="S934" s="111"/>
      <c r="T934" s="111"/>
      <c r="U934" s="112"/>
      <c r="V934" s="112"/>
      <c r="W934" s="112"/>
      <c r="X934" s="112"/>
      <c r="Y934" s="112"/>
      <c r="Z934" s="110"/>
      <c r="AA934" s="110"/>
      <c r="AB934" s="110"/>
      <c r="AC934" s="113"/>
      <c r="AD934" s="388"/>
      <c r="AE934" s="389"/>
      <c r="AF934" s="389"/>
      <c r="AG934" s="389"/>
      <c r="AH934" s="389"/>
      <c r="AI934" s="390"/>
    </row>
    <row r="935" spans="1:35" ht="15" customHeight="1" x14ac:dyDescent="0.45">
      <c r="A935" s="164" t="s">
        <v>180</v>
      </c>
      <c r="B935" s="165"/>
      <c r="C935" s="166"/>
      <c r="D935" s="86" t="s">
        <v>382</v>
      </c>
      <c r="E935" s="87"/>
      <c r="F935" s="87"/>
      <c r="G935" s="87"/>
      <c r="H935" s="87"/>
      <c r="I935" s="87"/>
      <c r="J935" s="87"/>
      <c r="K935" s="87"/>
      <c r="L935" s="87"/>
      <c r="M935" s="87"/>
      <c r="N935" s="87"/>
      <c r="O935" s="87"/>
      <c r="P935" s="87"/>
      <c r="Q935" s="87"/>
      <c r="R935" s="87"/>
      <c r="S935" s="87"/>
      <c r="T935" s="87"/>
      <c r="U935" s="18"/>
      <c r="V935" s="18"/>
      <c r="W935" s="18"/>
      <c r="X935" s="18"/>
      <c r="Y935" s="18"/>
      <c r="Z935" s="18"/>
      <c r="AA935" s="18"/>
      <c r="AB935" s="18"/>
      <c r="AC935" s="19"/>
      <c r="AD935" s="411" t="s">
        <v>383</v>
      </c>
      <c r="AE935" s="386"/>
      <c r="AF935" s="386"/>
      <c r="AG935" s="386"/>
      <c r="AH935" s="386"/>
      <c r="AI935" s="387"/>
    </row>
    <row r="936" spans="1:35" ht="15" customHeight="1" x14ac:dyDescent="0.45">
      <c r="A936" s="159"/>
      <c r="B936" s="160"/>
      <c r="C936" s="161"/>
      <c r="D936" s="279" t="str">
        <f>V$1 &amp; " Road Approach"</f>
        <v>N Road Approach</v>
      </c>
      <c r="E936" s="111"/>
      <c r="F936" s="111"/>
      <c r="G936" s="111"/>
      <c r="H936" s="111"/>
      <c r="I936" s="48"/>
      <c r="J936" s="48"/>
      <c r="K936" s="48"/>
      <c r="L936" s="48"/>
      <c r="M936" s="48"/>
      <c r="N936" s="142"/>
      <c r="P936" s="111" t="str">
        <f>Z$1 &amp; " Road Approach"</f>
        <v>S Road Approach</v>
      </c>
      <c r="Q936" s="111"/>
      <c r="R936" s="111"/>
      <c r="S936" s="111"/>
      <c r="T936" s="111"/>
      <c r="U936" s="48"/>
      <c r="V936" s="48"/>
      <c r="W936" s="48"/>
      <c r="X936" s="48"/>
      <c r="Y936" s="48"/>
      <c r="Z936" s="110"/>
      <c r="AA936" s="110"/>
      <c r="AB936" s="110"/>
      <c r="AC936" s="113"/>
      <c r="AD936" s="388"/>
      <c r="AE936" s="389"/>
      <c r="AF936" s="389"/>
      <c r="AG936" s="389"/>
      <c r="AH936" s="389"/>
      <c r="AI936" s="390"/>
    </row>
    <row r="937" spans="1:35" ht="15" customHeight="1" x14ac:dyDescent="0.45">
      <c r="A937" s="164" t="s">
        <v>180</v>
      </c>
      <c r="B937" s="165"/>
      <c r="C937" s="166"/>
      <c r="D937" s="86" t="s">
        <v>384</v>
      </c>
      <c r="E937" s="87"/>
      <c r="F937" s="87"/>
      <c r="G937" s="87"/>
      <c r="H937" s="87"/>
      <c r="I937" s="87"/>
      <c r="J937" s="87"/>
      <c r="K937" s="87"/>
      <c r="L937" s="87"/>
      <c r="M937" s="87"/>
      <c r="N937" s="18"/>
      <c r="O937" s="18"/>
      <c r="P937" s="18"/>
      <c r="Q937" s="18"/>
      <c r="R937" s="18"/>
      <c r="S937" s="18"/>
      <c r="T937" s="18"/>
      <c r="U937" s="18"/>
      <c r="V937" s="18"/>
      <c r="W937" s="18"/>
      <c r="X937" s="18"/>
      <c r="Y937" s="18"/>
      <c r="Z937" s="18"/>
      <c r="AA937" s="18"/>
      <c r="AB937" s="18"/>
      <c r="AC937" s="19"/>
      <c r="AD937" s="385" t="s">
        <v>365</v>
      </c>
      <c r="AE937" s="386"/>
      <c r="AF937" s="386"/>
      <c r="AG937" s="386"/>
      <c r="AH937" s="386"/>
      <c r="AI937" s="387"/>
    </row>
    <row r="938" spans="1:35" ht="15" customHeight="1" x14ac:dyDescent="0.45">
      <c r="A938" s="159"/>
      <c r="B938" s="160"/>
      <c r="C938" s="161"/>
      <c r="D938" s="279" t="str">
        <f>V$1 &amp; " Road Approach"</f>
        <v>N Road Approach</v>
      </c>
      <c r="E938" s="111"/>
      <c r="F938" s="111"/>
      <c r="G938" s="111"/>
      <c r="H938" s="111"/>
      <c r="I938" s="48"/>
      <c r="J938" s="48"/>
      <c r="K938" s="48"/>
      <c r="L938" s="48"/>
      <c r="M938" s="48"/>
      <c r="N938" s="142"/>
      <c r="P938" s="111" t="str">
        <f>Z$1 &amp; " Road Approach"</f>
        <v>S Road Approach</v>
      </c>
      <c r="Q938" s="111"/>
      <c r="R938" s="111"/>
      <c r="S938" s="111"/>
      <c r="T938" s="111"/>
      <c r="U938" s="48"/>
      <c r="V938" s="48"/>
      <c r="W938" s="48"/>
      <c r="X938" s="48"/>
      <c r="Y938" s="48"/>
      <c r="Z938" s="110"/>
      <c r="AA938" s="110"/>
      <c r="AB938" s="110"/>
      <c r="AC938" s="113"/>
      <c r="AD938" s="388"/>
      <c r="AE938" s="389"/>
      <c r="AF938" s="389"/>
      <c r="AG938" s="389"/>
      <c r="AH938" s="389"/>
      <c r="AI938" s="390"/>
    </row>
    <row r="939" spans="1:35" ht="15" customHeight="1" x14ac:dyDescent="0.45">
      <c r="A939" s="164" t="s">
        <v>159</v>
      </c>
      <c r="B939" s="165"/>
      <c r="C939" s="166"/>
      <c r="D939" s="86" t="s">
        <v>385</v>
      </c>
      <c r="E939" s="87"/>
      <c r="F939" s="87"/>
      <c r="G939" s="87"/>
      <c r="H939" s="87"/>
      <c r="I939" s="87"/>
      <c r="J939" s="87"/>
      <c r="K939" s="87"/>
      <c r="L939" s="87"/>
      <c r="M939" s="87"/>
      <c r="N939" s="87"/>
      <c r="O939" s="87"/>
      <c r="P939" s="18"/>
      <c r="Q939" s="18"/>
      <c r="R939" s="18"/>
      <c r="S939" s="18"/>
      <c r="T939" s="18"/>
      <c r="U939" s="18"/>
      <c r="V939" s="18"/>
      <c r="W939" s="18"/>
      <c r="X939" s="18"/>
      <c r="Y939" s="18"/>
      <c r="Z939" s="18"/>
      <c r="AA939" s="18"/>
      <c r="AB939" s="18"/>
      <c r="AC939" s="19"/>
      <c r="AD939" s="411" t="s">
        <v>386</v>
      </c>
      <c r="AE939" s="386"/>
      <c r="AF939" s="386"/>
      <c r="AG939" s="386"/>
      <c r="AH939" s="386"/>
      <c r="AI939" s="387"/>
    </row>
    <row r="940" spans="1:35" ht="15" customHeight="1" x14ac:dyDescent="0.45">
      <c r="A940" s="299"/>
      <c r="B940" s="300"/>
      <c r="C940" s="301"/>
      <c r="D940" s="302"/>
      <c r="E940" s="97" t="str">
        <f>V$1 &amp; " Road Approach"</f>
        <v>N Road Approach</v>
      </c>
      <c r="F940" s="97"/>
      <c r="G940" s="97"/>
      <c r="H940" s="97"/>
      <c r="I940" s="97"/>
      <c r="J940" s="2"/>
      <c r="K940" s="2"/>
      <c r="L940" s="2"/>
      <c r="M940" s="6" t="s">
        <v>157</v>
      </c>
      <c r="O940" s="6"/>
      <c r="Q940" s="97" t="str">
        <f>Z$1 &amp; " Road Approach"</f>
        <v>S Road Approach</v>
      </c>
      <c r="R940" s="97"/>
      <c r="S940" s="97"/>
      <c r="T940" s="97"/>
      <c r="U940" s="97"/>
      <c r="V940" s="2"/>
      <c r="W940" s="2"/>
      <c r="X940" s="2"/>
      <c r="Y940" s="6" t="s">
        <v>157</v>
      </c>
      <c r="Z940" s="6"/>
      <c r="AC940" s="25"/>
      <c r="AD940" s="391"/>
      <c r="AE940" s="392"/>
      <c r="AF940" s="392"/>
      <c r="AG940" s="392"/>
      <c r="AH940" s="392"/>
      <c r="AI940" s="393"/>
    </row>
    <row r="941" spans="1:35" ht="15" customHeight="1" x14ac:dyDescent="0.45">
      <c r="A941" s="299"/>
      <c r="B941" s="300"/>
      <c r="C941" s="301"/>
      <c r="D941" s="96" t="s">
        <v>359</v>
      </c>
      <c r="E941" s="97"/>
      <c r="F941" s="97"/>
      <c r="G941" s="97"/>
      <c r="H941" s="97"/>
      <c r="AC941" s="25"/>
      <c r="AD941" s="391"/>
      <c r="AE941" s="392"/>
      <c r="AF941" s="392"/>
      <c r="AG941" s="392"/>
      <c r="AH941" s="392"/>
      <c r="AI941" s="393"/>
    </row>
    <row r="942" spans="1:35" ht="15" customHeight="1" x14ac:dyDescent="0.45">
      <c r="A942" s="299"/>
      <c r="B942" s="300"/>
      <c r="C942" s="301"/>
      <c r="D942" s="302"/>
      <c r="E942" s="97" t="str">
        <f>V$1 &amp; " Road Approach"</f>
        <v>N Road Approach</v>
      </c>
      <c r="F942" s="97"/>
      <c r="G942" s="97"/>
      <c r="H942" s="97"/>
      <c r="I942" s="97"/>
      <c r="J942" s="2"/>
      <c r="K942" s="2"/>
      <c r="L942" s="2"/>
      <c r="M942" s="6" t="s">
        <v>157</v>
      </c>
      <c r="O942" s="6"/>
      <c r="Q942" s="97" t="str">
        <f>Z$1 &amp; " Road Approach"</f>
        <v>S Road Approach</v>
      </c>
      <c r="R942" s="97"/>
      <c r="S942" s="97"/>
      <c r="T942" s="97"/>
      <c r="U942" s="97"/>
      <c r="V942" s="2"/>
      <c r="W942" s="2"/>
      <c r="X942" s="2"/>
      <c r="Y942" s="6" t="s">
        <v>157</v>
      </c>
      <c r="Z942" s="6"/>
      <c r="AC942" s="25"/>
      <c r="AD942" s="391" t="s">
        <v>360</v>
      </c>
      <c r="AE942" s="392"/>
      <c r="AF942" s="392"/>
      <c r="AG942" s="392"/>
      <c r="AH942" s="392"/>
      <c r="AI942" s="393"/>
    </row>
    <row r="943" spans="1:35" ht="15" customHeight="1" x14ac:dyDescent="0.45">
      <c r="A943" s="299"/>
      <c r="B943" s="300"/>
      <c r="C943" s="301"/>
      <c r="D943" s="96" t="s">
        <v>361</v>
      </c>
      <c r="E943" s="97"/>
      <c r="G943" s="6"/>
      <c r="AC943" s="25"/>
      <c r="AD943" s="414" t="s">
        <v>387</v>
      </c>
      <c r="AE943" s="392"/>
      <c r="AF943" s="392"/>
      <c r="AG943" s="392"/>
      <c r="AH943" s="392"/>
      <c r="AI943" s="393"/>
    </row>
    <row r="944" spans="1:35" ht="15" customHeight="1" x14ac:dyDescent="0.45">
      <c r="A944" s="159"/>
      <c r="B944" s="160"/>
      <c r="C944" s="161"/>
      <c r="D944" s="171"/>
      <c r="E944" s="111" t="str">
        <f>V$1 &amp; " Road Approach"</f>
        <v>N Road Approach</v>
      </c>
      <c r="F944" s="111"/>
      <c r="G944" s="111"/>
      <c r="H944" s="111"/>
      <c r="I944" s="111"/>
      <c r="J944" s="48"/>
      <c r="K944" s="48"/>
      <c r="L944" s="48"/>
      <c r="M944" s="6" t="s">
        <v>157</v>
      </c>
      <c r="O944" s="6"/>
      <c r="Q944" s="111" t="str">
        <f>Z$1 &amp; " Road Approach"</f>
        <v>S Road Approach</v>
      </c>
      <c r="R944" s="111"/>
      <c r="S944" s="111"/>
      <c r="T944" s="111"/>
      <c r="U944" s="111"/>
      <c r="V944" s="48"/>
      <c r="W944" s="48"/>
      <c r="X944" s="48"/>
      <c r="Y944" s="6" t="s">
        <v>157</v>
      </c>
      <c r="Z944" s="6"/>
      <c r="AA944" s="110"/>
      <c r="AB944" s="110"/>
      <c r="AC944" s="113"/>
      <c r="AD944" s="388"/>
      <c r="AE944" s="389"/>
      <c r="AF944" s="389"/>
      <c r="AG944" s="389"/>
      <c r="AH944" s="389"/>
      <c r="AI944" s="390"/>
    </row>
    <row r="945" spans="1:35" ht="15" customHeight="1" x14ac:dyDescent="0.45">
      <c r="A945" s="176" t="s">
        <v>208</v>
      </c>
      <c r="B945" s="177"/>
      <c r="C945" s="177"/>
      <c r="D945" s="177"/>
      <c r="E945" s="177"/>
      <c r="F945" s="177"/>
      <c r="G945" s="177"/>
      <c r="H945" s="177"/>
      <c r="I945" s="177"/>
      <c r="J945" s="177"/>
      <c r="K945" s="177"/>
      <c r="L945" s="177"/>
      <c r="M945" s="177"/>
      <c r="N945" s="177"/>
      <c r="O945" s="177"/>
      <c r="P945" s="177"/>
      <c r="Q945" s="177"/>
      <c r="R945" s="177"/>
      <c r="S945" s="177"/>
      <c r="T945" s="177"/>
      <c r="U945" s="177"/>
      <c r="V945" s="177"/>
      <c r="W945" s="177"/>
      <c r="X945" s="177"/>
      <c r="Y945" s="177"/>
      <c r="Z945" s="177"/>
      <c r="AA945" s="177"/>
      <c r="AB945" s="177"/>
      <c r="AC945" s="177"/>
      <c r="AD945" s="177"/>
      <c r="AE945" s="177"/>
      <c r="AF945" s="177"/>
      <c r="AG945" s="177"/>
      <c r="AH945" s="177"/>
      <c r="AI945" s="178"/>
    </row>
    <row r="946" spans="1:35" ht="15" customHeight="1" x14ac:dyDescent="0.45">
      <c r="A946" s="256"/>
      <c r="B946" s="257"/>
      <c r="C946" s="257"/>
      <c r="D946" s="257"/>
      <c r="E946" s="257"/>
      <c r="F946" s="257"/>
      <c r="G946" s="257"/>
      <c r="H946" s="257"/>
      <c r="I946" s="257"/>
      <c r="J946" s="257"/>
      <c r="K946" s="257"/>
      <c r="L946" s="257"/>
      <c r="M946" s="257"/>
      <c r="N946" s="257"/>
      <c r="O946" s="257"/>
      <c r="P946" s="257"/>
      <c r="Q946" s="257"/>
      <c r="R946" s="257"/>
      <c r="S946" s="257"/>
      <c r="T946" s="257"/>
      <c r="U946" s="257"/>
      <c r="V946" s="257"/>
      <c r="W946" s="257"/>
      <c r="X946" s="257"/>
      <c r="Y946" s="257"/>
      <c r="Z946" s="257"/>
      <c r="AA946" s="257"/>
      <c r="AB946" s="257"/>
      <c r="AC946" s="257"/>
      <c r="AD946" s="257"/>
      <c r="AE946" s="257"/>
      <c r="AF946" s="257"/>
      <c r="AG946" s="257"/>
      <c r="AH946" s="257"/>
      <c r="AI946" s="258"/>
    </row>
    <row r="947" spans="1:35" ht="15" customHeight="1" x14ac:dyDescent="0.45">
      <c r="A947" s="259"/>
      <c r="B947" s="260"/>
      <c r="C947" s="260"/>
      <c r="D947" s="260"/>
      <c r="E947" s="260"/>
      <c r="F947" s="260"/>
      <c r="G947" s="260"/>
      <c r="H947" s="260"/>
      <c r="I947" s="260"/>
      <c r="J947" s="260"/>
      <c r="K947" s="260"/>
      <c r="L947" s="260"/>
      <c r="M947" s="260"/>
      <c r="N947" s="260"/>
      <c r="O947" s="260"/>
      <c r="P947" s="260"/>
      <c r="Q947" s="260"/>
      <c r="R947" s="260"/>
      <c r="S947" s="260"/>
      <c r="T947" s="260"/>
      <c r="U947" s="260"/>
      <c r="V947" s="260"/>
      <c r="W947" s="260"/>
      <c r="X947" s="260"/>
      <c r="Y947" s="260"/>
      <c r="Z947" s="260"/>
      <c r="AA947" s="260"/>
      <c r="AB947" s="260"/>
      <c r="AC947" s="260"/>
      <c r="AD947" s="260"/>
      <c r="AE947" s="260"/>
      <c r="AF947" s="260"/>
      <c r="AG947" s="260"/>
      <c r="AH947" s="260"/>
      <c r="AI947" s="261"/>
    </row>
    <row r="948" spans="1:35" ht="15" customHeight="1" x14ac:dyDescent="0.45">
      <c r="A948" s="259"/>
      <c r="B948" s="260"/>
      <c r="C948" s="260"/>
      <c r="D948" s="260"/>
      <c r="E948" s="260"/>
      <c r="F948" s="260"/>
      <c r="G948" s="260"/>
      <c r="H948" s="260"/>
      <c r="I948" s="260"/>
      <c r="J948" s="260"/>
      <c r="K948" s="260"/>
      <c r="L948" s="260"/>
      <c r="M948" s="260"/>
      <c r="N948" s="260"/>
      <c r="O948" s="260"/>
      <c r="P948" s="260"/>
      <c r="Q948" s="260"/>
      <c r="R948" s="260"/>
      <c r="S948" s="260"/>
      <c r="T948" s="260"/>
      <c r="U948" s="260"/>
      <c r="V948" s="260"/>
      <c r="W948" s="260"/>
      <c r="X948" s="260"/>
      <c r="Y948" s="260"/>
      <c r="Z948" s="260"/>
      <c r="AA948" s="260"/>
      <c r="AB948" s="260"/>
      <c r="AC948" s="260"/>
      <c r="AD948" s="260"/>
      <c r="AE948" s="260"/>
      <c r="AF948" s="260"/>
      <c r="AG948" s="260"/>
      <c r="AH948" s="260"/>
      <c r="AI948" s="261"/>
    </row>
    <row r="949" spans="1:35" ht="15" customHeight="1" x14ac:dyDescent="0.45">
      <c r="A949" s="259"/>
      <c r="B949" s="260"/>
      <c r="C949" s="260"/>
      <c r="D949" s="260"/>
      <c r="E949" s="260"/>
      <c r="F949" s="260"/>
      <c r="G949" s="260"/>
      <c r="H949" s="260"/>
      <c r="I949" s="260"/>
      <c r="J949" s="260"/>
      <c r="K949" s="260"/>
      <c r="L949" s="260"/>
      <c r="M949" s="260"/>
      <c r="N949" s="260"/>
      <c r="O949" s="260"/>
      <c r="P949" s="260"/>
      <c r="Q949" s="260"/>
      <c r="R949" s="260"/>
      <c r="S949" s="260"/>
      <c r="T949" s="260"/>
      <c r="U949" s="260"/>
      <c r="V949" s="260"/>
      <c r="W949" s="260"/>
      <c r="X949" s="260"/>
      <c r="Y949" s="260"/>
      <c r="Z949" s="260"/>
      <c r="AA949" s="260"/>
      <c r="AB949" s="260"/>
      <c r="AC949" s="260"/>
      <c r="AD949" s="260"/>
      <c r="AE949" s="260"/>
      <c r="AF949" s="260"/>
      <c r="AG949" s="260"/>
      <c r="AH949" s="260"/>
      <c r="AI949" s="261"/>
    </row>
    <row r="950" spans="1:35" ht="15" customHeight="1" x14ac:dyDescent="0.45">
      <c r="A950" s="259"/>
      <c r="B950" s="260"/>
      <c r="C950" s="260"/>
      <c r="D950" s="260"/>
      <c r="E950" s="260"/>
      <c r="F950" s="260"/>
      <c r="G950" s="260"/>
      <c r="H950" s="260"/>
      <c r="I950" s="260"/>
      <c r="J950" s="260"/>
      <c r="K950" s="260"/>
      <c r="L950" s="260"/>
      <c r="M950" s="260"/>
      <c r="N950" s="260"/>
      <c r="O950" s="260"/>
      <c r="P950" s="260"/>
      <c r="Q950" s="260"/>
      <c r="R950" s="260"/>
      <c r="S950" s="260"/>
      <c r="T950" s="260"/>
      <c r="U950" s="260"/>
      <c r="V950" s="260"/>
      <c r="W950" s="260"/>
      <c r="X950" s="260"/>
      <c r="Y950" s="260"/>
      <c r="Z950" s="260"/>
      <c r="AA950" s="260"/>
      <c r="AB950" s="260"/>
      <c r="AC950" s="260"/>
      <c r="AD950" s="260"/>
      <c r="AE950" s="260"/>
      <c r="AF950" s="260"/>
      <c r="AG950" s="260"/>
      <c r="AH950" s="260"/>
      <c r="AI950" s="261"/>
    </row>
    <row r="951" spans="1:35" ht="15" customHeight="1" x14ac:dyDescent="0.45">
      <c r="A951" s="259"/>
      <c r="B951" s="260"/>
      <c r="C951" s="260"/>
      <c r="D951" s="260"/>
      <c r="E951" s="260"/>
      <c r="F951" s="260"/>
      <c r="G951" s="260"/>
      <c r="H951" s="260"/>
      <c r="I951" s="260"/>
      <c r="J951" s="260"/>
      <c r="K951" s="260"/>
      <c r="L951" s="260"/>
      <c r="M951" s="260"/>
      <c r="N951" s="260"/>
      <c r="O951" s="260"/>
      <c r="P951" s="260"/>
      <c r="Q951" s="260"/>
      <c r="R951" s="260"/>
      <c r="S951" s="260"/>
      <c r="T951" s="260"/>
      <c r="U951" s="260"/>
      <c r="V951" s="260"/>
      <c r="W951" s="260"/>
      <c r="X951" s="260"/>
      <c r="Y951" s="260"/>
      <c r="Z951" s="260"/>
      <c r="AA951" s="260"/>
      <c r="AB951" s="260"/>
      <c r="AC951" s="260"/>
      <c r="AD951" s="260"/>
      <c r="AE951" s="260"/>
      <c r="AF951" s="260"/>
      <c r="AG951" s="260"/>
      <c r="AH951" s="260"/>
      <c r="AI951" s="261"/>
    </row>
    <row r="952" spans="1:35" ht="15" customHeight="1" x14ac:dyDescent="0.45">
      <c r="A952" s="259"/>
      <c r="B952" s="260"/>
      <c r="C952" s="260"/>
      <c r="D952" s="260"/>
      <c r="E952" s="260"/>
      <c r="F952" s="260"/>
      <c r="G952" s="260"/>
      <c r="H952" s="260"/>
      <c r="I952" s="260"/>
      <c r="J952" s="260"/>
      <c r="K952" s="260"/>
      <c r="L952" s="260"/>
      <c r="M952" s="260"/>
      <c r="N952" s="260"/>
      <c r="O952" s="260"/>
      <c r="P952" s="260"/>
      <c r="Q952" s="260"/>
      <c r="R952" s="260"/>
      <c r="S952" s="260"/>
      <c r="T952" s="260"/>
      <c r="U952" s="260"/>
      <c r="V952" s="260"/>
      <c r="W952" s="260"/>
      <c r="X952" s="260"/>
      <c r="Y952" s="260"/>
      <c r="Z952" s="260"/>
      <c r="AA952" s="260"/>
      <c r="AB952" s="260"/>
      <c r="AC952" s="260"/>
      <c r="AD952" s="260"/>
      <c r="AE952" s="260"/>
      <c r="AF952" s="260"/>
      <c r="AG952" s="260"/>
      <c r="AH952" s="260"/>
      <c r="AI952" s="261"/>
    </row>
    <row r="953" spans="1:35" ht="15" customHeight="1" x14ac:dyDescent="0.45"/>
    <row r="954" spans="1:35" ht="15" customHeight="1" x14ac:dyDescent="0.45">
      <c r="A954" s="415" t="s">
        <v>388</v>
      </c>
      <c r="B954" s="415"/>
      <c r="C954" s="415"/>
      <c r="D954" s="415"/>
      <c r="E954" s="415"/>
      <c r="F954" s="416" t="s">
        <v>323</v>
      </c>
      <c r="G954" s="416"/>
      <c r="H954" s="416"/>
      <c r="I954" s="416"/>
      <c r="J954" s="416"/>
      <c r="K954" s="416"/>
      <c r="L954" s="416"/>
      <c r="M954" s="416"/>
      <c r="N954" s="416"/>
      <c r="O954" s="416"/>
      <c r="P954" s="416"/>
      <c r="Q954" s="416"/>
      <c r="R954" s="416"/>
      <c r="S954" s="416"/>
      <c r="T954" s="416"/>
      <c r="U954" s="416"/>
      <c r="V954" s="416"/>
      <c r="W954" s="416"/>
      <c r="X954" s="416"/>
      <c r="Y954" s="416"/>
      <c r="Z954" s="416"/>
      <c r="AA954" s="416"/>
      <c r="AB954" s="416"/>
      <c r="AC954" s="66" t="s">
        <v>318</v>
      </c>
      <c r="AD954" s="66"/>
      <c r="AE954" s="66"/>
      <c r="AF954" s="66"/>
      <c r="AG954" s="66"/>
      <c r="AH954" s="66"/>
      <c r="AI954" s="66"/>
    </row>
    <row r="955" spans="1:35" ht="15" customHeight="1" x14ac:dyDescent="0.45"/>
    <row r="956" spans="1:35" ht="15" customHeight="1" thickBot="1" x14ac:dyDescent="0.5">
      <c r="A956" s="78" t="s">
        <v>98</v>
      </c>
      <c r="B956" s="79"/>
      <c r="C956" s="80"/>
      <c r="D956" s="78" t="s">
        <v>99</v>
      </c>
      <c r="E956" s="79"/>
      <c r="F956" s="79"/>
      <c r="G956" s="79"/>
      <c r="H956" s="79"/>
      <c r="I956" s="79"/>
      <c r="J956" s="79"/>
      <c r="K956" s="79"/>
      <c r="L956" s="79"/>
      <c r="M956" s="79"/>
      <c r="N956" s="79"/>
      <c r="O956" s="79"/>
      <c r="P956" s="79"/>
      <c r="Q956" s="79"/>
      <c r="R956" s="79"/>
      <c r="S956" s="79"/>
      <c r="T956" s="79"/>
      <c r="U956" s="79"/>
      <c r="V956" s="79"/>
      <c r="W956" s="79"/>
      <c r="X956" s="79"/>
      <c r="Y956" s="79"/>
      <c r="Z956" s="79"/>
      <c r="AA956" s="79"/>
      <c r="AB956" s="79"/>
      <c r="AC956" s="80"/>
      <c r="AD956" s="78" t="s">
        <v>100</v>
      </c>
      <c r="AE956" s="79"/>
      <c r="AF956" s="79"/>
      <c r="AG956" s="79"/>
      <c r="AH956" s="79"/>
      <c r="AI956" s="80"/>
    </row>
    <row r="957" spans="1:35" ht="15" customHeight="1" thickTop="1" x14ac:dyDescent="0.45">
      <c r="A957" s="31"/>
      <c r="B957" s="32"/>
      <c r="C957" s="381"/>
      <c r="D957" s="191" t="s">
        <v>389</v>
      </c>
      <c r="E957" s="192"/>
      <c r="F957" s="192"/>
      <c r="G957" s="192"/>
      <c r="H957" s="192"/>
      <c r="I957" s="192"/>
      <c r="J957" s="192"/>
      <c r="K957" s="192"/>
      <c r="L957" s="382"/>
      <c r="M957" s="382"/>
      <c r="N957" s="382"/>
      <c r="O957" s="382"/>
      <c r="P957" s="382"/>
      <c r="Q957" s="18"/>
      <c r="R957" s="18"/>
      <c r="S957" s="18"/>
      <c r="T957" s="18"/>
      <c r="U957" s="18"/>
      <c r="V957" s="18"/>
      <c r="W957" s="18"/>
      <c r="X957" s="18"/>
      <c r="Y957" s="18"/>
      <c r="Z957" s="18"/>
      <c r="AA957" s="18"/>
      <c r="AB957" s="18"/>
      <c r="AC957" s="19"/>
      <c r="AD957" s="147" t="s">
        <v>390</v>
      </c>
      <c r="AE957" s="148"/>
      <c r="AF957" s="148"/>
      <c r="AG957" s="148"/>
      <c r="AH957" s="148"/>
      <c r="AI957" s="201"/>
    </row>
    <row r="958" spans="1:35" ht="15" customHeight="1" x14ac:dyDescent="0.45">
      <c r="A958" s="164" t="s">
        <v>180</v>
      </c>
      <c r="B958" s="165"/>
      <c r="C958" s="166"/>
      <c r="D958" s="86" t="s">
        <v>326</v>
      </c>
      <c r="E958" s="87"/>
      <c r="F958" s="87"/>
      <c r="G958" s="87"/>
      <c r="H958" s="87"/>
      <c r="I958" s="18"/>
      <c r="J958" s="18"/>
      <c r="K958" s="18"/>
      <c r="L958" s="18"/>
      <c r="M958" s="18"/>
      <c r="N958" s="18"/>
      <c r="O958" s="18"/>
      <c r="P958" s="18"/>
      <c r="Q958" s="18"/>
      <c r="R958" s="18"/>
      <c r="S958" s="18"/>
      <c r="T958" s="18"/>
      <c r="U958" s="18"/>
      <c r="V958" s="18"/>
      <c r="W958" s="18"/>
      <c r="X958" s="18"/>
      <c r="Y958" s="18"/>
      <c r="Z958" s="18"/>
      <c r="AA958" s="18"/>
      <c r="AB958" s="18"/>
      <c r="AC958" s="19"/>
      <c r="AD958" s="147"/>
      <c r="AE958" s="148"/>
      <c r="AF958" s="148"/>
      <c r="AG958" s="148"/>
      <c r="AH958" s="148"/>
      <c r="AI958" s="201"/>
    </row>
    <row r="959" spans="1:35" ht="15" customHeight="1" x14ac:dyDescent="0.45">
      <c r="A959" s="159"/>
      <c r="B959" s="160"/>
      <c r="C959" s="161"/>
      <c r="D959" s="279" t="str">
        <f>V$1 &amp; " Road Approach"</f>
        <v>N Road Approach</v>
      </c>
      <c r="E959" s="111"/>
      <c r="F959" s="111"/>
      <c r="G959" s="111"/>
      <c r="H959" s="111"/>
      <c r="I959" s="48"/>
      <c r="J959" s="48"/>
      <c r="K959" s="48"/>
      <c r="L959" s="48"/>
      <c r="M959" s="48"/>
      <c r="N959" s="142"/>
      <c r="P959" s="111" t="str">
        <f>Z$1 &amp; " Road Approach"</f>
        <v>S Road Approach</v>
      </c>
      <c r="Q959" s="111"/>
      <c r="R959" s="111"/>
      <c r="S959" s="111"/>
      <c r="T959" s="111"/>
      <c r="U959" s="48"/>
      <c r="V959" s="48"/>
      <c r="W959" s="48"/>
      <c r="X959" s="48"/>
      <c r="Y959" s="48"/>
      <c r="Z959" s="110"/>
      <c r="AA959" s="110"/>
      <c r="AB959" s="110"/>
      <c r="AC959" s="113"/>
      <c r="AD959" s="154"/>
      <c r="AE959" s="155"/>
      <c r="AF959" s="155"/>
      <c r="AG959" s="155"/>
      <c r="AH959" s="155"/>
      <c r="AI959" s="194"/>
    </row>
    <row r="960" spans="1:35" ht="15" customHeight="1" x14ac:dyDescent="0.45">
      <c r="A960" s="326" t="s">
        <v>155</v>
      </c>
      <c r="B960" s="327"/>
      <c r="C960" s="328"/>
      <c r="D960" s="86" t="s">
        <v>347</v>
      </c>
      <c r="E960" s="87"/>
      <c r="F960" s="87"/>
      <c r="G960" s="87"/>
      <c r="H960" s="87"/>
      <c r="I960" s="18"/>
      <c r="J960" s="18"/>
      <c r="K960" s="18"/>
      <c r="L960" s="18"/>
      <c r="M960" s="18"/>
      <c r="N960" s="18"/>
      <c r="O960" s="18"/>
      <c r="P960" s="18"/>
      <c r="Q960" s="18"/>
      <c r="R960" s="18"/>
      <c r="S960" s="18"/>
      <c r="T960" s="18"/>
      <c r="U960" s="18"/>
      <c r="V960" s="18"/>
      <c r="W960" s="18"/>
      <c r="X960" s="18"/>
      <c r="Y960" s="18"/>
      <c r="Z960" s="18"/>
      <c r="AA960" s="18"/>
      <c r="AB960" s="18"/>
      <c r="AC960" s="19"/>
      <c r="AD960" s="147" t="s">
        <v>391</v>
      </c>
      <c r="AE960" s="148"/>
      <c r="AF960" s="148"/>
      <c r="AG960" s="148"/>
      <c r="AH960" s="148"/>
      <c r="AI960" s="201"/>
    </row>
    <row r="961" spans="1:35" ht="15" customHeight="1" x14ac:dyDescent="0.45">
      <c r="A961" s="372"/>
      <c r="B961" s="373"/>
      <c r="C961" s="374"/>
      <c r="D961" s="279" t="str">
        <f>V$1 &amp; " Road Approach"</f>
        <v>N Road Approach</v>
      </c>
      <c r="E961" s="111"/>
      <c r="F961" s="111"/>
      <c r="G961" s="111"/>
      <c r="H961" s="111"/>
      <c r="I961" s="112" t="s">
        <v>392</v>
      </c>
      <c r="J961" s="112"/>
      <c r="K961" s="112"/>
      <c r="L961" s="112"/>
      <c r="M961" s="112"/>
      <c r="N961" s="142"/>
      <c r="P961" s="111" t="str">
        <f>Z$1 &amp; " Road Approach"</f>
        <v>S Road Approach</v>
      </c>
      <c r="Q961" s="111"/>
      <c r="R961" s="111"/>
      <c r="S961" s="111"/>
      <c r="T961" s="111"/>
      <c r="U961" s="112" t="s">
        <v>392</v>
      </c>
      <c r="V961" s="112"/>
      <c r="W961" s="112"/>
      <c r="X961" s="112"/>
      <c r="Y961" s="112"/>
      <c r="Z961" s="110"/>
      <c r="AA961" s="110"/>
      <c r="AB961" s="110"/>
      <c r="AC961" s="113"/>
      <c r="AD961" s="154"/>
      <c r="AE961" s="155"/>
      <c r="AF961" s="155"/>
      <c r="AG961" s="155"/>
      <c r="AH961" s="155"/>
      <c r="AI961" s="194"/>
    </row>
    <row r="962" spans="1:35" ht="15" customHeight="1" x14ac:dyDescent="0.45">
      <c r="A962" s="164" t="s">
        <v>180</v>
      </c>
      <c r="B962" s="165"/>
      <c r="C962" s="166"/>
      <c r="D962" s="86" t="s">
        <v>393</v>
      </c>
      <c r="E962" s="87"/>
      <c r="F962" s="87"/>
      <c r="G962" s="87"/>
      <c r="H962" s="87"/>
      <c r="I962" s="87"/>
      <c r="J962" s="87"/>
      <c r="K962" s="87"/>
      <c r="L962" s="87"/>
      <c r="M962" s="87"/>
      <c r="N962" s="87"/>
      <c r="O962" s="87"/>
      <c r="P962" s="87"/>
      <c r="Q962" s="87"/>
      <c r="R962" s="87"/>
      <c r="S962" s="87"/>
      <c r="T962" s="87"/>
      <c r="U962" s="87"/>
      <c r="V962" s="87"/>
      <c r="W962" s="87"/>
      <c r="X962" s="87"/>
      <c r="Y962" s="87"/>
      <c r="Z962" s="18"/>
      <c r="AA962" s="18"/>
      <c r="AB962" s="18"/>
      <c r="AC962" s="19"/>
      <c r="AD962" s="147" t="s">
        <v>394</v>
      </c>
      <c r="AE962" s="148"/>
      <c r="AF962" s="148"/>
      <c r="AG962" s="148"/>
      <c r="AH962" s="148"/>
      <c r="AI962" s="201"/>
    </row>
    <row r="963" spans="1:35" ht="15" customHeight="1" x14ac:dyDescent="0.45">
      <c r="A963" s="159"/>
      <c r="B963" s="160"/>
      <c r="C963" s="161"/>
      <c r="D963" s="279" t="str">
        <f>V$1 &amp; " Road Approach"</f>
        <v>N Road Approach</v>
      </c>
      <c r="E963" s="111"/>
      <c r="F963" s="111"/>
      <c r="G963" s="111"/>
      <c r="H963" s="111"/>
      <c r="I963" s="48"/>
      <c r="J963" s="48"/>
      <c r="K963" s="48"/>
      <c r="L963" s="48"/>
      <c r="M963" s="48"/>
      <c r="N963" s="142"/>
      <c r="P963" s="111" t="str">
        <f>Z$1 &amp; " Road Approach"</f>
        <v>S Road Approach</v>
      </c>
      <c r="Q963" s="111"/>
      <c r="R963" s="111"/>
      <c r="S963" s="111"/>
      <c r="T963" s="111"/>
      <c r="U963" s="48"/>
      <c r="V963" s="48"/>
      <c r="W963" s="48"/>
      <c r="X963" s="48"/>
      <c r="Y963" s="48"/>
      <c r="Z963" s="110"/>
      <c r="AA963" s="110"/>
      <c r="AB963" s="110"/>
      <c r="AC963" s="113"/>
      <c r="AD963" s="154"/>
      <c r="AE963" s="155"/>
      <c r="AF963" s="155"/>
      <c r="AG963" s="155"/>
      <c r="AH963" s="155"/>
      <c r="AI963" s="194"/>
    </row>
    <row r="964" spans="1:35" ht="15" customHeight="1" x14ac:dyDescent="0.45">
      <c r="A964" s="164" t="s">
        <v>180</v>
      </c>
      <c r="B964" s="165"/>
      <c r="C964" s="166"/>
      <c r="D964" s="86" t="s">
        <v>395</v>
      </c>
      <c r="E964" s="87"/>
      <c r="F964" s="87"/>
      <c r="G964" s="87"/>
      <c r="H964" s="87"/>
      <c r="I964" s="87"/>
      <c r="J964" s="87"/>
      <c r="K964" s="87"/>
      <c r="L964" s="87"/>
      <c r="M964" s="18"/>
      <c r="N964" s="18"/>
      <c r="O964" s="18"/>
      <c r="P964" s="18"/>
      <c r="Q964" s="18"/>
      <c r="R964" s="18"/>
      <c r="S964" s="18"/>
      <c r="T964" s="18"/>
      <c r="U964" s="18"/>
      <c r="V964" s="18"/>
      <c r="W964" s="18"/>
      <c r="X964" s="18"/>
      <c r="Y964" s="18"/>
      <c r="Z964" s="18"/>
      <c r="AA964" s="18"/>
      <c r="AB964" s="18"/>
      <c r="AC964" s="19"/>
      <c r="AD964" s="147" t="s">
        <v>396</v>
      </c>
      <c r="AE964" s="148"/>
      <c r="AF964" s="148"/>
      <c r="AG964" s="148"/>
      <c r="AH964" s="148"/>
      <c r="AI964" s="201"/>
    </row>
    <row r="965" spans="1:35" ht="15" customHeight="1" x14ac:dyDescent="0.45">
      <c r="A965" s="159"/>
      <c r="B965" s="160"/>
      <c r="C965" s="161"/>
      <c r="D965" s="279" t="str">
        <f>V$1 &amp; " Road Approach"</f>
        <v>N Road Approach</v>
      </c>
      <c r="E965" s="111"/>
      <c r="F965" s="111"/>
      <c r="G965" s="111"/>
      <c r="H965" s="111"/>
      <c r="I965" s="48"/>
      <c r="J965" s="48"/>
      <c r="K965" s="48"/>
      <c r="L965" s="48"/>
      <c r="M965" s="48"/>
      <c r="N965" s="142"/>
      <c r="P965" s="111" t="str">
        <f>Z$1 &amp; " Road Approach"</f>
        <v>S Road Approach</v>
      </c>
      <c r="Q965" s="111"/>
      <c r="R965" s="111"/>
      <c r="S965" s="111"/>
      <c r="T965" s="111"/>
      <c r="U965" s="48"/>
      <c r="V965" s="48"/>
      <c r="W965" s="48"/>
      <c r="X965" s="48"/>
      <c r="Y965" s="48"/>
      <c r="Z965" s="110"/>
      <c r="AA965" s="110"/>
      <c r="AB965" s="110"/>
      <c r="AC965" s="113"/>
      <c r="AD965" s="154"/>
      <c r="AE965" s="155"/>
      <c r="AF965" s="155"/>
      <c r="AG965" s="155"/>
      <c r="AH965" s="155"/>
      <c r="AI965" s="194"/>
    </row>
    <row r="966" spans="1:35" ht="15" customHeight="1" x14ac:dyDescent="0.45">
      <c r="A966" s="164" t="s">
        <v>180</v>
      </c>
      <c r="B966" s="165"/>
      <c r="C966" s="166"/>
      <c r="D966" s="86" t="s">
        <v>397</v>
      </c>
      <c r="E966" s="87"/>
      <c r="F966" s="87"/>
      <c r="G966" s="87"/>
      <c r="H966" s="87"/>
      <c r="I966" s="87"/>
      <c r="J966" s="87"/>
      <c r="K966" s="87"/>
      <c r="L966" s="87"/>
      <c r="M966" s="18"/>
      <c r="N966" s="18"/>
      <c r="O966" s="18"/>
      <c r="P966" s="18"/>
      <c r="Q966" s="18"/>
      <c r="R966" s="18"/>
      <c r="S966" s="18"/>
      <c r="T966" s="18"/>
      <c r="U966" s="18"/>
      <c r="V966" s="18"/>
      <c r="W966" s="18"/>
      <c r="X966" s="18"/>
      <c r="Y966" s="18"/>
      <c r="Z966" s="18"/>
      <c r="AA966" s="18"/>
      <c r="AB966" s="18"/>
      <c r="AC966" s="19"/>
      <c r="AD966" s="147"/>
      <c r="AE966" s="148"/>
      <c r="AF966" s="148"/>
      <c r="AG966" s="148"/>
      <c r="AH966" s="148"/>
      <c r="AI966" s="201"/>
    </row>
    <row r="967" spans="1:35" ht="15" customHeight="1" x14ac:dyDescent="0.45">
      <c r="A967" s="159"/>
      <c r="B967" s="160"/>
      <c r="C967" s="161"/>
      <c r="D967" s="279" t="str">
        <f>V$1 &amp; " Road Approach"</f>
        <v>N Road Approach</v>
      </c>
      <c r="E967" s="111"/>
      <c r="F967" s="111"/>
      <c r="G967" s="111"/>
      <c r="H967" s="111"/>
      <c r="I967" s="48"/>
      <c r="J967" s="48"/>
      <c r="K967" s="48"/>
      <c r="L967" s="48"/>
      <c r="M967" s="48"/>
      <c r="N967" s="142"/>
      <c r="P967" s="111" t="str">
        <f>Z$1 &amp; " Road Approach"</f>
        <v>S Road Approach</v>
      </c>
      <c r="Q967" s="111"/>
      <c r="R967" s="111"/>
      <c r="S967" s="111"/>
      <c r="T967" s="111"/>
      <c r="U967" s="48"/>
      <c r="V967" s="48"/>
      <c r="W967" s="48"/>
      <c r="X967" s="48"/>
      <c r="Y967" s="48"/>
      <c r="Z967" s="110"/>
      <c r="AA967" s="110"/>
      <c r="AB967" s="110"/>
      <c r="AC967" s="113"/>
      <c r="AD967" s="154"/>
      <c r="AE967" s="155"/>
      <c r="AF967" s="155"/>
      <c r="AG967" s="155"/>
      <c r="AH967" s="155"/>
      <c r="AI967" s="194"/>
    </row>
    <row r="968" spans="1:35" ht="15" customHeight="1" x14ac:dyDescent="0.45">
      <c r="A968" s="176" t="s">
        <v>208</v>
      </c>
      <c r="B968" s="177"/>
      <c r="C968" s="177"/>
      <c r="D968" s="177"/>
      <c r="E968" s="177"/>
      <c r="F968" s="177"/>
      <c r="G968" s="177"/>
      <c r="H968" s="177"/>
      <c r="I968" s="177"/>
      <c r="J968" s="177"/>
      <c r="K968" s="177"/>
      <c r="L968" s="177"/>
      <c r="M968" s="177"/>
      <c r="N968" s="177"/>
      <c r="O968" s="177"/>
      <c r="P968" s="177"/>
      <c r="Q968" s="177"/>
      <c r="R968" s="177"/>
      <c r="S968" s="177"/>
      <c r="T968" s="177"/>
      <c r="U968" s="177"/>
      <c r="V968" s="177"/>
      <c r="W968" s="177"/>
      <c r="X968" s="177"/>
      <c r="Y968" s="177"/>
      <c r="Z968" s="177"/>
      <c r="AA968" s="177"/>
      <c r="AB968" s="177"/>
      <c r="AC968" s="177"/>
      <c r="AD968" s="177"/>
      <c r="AE968" s="177"/>
      <c r="AF968" s="177"/>
      <c r="AG968" s="177"/>
      <c r="AH968" s="177"/>
      <c r="AI968" s="178"/>
    </row>
    <row r="969" spans="1:35" ht="15" customHeight="1" x14ac:dyDescent="0.45">
      <c r="A969" s="256"/>
      <c r="B969" s="257"/>
      <c r="C969" s="257"/>
      <c r="D969" s="257"/>
      <c r="E969" s="257"/>
      <c r="F969" s="257"/>
      <c r="G969" s="257"/>
      <c r="H969" s="257"/>
      <c r="I969" s="257"/>
      <c r="J969" s="257"/>
      <c r="K969" s="257"/>
      <c r="L969" s="257"/>
      <c r="M969" s="257"/>
      <c r="N969" s="257"/>
      <c r="O969" s="257"/>
      <c r="P969" s="257"/>
      <c r="Q969" s="257"/>
      <c r="R969" s="257"/>
      <c r="S969" s="257"/>
      <c r="T969" s="257"/>
      <c r="U969" s="257"/>
      <c r="V969" s="257"/>
      <c r="W969" s="257"/>
      <c r="X969" s="257"/>
      <c r="Y969" s="257"/>
      <c r="Z969" s="257"/>
      <c r="AA969" s="257"/>
      <c r="AB969" s="257"/>
      <c r="AC969" s="257"/>
      <c r="AD969" s="257"/>
      <c r="AE969" s="257"/>
      <c r="AF969" s="257"/>
      <c r="AG969" s="257"/>
      <c r="AH969" s="257"/>
      <c r="AI969" s="258"/>
    </row>
    <row r="970" spans="1:35" ht="15" customHeight="1" x14ac:dyDescent="0.45">
      <c r="A970" s="259"/>
      <c r="B970" s="260"/>
      <c r="C970" s="260"/>
      <c r="D970" s="260"/>
      <c r="E970" s="260"/>
      <c r="F970" s="260"/>
      <c r="G970" s="260"/>
      <c r="H970" s="260"/>
      <c r="I970" s="260"/>
      <c r="J970" s="260"/>
      <c r="K970" s="260"/>
      <c r="L970" s="260"/>
      <c r="M970" s="260"/>
      <c r="N970" s="260"/>
      <c r="O970" s="260"/>
      <c r="P970" s="260"/>
      <c r="Q970" s="260"/>
      <c r="R970" s="260"/>
      <c r="S970" s="260"/>
      <c r="T970" s="260"/>
      <c r="U970" s="260"/>
      <c r="V970" s="260"/>
      <c r="W970" s="260"/>
      <c r="X970" s="260"/>
      <c r="Y970" s="260"/>
      <c r="Z970" s="260"/>
      <c r="AA970" s="260"/>
      <c r="AB970" s="260"/>
      <c r="AC970" s="260"/>
      <c r="AD970" s="260"/>
      <c r="AE970" s="260"/>
      <c r="AF970" s="260"/>
      <c r="AG970" s="260"/>
      <c r="AH970" s="260"/>
      <c r="AI970" s="261"/>
    </row>
    <row r="971" spans="1:35" ht="15" customHeight="1" x14ac:dyDescent="0.45">
      <c r="A971" s="259"/>
      <c r="B971" s="260"/>
      <c r="C971" s="260"/>
      <c r="D971" s="260"/>
      <c r="E971" s="260"/>
      <c r="F971" s="260"/>
      <c r="G971" s="260"/>
      <c r="H971" s="260"/>
      <c r="I971" s="260"/>
      <c r="J971" s="260"/>
      <c r="K971" s="260"/>
      <c r="L971" s="260"/>
      <c r="M971" s="260"/>
      <c r="N971" s="260"/>
      <c r="O971" s="260"/>
      <c r="P971" s="260"/>
      <c r="Q971" s="260"/>
      <c r="R971" s="260"/>
      <c r="S971" s="260"/>
      <c r="T971" s="260"/>
      <c r="U971" s="260"/>
      <c r="V971" s="260"/>
      <c r="W971" s="260"/>
      <c r="X971" s="260"/>
      <c r="Y971" s="260"/>
      <c r="Z971" s="260"/>
      <c r="AA971" s="260"/>
      <c r="AB971" s="260"/>
      <c r="AC971" s="260"/>
      <c r="AD971" s="260"/>
      <c r="AE971" s="260"/>
      <c r="AF971" s="260"/>
      <c r="AG971" s="260"/>
      <c r="AH971" s="260"/>
      <c r="AI971" s="261"/>
    </row>
    <row r="972" spans="1:35" ht="15" customHeight="1" x14ac:dyDescent="0.45">
      <c r="A972" s="259"/>
      <c r="B972" s="260"/>
      <c r="C972" s="260"/>
      <c r="D972" s="260"/>
      <c r="E972" s="260"/>
      <c r="F972" s="260"/>
      <c r="G972" s="260"/>
      <c r="H972" s="260"/>
      <c r="I972" s="260"/>
      <c r="J972" s="260"/>
      <c r="K972" s="260"/>
      <c r="L972" s="260"/>
      <c r="M972" s="260"/>
      <c r="N972" s="260"/>
      <c r="O972" s="260"/>
      <c r="P972" s="260"/>
      <c r="Q972" s="260"/>
      <c r="R972" s="260"/>
      <c r="S972" s="260"/>
      <c r="T972" s="260"/>
      <c r="U972" s="260"/>
      <c r="V972" s="260"/>
      <c r="W972" s="260"/>
      <c r="X972" s="260"/>
      <c r="Y972" s="260"/>
      <c r="Z972" s="260"/>
      <c r="AA972" s="260"/>
      <c r="AB972" s="260"/>
      <c r="AC972" s="260"/>
      <c r="AD972" s="260"/>
      <c r="AE972" s="260"/>
      <c r="AF972" s="260"/>
      <c r="AG972" s="260"/>
      <c r="AH972" s="260"/>
      <c r="AI972" s="261"/>
    </row>
    <row r="973" spans="1:35" ht="15" customHeight="1" x14ac:dyDescent="0.45">
      <c r="A973" s="259"/>
      <c r="B973" s="260"/>
      <c r="C973" s="260"/>
      <c r="D973" s="260"/>
      <c r="E973" s="260"/>
      <c r="F973" s="260"/>
      <c r="G973" s="260"/>
      <c r="H973" s="260"/>
      <c r="I973" s="260"/>
      <c r="J973" s="260"/>
      <c r="K973" s="260"/>
      <c r="L973" s="260"/>
      <c r="M973" s="260"/>
      <c r="N973" s="260"/>
      <c r="O973" s="260"/>
      <c r="P973" s="260"/>
      <c r="Q973" s="260"/>
      <c r="R973" s="260"/>
      <c r="S973" s="260"/>
      <c r="T973" s="260"/>
      <c r="U973" s="260"/>
      <c r="V973" s="260"/>
      <c r="W973" s="260"/>
      <c r="X973" s="260"/>
      <c r="Y973" s="260"/>
      <c r="Z973" s="260"/>
      <c r="AA973" s="260"/>
      <c r="AB973" s="260"/>
      <c r="AC973" s="260"/>
      <c r="AD973" s="260"/>
      <c r="AE973" s="260"/>
      <c r="AF973" s="260"/>
      <c r="AG973" s="260"/>
      <c r="AH973" s="260"/>
      <c r="AI973" s="261"/>
    </row>
    <row r="974" spans="1:35" ht="15" customHeight="1" x14ac:dyDescent="0.45">
      <c r="A974" s="259"/>
      <c r="B974" s="260"/>
      <c r="C974" s="260"/>
      <c r="D974" s="260"/>
      <c r="E974" s="260"/>
      <c r="F974" s="260"/>
      <c r="G974" s="260"/>
      <c r="H974" s="260"/>
      <c r="I974" s="260"/>
      <c r="J974" s="260"/>
      <c r="K974" s="260"/>
      <c r="L974" s="260"/>
      <c r="M974" s="260"/>
      <c r="N974" s="260"/>
      <c r="O974" s="260"/>
      <c r="P974" s="260"/>
      <c r="Q974" s="260"/>
      <c r="R974" s="260"/>
      <c r="S974" s="260"/>
      <c r="T974" s="260"/>
      <c r="U974" s="260"/>
      <c r="V974" s="260"/>
      <c r="W974" s="260"/>
      <c r="X974" s="260"/>
      <c r="Y974" s="260"/>
      <c r="Z974" s="260"/>
      <c r="AA974" s="260"/>
      <c r="AB974" s="260"/>
      <c r="AC974" s="260"/>
      <c r="AD974" s="260"/>
      <c r="AE974" s="260"/>
      <c r="AF974" s="260"/>
      <c r="AG974" s="260"/>
      <c r="AH974" s="260"/>
      <c r="AI974" s="261"/>
    </row>
    <row r="975" spans="1:35" ht="15" customHeight="1" x14ac:dyDescent="0.45">
      <c r="A975" s="259"/>
      <c r="B975" s="260"/>
      <c r="C975" s="260"/>
      <c r="D975" s="260"/>
      <c r="E975" s="260"/>
      <c r="F975" s="260"/>
      <c r="G975" s="260"/>
      <c r="H975" s="260"/>
      <c r="I975" s="260"/>
      <c r="J975" s="260"/>
      <c r="K975" s="260"/>
      <c r="L975" s="260"/>
      <c r="M975" s="260"/>
      <c r="N975" s="260"/>
      <c r="O975" s="260"/>
      <c r="P975" s="260"/>
      <c r="Q975" s="260"/>
      <c r="R975" s="260"/>
      <c r="S975" s="260"/>
      <c r="T975" s="260"/>
      <c r="U975" s="260"/>
      <c r="V975" s="260"/>
      <c r="W975" s="260"/>
      <c r="X975" s="260"/>
      <c r="Y975" s="260"/>
      <c r="Z975" s="260"/>
      <c r="AA975" s="260"/>
      <c r="AB975" s="260"/>
      <c r="AC975" s="260"/>
      <c r="AD975" s="260"/>
      <c r="AE975" s="260"/>
      <c r="AF975" s="260"/>
      <c r="AG975" s="260"/>
      <c r="AH975" s="260"/>
      <c r="AI975" s="261"/>
    </row>
    <row r="976" spans="1:35" ht="15" customHeight="1" x14ac:dyDescent="0.45">
      <c r="A976" s="262"/>
      <c r="B976" s="263"/>
      <c r="C976" s="263"/>
      <c r="D976" s="263"/>
      <c r="E976" s="263"/>
      <c r="F976" s="263"/>
      <c r="G976" s="263"/>
      <c r="H976" s="263"/>
      <c r="I976" s="263"/>
      <c r="J976" s="263"/>
      <c r="K976" s="263"/>
      <c r="L976" s="263"/>
      <c r="M976" s="263"/>
      <c r="N976" s="263"/>
      <c r="O976" s="263"/>
      <c r="P976" s="263"/>
      <c r="Q976" s="263"/>
      <c r="R976" s="263"/>
      <c r="S976" s="263"/>
      <c r="T976" s="263"/>
      <c r="U976" s="263"/>
      <c r="V976" s="263"/>
      <c r="W976" s="263"/>
      <c r="X976" s="263"/>
      <c r="Y976" s="263"/>
      <c r="Z976" s="263"/>
      <c r="AA976" s="263"/>
      <c r="AB976" s="263"/>
      <c r="AC976" s="263"/>
      <c r="AD976" s="263"/>
      <c r="AE976" s="263"/>
      <c r="AF976" s="263"/>
      <c r="AG976" s="263"/>
      <c r="AH976" s="263"/>
      <c r="AI976" s="264"/>
    </row>
    <row r="977" spans="1:35" ht="15" customHeight="1" x14ac:dyDescent="0.45"/>
    <row r="978" spans="1:35" ht="15" customHeight="1" thickBot="1" x14ac:dyDescent="0.5">
      <c r="A978" s="78" t="s">
        <v>98</v>
      </c>
      <c r="B978" s="79"/>
      <c r="C978" s="80"/>
      <c r="D978" s="78" t="s">
        <v>99</v>
      </c>
      <c r="E978" s="79"/>
      <c r="F978" s="79"/>
      <c r="G978" s="79"/>
      <c r="H978" s="79"/>
      <c r="I978" s="79"/>
      <c r="J978" s="79"/>
      <c r="K978" s="79"/>
      <c r="L978" s="79"/>
      <c r="M978" s="79"/>
      <c r="N978" s="79"/>
      <c r="O978" s="79"/>
      <c r="P978" s="79"/>
      <c r="Q978" s="79"/>
      <c r="R978" s="79"/>
      <c r="S978" s="79"/>
      <c r="T978" s="79"/>
      <c r="U978" s="79"/>
      <c r="V978" s="79"/>
      <c r="W978" s="79"/>
      <c r="X978" s="79"/>
      <c r="Y978" s="79"/>
      <c r="Z978" s="79"/>
      <c r="AA978" s="79"/>
      <c r="AB978" s="79"/>
      <c r="AC978" s="80"/>
      <c r="AD978" s="78" t="s">
        <v>100</v>
      </c>
      <c r="AE978" s="79"/>
      <c r="AF978" s="79"/>
      <c r="AG978" s="79"/>
      <c r="AH978" s="79"/>
      <c r="AI978" s="80"/>
    </row>
    <row r="979" spans="1:35" ht="15" customHeight="1" thickTop="1" x14ac:dyDescent="0.45">
      <c r="A979" s="31"/>
      <c r="B979" s="32"/>
      <c r="C979" s="381"/>
      <c r="D979" s="50" t="s">
        <v>398</v>
      </c>
      <c r="E979" s="382"/>
      <c r="F979" s="382"/>
      <c r="G979" s="382"/>
      <c r="H979" s="382"/>
      <c r="I979" s="382"/>
      <c r="J979" s="382"/>
      <c r="K979" s="382"/>
      <c r="L979" s="382"/>
      <c r="M979" s="382"/>
      <c r="N979" s="382"/>
      <c r="O979" s="382"/>
      <c r="P979" s="382"/>
      <c r="Q979" s="18"/>
      <c r="R979" s="18"/>
      <c r="S979" s="18"/>
      <c r="T979" s="18"/>
      <c r="U979" s="18"/>
      <c r="V979" s="18"/>
      <c r="W979" s="18"/>
      <c r="X979" s="18"/>
      <c r="Y979" s="18"/>
      <c r="Z979" s="18"/>
      <c r="AA979" s="18"/>
      <c r="AB979" s="18"/>
      <c r="AC979" s="19"/>
      <c r="AD979" s="147"/>
      <c r="AE979" s="148"/>
      <c r="AF979" s="148"/>
      <c r="AG979" s="148"/>
      <c r="AH979" s="148"/>
      <c r="AI979" s="201"/>
    </row>
    <row r="980" spans="1:35" ht="15" customHeight="1" x14ac:dyDescent="0.45">
      <c r="A980" s="164" t="s">
        <v>180</v>
      </c>
      <c r="B980" s="165"/>
      <c r="C980" s="166"/>
      <c r="D980" s="116" t="s">
        <v>399</v>
      </c>
      <c r="E980" s="117"/>
      <c r="F980" s="117"/>
      <c r="G980" s="117"/>
      <c r="H980" s="117"/>
      <c r="I980" s="117"/>
      <c r="J980" s="117"/>
      <c r="K980" s="117"/>
      <c r="L980" s="117"/>
      <c r="M980" s="117"/>
      <c r="N980" s="117"/>
      <c r="O980" s="117"/>
      <c r="P980" s="117"/>
      <c r="Q980" s="117"/>
      <c r="R980" s="117"/>
      <c r="S980" s="117"/>
      <c r="T980" s="117"/>
      <c r="U980" s="117"/>
      <c r="V980" s="117"/>
      <c r="W980" s="117"/>
      <c r="X980" s="118"/>
      <c r="Y980" s="52"/>
      <c r="Z980" s="52"/>
      <c r="AA980" s="52"/>
      <c r="AB980" s="52"/>
      <c r="AC980" s="200"/>
      <c r="AD980" s="147" t="s">
        <v>356</v>
      </c>
      <c r="AE980" s="148"/>
      <c r="AF980" s="148"/>
      <c r="AG980" s="148"/>
      <c r="AH980" s="148"/>
      <c r="AI980" s="201"/>
    </row>
    <row r="981" spans="1:35" ht="15" customHeight="1" x14ac:dyDescent="0.45">
      <c r="A981" s="164" t="s">
        <v>180</v>
      </c>
      <c r="B981" s="165"/>
      <c r="C981" s="166"/>
      <c r="D981" s="116" t="s">
        <v>400</v>
      </c>
      <c r="E981" s="117"/>
      <c r="F981" s="117"/>
      <c r="G981" s="117"/>
      <c r="H981" s="117"/>
      <c r="I981" s="117"/>
      <c r="J981" s="117"/>
      <c r="K981" s="117"/>
      <c r="L981" s="117"/>
      <c r="M981" s="117"/>
      <c r="N981" s="117"/>
      <c r="O981" s="117"/>
      <c r="P981" s="117"/>
      <c r="Q981" s="117"/>
      <c r="R981" s="117"/>
      <c r="S981" s="117"/>
      <c r="T981" s="117"/>
      <c r="U981" s="117"/>
      <c r="V981" s="117"/>
      <c r="W981" s="117"/>
      <c r="X981" s="118"/>
      <c r="Y981" s="52"/>
      <c r="Z981" s="52"/>
      <c r="AA981" s="52"/>
      <c r="AB981" s="52"/>
      <c r="AC981" s="200"/>
      <c r="AD981" s="147" t="s">
        <v>401</v>
      </c>
      <c r="AE981" s="148"/>
      <c r="AF981" s="148"/>
      <c r="AG981" s="148"/>
      <c r="AH981" s="148"/>
      <c r="AI981" s="201"/>
    </row>
    <row r="982" spans="1:35" ht="15" customHeight="1" x14ac:dyDescent="0.45">
      <c r="A982" s="164" t="s">
        <v>180</v>
      </c>
      <c r="B982" s="165"/>
      <c r="C982" s="166"/>
      <c r="D982" s="116" t="s">
        <v>402</v>
      </c>
      <c r="E982" s="117"/>
      <c r="F982" s="117"/>
      <c r="G982" s="117"/>
      <c r="H982" s="117"/>
      <c r="I982" s="117"/>
      <c r="J982" s="117"/>
      <c r="K982" s="117"/>
      <c r="L982" s="117"/>
      <c r="M982" s="117"/>
      <c r="N982" s="117"/>
      <c r="O982" s="117"/>
      <c r="P982" s="117"/>
      <c r="Q982" s="117"/>
      <c r="R982" s="117"/>
      <c r="S982" s="117"/>
      <c r="T982" s="117"/>
      <c r="U982" s="117"/>
      <c r="V982" s="117"/>
      <c r="W982" s="117"/>
      <c r="X982" s="118"/>
      <c r="Y982" s="52"/>
      <c r="Z982" s="52"/>
      <c r="AA982" s="52"/>
      <c r="AB982" s="52"/>
      <c r="AC982" s="200"/>
      <c r="AD982" s="147"/>
      <c r="AE982" s="148"/>
      <c r="AF982" s="148"/>
      <c r="AG982" s="148"/>
      <c r="AH982" s="148"/>
      <c r="AI982" s="201"/>
    </row>
    <row r="983" spans="1:35" ht="15" customHeight="1" x14ac:dyDescent="0.45">
      <c r="A983" s="417" t="s">
        <v>208</v>
      </c>
      <c r="B983" s="418"/>
      <c r="C983" s="418"/>
      <c r="D983" s="418"/>
      <c r="E983" s="418"/>
      <c r="F983" s="418"/>
      <c r="G983" s="418"/>
      <c r="H983" s="418"/>
      <c r="I983" s="418"/>
      <c r="J983" s="418"/>
      <c r="K983" s="418"/>
      <c r="L983" s="418"/>
      <c r="M983" s="418"/>
      <c r="N983" s="418"/>
      <c r="O983" s="418"/>
      <c r="P983" s="418"/>
      <c r="Q983" s="418"/>
      <c r="R983" s="418"/>
      <c r="S983" s="418"/>
      <c r="T983" s="418"/>
      <c r="U983" s="418"/>
      <c r="V983" s="418"/>
      <c r="W983" s="418"/>
      <c r="X983" s="418"/>
      <c r="Y983" s="418"/>
      <c r="Z983" s="418"/>
      <c r="AA983" s="418"/>
      <c r="AB983" s="418"/>
      <c r="AC983" s="418"/>
      <c r="AD983" s="418"/>
      <c r="AE983" s="418"/>
      <c r="AF983" s="418"/>
      <c r="AG983" s="418"/>
      <c r="AH983" s="418"/>
      <c r="AI983" s="419"/>
    </row>
    <row r="984" spans="1:35" ht="15" customHeight="1" x14ac:dyDescent="0.45">
      <c r="A984" s="256"/>
      <c r="B984" s="257"/>
      <c r="C984" s="257"/>
      <c r="D984" s="257"/>
      <c r="E984" s="257"/>
      <c r="F984" s="257"/>
      <c r="G984" s="257"/>
      <c r="H984" s="257"/>
      <c r="I984" s="257"/>
      <c r="J984" s="257"/>
      <c r="K984" s="257"/>
      <c r="L984" s="257"/>
      <c r="M984" s="257"/>
      <c r="N984" s="257"/>
      <c r="O984" s="257"/>
      <c r="P984" s="257"/>
      <c r="Q984" s="257"/>
      <c r="R984" s="257"/>
      <c r="S984" s="257"/>
      <c r="T984" s="257"/>
      <c r="U984" s="257"/>
      <c r="V984" s="257"/>
      <c r="W984" s="257"/>
      <c r="X984" s="257"/>
      <c r="Y984" s="257"/>
      <c r="Z984" s="257"/>
      <c r="AA984" s="257"/>
      <c r="AB984" s="257"/>
      <c r="AC984" s="257"/>
      <c r="AD984" s="257"/>
      <c r="AE984" s="257"/>
      <c r="AF984" s="257"/>
      <c r="AG984" s="257"/>
      <c r="AH984" s="257"/>
      <c r="AI984" s="258"/>
    </row>
    <row r="985" spans="1:35" ht="15" customHeight="1" x14ac:dyDescent="0.45">
      <c r="A985" s="259"/>
      <c r="B985" s="260"/>
      <c r="C985" s="260"/>
      <c r="D985" s="260"/>
      <c r="E985" s="260"/>
      <c r="F985" s="260"/>
      <c r="G985" s="260"/>
      <c r="H985" s="260"/>
      <c r="I985" s="260"/>
      <c r="J985" s="260"/>
      <c r="K985" s="260"/>
      <c r="L985" s="260"/>
      <c r="M985" s="260"/>
      <c r="N985" s="260"/>
      <c r="O985" s="260"/>
      <c r="P985" s="260"/>
      <c r="Q985" s="260"/>
      <c r="R985" s="260"/>
      <c r="S985" s="260"/>
      <c r="T985" s="260"/>
      <c r="U985" s="260"/>
      <c r="V985" s="260"/>
      <c r="W985" s="260"/>
      <c r="X985" s="260"/>
      <c r="Y985" s="260"/>
      <c r="Z985" s="260"/>
      <c r="AA985" s="260"/>
      <c r="AB985" s="260"/>
      <c r="AC985" s="260"/>
      <c r="AD985" s="260"/>
      <c r="AE985" s="260"/>
      <c r="AF985" s="260"/>
      <c r="AG985" s="260"/>
      <c r="AH985" s="260"/>
      <c r="AI985" s="261"/>
    </row>
    <row r="986" spans="1:35" ht="15" customHeight="1" x14ac:dyDescent="0.45">
      <c r="A986" s="259"/>
      <c r="B986" s="260"/>
      <c r="C986" s="260"/>
      <c r="D986" s="260"/>
      <c r="E986" s="260"/>
      <c r="F986" s="260"/>
      <c r="G986" s="260"/>
      <c r="H986" s="260"/>
      <c r="I986" s="260"/>
      <c r="J986" s="260"/>
      <c r="K986" s="260"/>
      <c r="L986" s="260"/>
      <c r="M986" s="260"/>
      <c r="N986" s="260"/>
      <c r="O986" s="260"/>
      <c r="P986" s="260"/>
      <c r="Q986" s="260"/>
      <c r="R986" s="260"/>
      <c r="S986" s="260"/>
      <c r="T986" s="260"/>
      <c r="U986" s="260"/>
      <c r="V986" s="260"/>
      <c r="W986" s="260"/>
      <c r="X986" s="260"/>
      <c r="Y986" s="260"/>
      <c r="Z986" s="260"/>
      <c r="AA986" s="260"/>
      <c r="AB986" s="260"/>
      <c r="AC986" s="260"/>
      <c r="AD986" s="260"/>
      <c r="AE986" s="260"/>
      <c r="AF986" s="260"/>
      <c r="AG986" s="260"/>
      <c r="AH986" s="260"/>
      <c r="AI986" s="261"/>
    </row>
    <row r="987" spans="1:35" ht="15" customHeight="1" x14ac:dyDescent="0.45">
      <c r="A987" s="259"/>
      <c r="B987" s="260"/>
      <c r="C987" s="260"/>
      <c r="D987" s="260"/>
      <c r="E987" s="260"/>
      <c r="F987" s="260"/>
      <c r="G987" s="260"/>
      <c r="H987" s="260"/>
      <c r="I987" s="260"/>
      <c r="J987" s="260"/>
      <c r="K987" s="260"/>
      <c r="L987" s="260"/>
      <c r="M987" s="260"/>
      <c r="N987" s="260"/>
      <c r="O987" s="260"/>
      <c r="P987" s="260"/>
      <c r="Q987" s="260"/>
      <c r="R987" s="260"/>
      <c r="S987" s="260"/>
      <c r="T987" s="260"/>
      <c r="U987" s="260"/>
      <c r="V987" s="260"/>
      <c r="W987" s="260"/>
      <c r="X987" s="260"/>
      <c r="Y987" s="260"/>
      <c r="Z987" s="260"/>
      <c r="AA987" s="260"/>
      <c r="AB987" s="260"/>
      <c r="AC987" s="260"/>
      <c r="AD987" s="260"/>
      <c r="AE987" s="260"/>
      <c r="AF987" s="260"/>
      <c r="AG987" s="260"/>
      <c r="AH987" s="260"/>
      <c r="AI987" s="261"/>
    </row>
    <row r="988" spans="1:35" ht="15" customHeight="1" x14ac:dyDescent="0.45">
      <c r="A988" s="259"/>
      <c r="B988" s="260"/>
      <c r="C988" s="260"/>
      <c r="D988" s="260"/>
      <c r="E988" s="260"/>
      <c r="F988" s="260"/>
      <c r="G988" s="260"/>
      <c r="H988" s="260"/>
      <c r="I988" s="260"/>
      <c r="J988" s="260"/>
      <c r="K988" s="260"/>
      <c r="L988" s="260"/>
      <c r="M988" s="260"/>
      <c r="N988" s="260"/>
      <c r="O988" s="260"/>
      <c r="P988" s="260"/>
      <c r="Q988" s="260"/>
      <c r="R988" s="260"/>
      <c r="S988" s="260"/>
      <c r="T988" s="260"/>
      <c r="U988" s="260"/>
      <c r="V988" s="260"/>
      <c r="W988" s="260"/>
      <c r="X988" s="260"/>
      <c r="Y988" s="260"/>
      <c r="Z988" s="260"/>
      <c r="AA988" s="260"/>
      <c r="AB988" s="260"/>
      <c r="AC988" s="260"/>
      <c r="AD988" s="260"/>
      <c r="AE988" s="260"/>
      <c r="AF988" s="260"/>
      <c r="AG988" s="260"/>
      <c r="AH988" s="260"/>
      <c r="AI988" s="261"/>
    </row>
    <row r="989" spans="1:35" ht="15" customHeight="1" x14ac:dyDescent="0.45">
      <c r="A989" s="259"/>
      <c r="B989" s="260"/>
      <c r="C989" s="260"/>
      <c r="D989" s="260"/>
      <c r="E989" s="260"/>
      <c r="F989" s="260"/>
      <c r="G989" s="260"/>
      <c r="H989" s="260"/>
      <c r="I989" s="260"/>
      <c r="J989" s="260"/>
      <c r="K989" s="260"/>
      <c r="L989" s="260"/>
      <c r="M989" s="260"/>
      <c r="N989" s="260"/>
      <c r="O989" s="260"/>
      <c r="P989" s="260"/>
      <c r="Q989" s="260"/>
      <c r="R989" s="260"/>
      <c r="S989" s="260"/>
      <c r="T989" s="260"/>
      <c r="U989" s="260"/>
      <c r="V989" s="260"/>
      <c r="W989" s="260"/>
      <c r="X989" s="260"/>
      <c r="Y989" s="260"/>
      <c r="Z989" s="260"/>
      <c r="AA989" s="260"/>
      <c r="AB989" s="260"/>
      <c r="AC989" s="260"/>
      <c r="AD989" s="260"/>
      <c r="AE989" s="260"/>
      <c r="AF989" s="260"/>
      <c r="AG989" s="260"/>
      <c r="AH989" s="260"/>
      <c r="AI989" s="261"/>
    </row>
    <row r="990" spans="1:35" ht="15" customHeight="1" x14ac:dyDescent="0.45">
      <c r="A990" s="259"/>
      <c r="B990" s="260"/>
      <c r="C990" s="260"/>
      <c r="D990" s="260"/>
      <c r="E990" s="260"/>
      <c r="F990" s="260"/>
      <c r="G990" s="260"/>
      <c r="H990" s="260"/>
      <c r="I990" s="260"/>
      <c r="J990" s="260"/>
      <c r="K990" s="260"/>
      <c r="L990" s="260"/>
      <c r="M990" s="260"/>
      <c r="N990" s="260"/>
      <c r="O990" s="260"/>
      <c r="P990" s="260"/>
      <c r="Q990" s="260"/>
      <c r="R990" s="260"/>
      <c r="S990" s="260"/>
      <c r="T990" s="260"/>
      <c r="U990" s="260"/>
      <c r="V990" s="260"/>
      <c r="W990" s="260"/>
      <c r="X990" s="260"/>
      <c r="Y990" s="260"/>
      <c r="Z990" s="260"/>
      <c r="AA990" s="260"/>
      <c r="AB990" s="260"/>
      <c r="AC990" s="260"/>
      <c r="AD990" s="260"/>
      <c r="AE990" s="260"/>
      <c r="AF990" s="260"/>
      <c r="AG990" s="260"/>
      <c r="AH990" s="260"/>
      <c r="AI990" s="261"/>
    </row>
    <row r="991" spans="1:35" ht="15" customHeight="1" x14ac:dyDescent="0.45">
      <c r="A991" s="262"/>
      <c r="B991" s="263"/>
      <c r="C991" s="263"/>
      <c r="D991" s="263"/>
      <c r="E991" s="263"/>
      <c r="F991" s="263"/>
      <c r="G991" s="263"/>
      <c r="H991" s="263"/>
      <c r="I991" s="263"/>
      <c r="J991" s="263"/>
      <c r="K991" s="263"/>
      <c r="L991" s="263"/>
      <c r="M991" s="263"/>
      <c r="N991" s="263"/>
      <c r="O991" s="263"/>
      <c r="P991" s="263"/>
      <c r="Q991" s="263"/>
      <c r="R991" s="263"/>
      <c r="S991" s="263"/>
      <c r="T991" s="263"/>
      <c r="U991" s="263"/>
      <c r="V991" s="263"/>
      <c r="W991" s="263"/>
      <c r="X991" s="263"/>
      <c r="Y991" s="263"/>
      <c r="Z991" s="263"/>
      <c r="AA991" s="263"/>
      <c r="AB991" s="263"/>
      <c r="AC991" s="263"/>
      <c r="AD991" s="263"/>
      <c r="AE991" s="263"/>
      <c r="AF991" s="263"/>
      <c r="AG991" s="263"/>
      <c r="AH991" s="263"/>
      <c r="AI991" s="264"/>
    </row>
    <row r="992" spans="1:35" ht="15" customHeight="1" x14ac:dyDescent="0.45"/>
    <row r="993" spans="1:35" ht="15" customHeight="1" x14ac:dyDescent="0.45">
      <c r="A993" s="420" t="s">
        <v>403</v>
      </c>
      <c r="B993" s="421"/>
      <c r="C993" s="421"/>
      <c r="D993" s="421"/>
      <c r="E993" s="421"/>
      <c r="F993" s="421"/>
      <c r="G993" s="421"/>
      <c r="H993" s="421"/>
      <c r="I993" s="421"/>
      <c r="J993" s="421"/>
      <c r="K993" s="421"/>
      <c r="L993" s="421"/>
      <c r="M993" s="421"/>
      <c r="N993" s="421"/>
      <c r="O993" s="421"/>
      <c r="P993" s="421"/>
      <c r="Q993" s="421"/>
      <c r="R993" s="421"/>
      <c r="S993" s="421"/>
      <c r="T993" s="421"/>
      <c r="U993" s="421"/>
      <c r="V993" s="421"/>
      <c r="W993" s="421"/>
      <c r="X993" s="421"/>
      <c r="Y993" s="421"/>
      <c r="Z993" s="421"/>
      <c r="AA993" s="421"/>
      <c r="AB993" s="421"/>
      <c r="AC993" s="421"/>
      <c r="AD993" s="421"/>
      <c r="AE993" s="421"/>
      <c r="AF993" s="421"/>
      <c r="AG993" s="421"/>
      <c r="AH993" s="421"/>
      <c r="AI993" s="422"/>
    </row>
    <row r="994" spans="1:35" ht="15" customHeight="1" x14ac:dyDescent="0.45">
      <c r="A994" s="423" t="s">
        <v>72</v>
      </c>
      <c r="B994" s="424"/>
      <c r="C994" s="424"/>
      <c r="D994" s="424"/>
      <c r="E994" s="424"/>
      <c r="F994" s="424"/>
      <c r="G994" s="424"/>
      <c r="H994" s="424"/>
      <c r="I994" s="424"/>
      <c r="J994" s="424"/>
      <c r="K994" s="424"/>
      <c r="L994" s="424"/>
      <c r="M994" s="424"/>
      <c r="N994" s="424"/>
      <c r="O994" s="424"/>
      <c r="P994" s="424"/>
      <c r="Q994" s="424"/>
      <c r="R994" s="424"/>
      <c r="S994" s="424"/>
      <c r="T994" s="424"/>
      <c r="U994" s="424"/>
      <c r="V994" s="424"/>
      <c r="W994" s="424"/>
      <c r="X994" s="424"/>
      <c r="Y994" s="424"/>
      <c r="Z994" s="424"/>
      <c r="AA994" s="424"/>
      <c r="AB994" s="424"/>
      <c r="AC994" s="424"/>
      <c r="AD994" s="424"/>
      <c r="AE994" s="424"/>
      <c r="AF994" s="424"/>
      <c r="AG994" s="424"/>
      <c r="AH994" s="424"/>
      <c r="AI994" s="425"/>
    </row>
    <row r="995" spans="1:35" ht="15" customHeight="1" x14ac:dyDescent="0.45">
      <c r="A995" s="423"/>
      <c r="B995" s="424"/>
      <c r="C995" s="424"/>
      <c r="D995" s="424"/>
      <c r="E995" s="424"/>
      <c r="F995" s="424"/>
      <c r="G995" s="424"/>
      <c r="H995" s="424"/>
      <c r="I995" s="424"/>
      <c r="J995" s="424"/>
      <c r="K995" s="424"/>
      <c r="L995" s="424"/>
      <c r="M995" s="424"/>
      <c r="N995" s="424"/>
      <c r="O995" s="424"/>
      <c r="P995" s="424"/>
      <c r="Q995" s="424"/>
      <c r="R995" s="424"/>
      <c r="S995" s="424"/>
      <c r="T995" s="424"/>
      <c r="U995" s="424"/>
      <c r="V995" s="424"/>
      <c r="W995" s="424"/>
      <c r="X995" s="424"/>
      <c r="Y995" s="424"/>
      <c r="Z995" s="424"/>
      <c r="AA995" s="424"/>
      <c r="AB995" s="424"/>
      <c r="AC995" s="424"/>
      <c r="AD995" s="424"/>
      <c r="AE995" s="424"/>
      <c r="AF995" s="424"/>
      <c r="AG995" s="424"/>
      <c r="AH995" s="424"/>
      <c r="AI995" s="425"/>
    </row>
    <row r="996" spans="1:35" ht="15" customHeight="1" x14ac:dyDescent="0.45">
      <c r="A996" s="423"/>
      <c r="B996" s="424"/>
      <c r="C996" s="424"/>
      <c r="D996" s="424"/>
      <c r="E996" s="424"/>
      <c r="F996" s="424"/>
      <c r="G996" s="424"/>
      <c r="H996" s="424"/>
      <c r="I996" s="424"/>
      <c r="J996" s="424"/>
      <c r="K996" s="424"/>
      <c r="L996" s="424"/>
      <c r="M996" s="424"/>
      <c r="N996" s="424"/>
      <c r="O996" s="424"/>
      <c r="P996" s="424"/>
      <c r="Q996" s="424"/>
      <c r="R996" s="424"/>
      <c r="S996" s="424"/>
      <c r="T996" s="424"/>
      <c r="U996" s="424"/>
      <c r="V996" s="424"/>
      <c r="W996" s="424"/>
      <c r="X996" s="424"/>
      <c r="Y996" s="424"/>
      <c r="Z996" s="424"/>
      <c r="AA996" s="424"/>
      <c r="AB996" s="424"/>
      <c r="AC996" s="424"/>
      <c r="AD996" s="424"/>
      <c r="AE996" s="424"/>
      <c r="AF996" s="424"/>
      <c r="AG996" s="424"/>
      <c r="AH996" s="424"/>
      <c r="AI996" s="425"/>
    </row>
    <row r="997" spans="1:35" ht="15" customHeight="1" x14ac:dyDescent="0.45">
      <c r="A997" s="423"/>
      <c r="B997" s="424"/>
      <c r="C997" s="424"/>
      <c r="D997" s="424"/>
      <c r="E997" s="424"/>
      <c r="F997" s="424"/>
      <c r="G997" s="424"/>
      <c r="H997" s="424"/>
      <c r="I997" s="424"/>
      <c r="J997" s="424"/>
      <c r="K997" s="424"/>
      <c r="L997" s="424"/>
      <c r="M997" s="424"/>
      <c r="N997" s="424"/>
      <c r="O997" s="424"/>
      <c r="P997" s="424"/>
      <c r="Q997" s="424"/>
      <c r="R997" s="424"/>
      <c r="S997" s="424"/>
      <c r="T997" s="424"/>
      <c r="U997" s="424"/>
      <c r="V997" s="424"/>
      <c r="W997" s="424"/>
      <c r="X997" s="424"/>
      <c r="Y997" s="424"/>
      <c r="Z997" s="424"/>
      <c r="AA997" s="424"/>
      <c r="AB997" s="424"/>
      <c r="AC997" s="424"/>
      <c r="AD997" s="424"/>
      <c r="AE997" s="424"/>
      <c r="AF997" s="424"/>
      <c r="AG997" s="424"/>
      <c r="AH997" s="424"/>
      <c r="AI997" s="425"/>
    </row>
    <row r="998" spans="1:35" ht="15" customHeight="1" x14ac:dyDescent="0.45">
      <c r="A998" s="423"/>
      <c r="B998" s="424"/>
      <c r="C998" s="424"/>
      <c r="D998" s="424"/>
      <c r="E998" s="424"/>
      <c r="F998" s="424"/>
      <c r="G998" s="424"/>
      <c r="H998" s="424"/>
      <c r="I998" s="424"/>
      <c r="J998" s="424"/>
      <c r="K998" s="424"/>
      <c r="L998" s="424"/>
      <c r="M998" s="424"/>
      <c r="N998" s="424"/>
      <c r="O998" s="424"/>
      <c r="P998" s="424"/>
      <c r="Q998" s="424"/>
      <c r="R998" s="424"/>
      <c r="S998" s="424"/>
      <c r="T998" s="424"/>
      <c r="U998" s="424"/>
      <c r="V998" s="424"/>
      <c r="W998" s="424"/>
      <c r="X998" s="424"/>
      <c r="Y998" s="424"/>
      <c r="Z998" s="424"/>
      <c r="AA998" s="424"/>
      <c r="AB998" s="424"/>
      <c r="AC998" s="424"/>
      <c r="AD998" s="424"/>
      <c r="AE998" s="424"/>
      <c r="AF998" s="424"/>
      <c r="AG998" s="424"/>
      <c r="AH998" s="424"/>
      <c r="AI998" s="425"/>
    </row>
    <row r="999" spans="1:35" ht="15" customHeight="1" x14ac:dyDescent="0.45">
      <c r="A999" s="423"/>
      <c r="B999" s="424"/>
      <c r="C999" s="424"/>
      <c r="D999" s="424"/>
      <c r="E999" s="424"/>
      <c r="F999" s="424"/>
      <c r="G999" s="424"/>
      <c r="H999" s="424"/>
      <c r="I999" s="424"/>
      <c r="J999" s="424"/>
      <c r="K999" s="424"/>
      <c r="L999" s="424"/>
      <c r="M999" s="424"/>
      <c r="N999" s="424"/>
      <c r="O999" s="424"/>
      <c r="P999" s="424"/>
      <c r="Q999" s="424"/>
      <c r="R999" s="424"/>
      <c r="S999" s="424"/>
      <c r="T999" s="424"/>
      <c r="U999" s="424"/>
      <c r="V999" s="424"/>
      <c r="W999" s="424"/>
      <c r="X999" s="424"/>
      <c r="Y999" s="424"/>
      <c r="Z999" s="424"/>
      <c r="AA999" s="424"/>
      <c r="AB999" s="424"/>
      <c r="AC999" s="424"/>
      <c r="AD999" s="424"/>
      <c r="AE999" s="424"/>
      <c r="AF999" s="424"/>
      <c r="AG999" s="424"/>
      <c r="AH999" s="424"/>
      <c r="AI999" s="425"/>
    </row>
    <row r="1000" spans="1:35" ht="15" customHeight="1" x14ac:dyDescent="0.45">
      <c r="A1000" s="423"/>
      <c r="B1000" s="424"/>
      <c r="C1000" s="424"/>
      <c r="D1000" s="424"/>
      <c r="E1000" s="424"/>
      <c r="F1000" s="424"/>
      <c r="G1000" s="424"/>
      <c r="H1000" s="424"/>
      <c r="I1000" s="424"/>
      <c r="J1000" s="424"/>
      <c r="K1000" s="424"/>
      <c r="L1000" s="424"/>
      <c r="M1000" s="424"/>
      <c r="N1000" s="424"/>
      <c r="O1000" s="424"/>
      <c r="P1000" s="424"/>
      <c r="Q1000" s="424"/>
      <c r="R1000" s="424"/>
      <c r="S1000" s="424"/>
      <c r="T1000" s="424"/>
      <c r="U1000" s="424"/>
      <c r="V1000" s="424"/>
      <c r="W1000" s="424"/>
      <c r="X1000" s="424"/>
      <c r="Y1000" s="424"/>
      <c r="Z1000" s="424"/>
      <c r="AA1000" s="424"/>
      <c r="AB1000" s="424"/>
      <c r="AC1000" s="424"/>
      <c r="AD1000" s="424"/>
      <c r="AE1000" s="424"/>
      <c r="AF1000" s="424"/>
      <c r="AG1000" s="424"/>
      <c r="AH1000" s="424"/>
      <c r="AI1000" s="425"/>
    </row>
    <row r="1001" spans="1:35" ht="15" customHeight="1" x14ac:dyDescent="0.45">
      <c r="A1001" s="426"/>
      <c r="B1001" s="427"/>
      <c r="C1001" s="427"/>
      <c r="D1001" s="427"/>
      <c r="E1001" s="427"/>
      <c r="F1001" s="427"/>
      <c r="G1001" s="427"/>
      <c r="H1001" s="427"/>
      <c r="I1001" s="427"/>
      <c r="J1001" s="427"/>
      <c r="K1001" s="427"/>
      <c r="L1001" s="427"/>
      <c r="M1001" s="427"/>
      <c r="N1001" s="427"/>
      <c r="O1001" s="427"/>
      <c r="P1001" s="427"/>
      <c r="Q1001" s="427"/>
      <c r="R1001" s="427"/>
      <c r="S1001" s="427"/>
      <c r="T1001" s="427"/>
      <c r="U1001" s="427"/>
      <c r="V1001" s="427"/>
      <c r="W1001" s="427"/>
      <c r="X1001" s="427"/>
      <c r="Y1001" s="427"/>
      <c r="Z1001" s="427"/>
      <c r="AA1001" s="427"/>
      <c r="AB1001" s="427"/>
      <c r="AC1001" s="427"/>
      <c r="AD1001" s="427"/>
      <c r="AE1001" s="427"/>
      <c r="AF1001" s="427"/>
      <c r="AG1001" s="427"/>
      <c r="AH1001" s="427"/>
      <c r="AI1001" s="428"/>
    </row>
    <row r="1002" spans="1:35" ht="15" customHeight="1" x14ac:dyDescent="0.45"/>
    <row r="1003" spans="1:35" ht="15" customHeight="1" x14ac:dyDescent="0.45">
      <c r="A1003" s="14" t="s">
        <v>404</v>
      </c>
      <c r="B1003" s="14"/>
      <c r="C1003" s="14"/>
      <c r="D1003" s="14"/>
      <c r="E1003" s="14"/>
      <c r="F1003" s="15"/>
      <c r="G1003" s="15"/>
      <c r="H1003" s="15"/>
      <c r="I1003" s="15"/>
      <c r="J1003" s="15"/>
      <c r="K1003" s="15"/>
      <c r="L1003" s="15"/>
      <c r="M1003" s="15"/>
      <c r="N1003" s="15"/>
      <c r="O1003" s="15"/>
      <c r="P1003" s="15"/>
      <c r="Q1003" s="15"/>
      <c r="R1003" s="15"/>
      <c r="S1003" s="15"/>
      <c r="T1003" s="15"/>
      <c r="U1003" s="15"/>
      <c r="V1003" s="15"/>
      <c r="W1003" s="15"/>
      <c r="X1003" s="15"/>
      <c r="Y1003" s="15"/>
      <c r="Z1003" s="15"/>
      <c r="AA1003" s="15"/>
      <c r="AB1003" s="15"/>
      <c r="AC1003" s="66"/>
      <c r="AD1003" s="66"/>
      <c r="AE1003" s="66"/>
      <c r="AF1003" s="66"/>
      <c r="AG1003" s="66"/>
      <c r="AH1003" s="66"/>
      <c r="AI1003" s="66"/>
    </row>
    <row r="1004" spans="1:35" ht="15" customHeight="1" x14ac:dyDescent="0.45"/>
    <row r="1005" spans="1:35" ht="15" customHeight="1" x14ac:dyDescent="0.45"/>
    <row r="1006" spans="1:35" ht="15" customHeight="1" x14ac:dyDescent="0.45"/>
    <row r="1007" spans="1:35" ht="15" customHeight="1" x14ac:dyDescent="0.45"/>
    <row r="1008" spans="1:35" ht="15" customHeight="1" x14ac:dyDescent="0.45"/>
    <row r="1009" ht="15" customHeight="1" x14ac:dyDescent="0.45"/>
    <row r="1010" ht="15" customHeight="1" x14ac:dyDescent="0.45"/>
    <row r="1011" ht="15" customHeight="1" x14ac:dyDescent="0.45"/>
    <row r="1012" ht="15" customHeight="1" x14ac:dyDescent="0.45"/>
    <row r="1013" ht="15" customHeight="1" x14ac:dyDescent="0.45"/>
    <row r="1014" ht="15" customHeight="1" x14ac:dyDescent="0.45"/>
    <row r="1015" ht="15" customHeight="1" x14ac:dyDescent="0.45"/>
    <row r="1016" ht="15" customHeight="1" x14ac:dyDescent="0.45"/>
    <row r="1017" ht="15" customHeight="1" x14ac:dyDescent="0.45"/>
    <row r="1018" ht="15" customHeight="1" x14ac:dyDescent="0.45"/>
    <row r="1019" ht="15" customHeight="1" x14ac:dyDescent="0.45"/>
    <row r="1020" ht="15" customHeight="1" x14ac:dyDescent="0.45"/>
    <row r="1021" ht="15" customHeight="1" x14ac:dyDescent="0.45"/>
    <row r="1022" ht="15" customHeight="1" x14ac:dyDescent="0.45"/>
    <row r="1023" ht="15" customHeight="1" x14ac:dyDescent="0.45"/>
    <row r="1024" ht="15" customHeight="1" x14ac:dyDescent="0.45"/>
    <row r="1025" ht="15" customHeight="1" x14ac:dyDescent="0.45"/>
    <row r="1026" ht="15" customHeight="1" x14ac:dyDescent="0.45"/>
    <row r="1027" ht="15" customHeight="1" x14ac:dyDescent="0.45"/>
    <row r="1028" ht="15" customHeight="1" x14ac:dyDescent="0.45"/>
    <row r="1029" ht="15" customHeight="1" x14ac:dyDescent="0.45"/>
    <row r="1030" ht="15" customHeight="1" x14ac:dyDescent="0.45"/>
    <row r="1031" ht="15" customHeight="1" x14ac:dyDescent="0.45"/>
    <row r="1032" ht="15" customHeight="1" x14ac:dyDescent="0.45"/>
    <row r="1033" ht="15" customHeight="1" x14ac:dyDescent="0.45"/>
    <row r="1034" ht="15" customHeight="1" x14ac:dyDescent="0.45"/>
    <row r="1035" ht="15" customHeight="1" x14ac:dyDescent="0.45"/>
    <row r="1036" ht="15" customHeight="1" x14ac:dyDescent="0.45"/>
    <row r="1037" ht="15" customHeight="1" x14ac:dyDescent="0.45"/>
    <row r="1038" ht="15" customHeight="1" x14ac:dyDescent="0.45"/>
    <row r="1039" ht="15" customHeight="1" x14ac:dyDescent="0.45"/>
    <row r="1040" ht="15" customHeight="1" x14ac:dyDescent="0.45"/>
    <row r="1041" spans="1:35" ht="15" customHeight="1" x14ac:dyDescent="0.45"/>
    <row r="1042" spans="1:35" ht="15" customHeight="1" x14ac:dyDescent="0.45"/>
    <row r="1043" spans="1:35" ht="15" customHeight="1" x14ac:dyDescent="0.45"/>
    <row r="1044" spans="1:35" ht="15" customHeight="1" x14ac:dyDescent="0.45"/>
    <row r="1045" spans="1:35" ht="15" customHeight="1" x14ac:dyDescent="0.45"/>
    <row r="1046" spans="1:35" ht="15" customHeight="1" x14ac:dyDescent="0.45"/>
    <row r="1047" spans="1:35" ht="15" customHeight="1" x14ac:dyDescent="0.45"/>
    <row r="1048" spans="1:35" ht="15" customHeight="1" x14ac:dyDescent="0.45"/>
    <row r="1049" spans="1:35" ht="15" customHeight="1" x14ac:dyDescent="0.45"/>
    <row r="1050" spans="1:35" ht="15" customHeight="1" x14ac:dyDescent="0.45"/>
    <row r="1051" spans="1:35" ht="15" customHeight="1" x14ac:dyDescent="0.45"/>
    <row r="1052" spans="1:35" ht="15" customHeight="1" x14ac:dyDescent="0.45">
      <c r="A1052" s="14" t="s">
        <v>388</v>
      </c>
      <c r="B1052" s="14"/>
      <c r="C1052" s="14"/>
      <c r="D1052" s="14"/>
      <c r="E1052" s="14"/>
      <c r="F1052" s="15" t="s">
        <v>405</v>
      </c>
      <c r="G1052" s="15"/>
      <c r="H1052" s="15"/>
      <c r="I1052" s="15"/>
      <c r="J1052" s="15"/>
      <c r="K1052" s="15"/>
      <c r="L1052" s="15"/>
      <c r="M1052" s="15"/>
      <c r="N1052" s="15"/>
      <c r="O1052" s="15"/>
      <c r="P1052" s="15"/>
      <c r="Q1052" s="15"/>
      <c r="R1052" s="15"/>
      <c r="S1052" s="15"/>
      <c r="T1052" s="15"/>
      <c r="U1052" s="15"/>
      <c r="V1052" s="15"/>
      <c r="W1052" s="15"/>
      <c r="X1052" s="15"/>
      <c r="Y1052" s="15"/>
      <c r="Z1052" s="15"/>
      <c r="AA1052" s="15"/>
      <c r="AB1052" s="15"/>
      <c r="AC1052" s="66" t="s">
        <v>404</v>
      </c>
      <c r="AD1052" s="66"/>
      <c r="AE1052" s="66"/>
      <c r="AF1052" s="66"/>
      <c r="AG1052" s="66"/>
      <c r="AH1052" s="66"/>
      <c r="AI1052" s="66"/>
    </row>
    <row r="1053" spans="1:35" ht="15" customHeight="1" x14ac:dyDescent="0.45"/>
    <row r="1054" spans="1:35" ht="15" customHeight="1" thickBot="1" x14ac:dyDescent="0.5">
      <c r="A1054" s="395" t="s">
        <v>98</v>
      </c>
      <c r="B1054" s="92"/>
      <c r="C1054" s="93"/>
      <c r="D1054" s="395" t="s">
        <v>99</v>
      </c>
      <c r="E1054" s="92"/>
      <c r="F1054" s="92"/>
      <c r="G1054" s="92"/>
      <c r="H1054" s="92"/>
      <c r="I1054" s="92"/>
      <c r="J1054" s="92"/>
      <c r="K1054" s="92"/>
      <c r="L1054" s="92"/>
      <c r="M1054" s="92"/>
      <c r="N1054" s="92"/>
      <c r="O1054" s="92"/>
      <c r="P1054" s="92"/>
      <c r="Q1054" s="92"/>
      <c r="R1054" s="92"/>
      <c r="S1054" s="92"/>
      <c r="T1054" s="92"/>
      <c r="U1054" s="92"/>
      <c r="V1054" s="92"/>
      <c r="W1054" s="92"/>
      <c r="X1054" s="92"/>
      <c r="Y1054" s="92"/>
      <c r="Z1054" s="92"/>
      <c r="AA1054" s="92"/>
      <c r="AB1054" s="92"/>
      <c r="AC1054" s="93"/>
      <c r="AD1054" s="395" t="s">
        <v>100</v>
      </c>
      <c r="AE1054" s="92"/>
      <c r="AF1054" s="92"/>
      <c r="AG1054" s="92"/>
      <c r="AH1054" s="92"/>
      <c r="AI1054" s="93"/>
    </row>
    <row r="1055" spans="1:35" ht="15" customHeight="1" x14ac:dyDescent="0.45">
      <c r="A1055" s="429"/>
      <c r="B1055" s="430"/>
      <c r="C1055" s="431"/>
      <c r="D1055" s="432" t="s">
        <v>406</v>
      </c>
      <c r="E1055" s="430"/>
      <c r="F1055" s="430"/>
      <c r="G1055" s="430"/>
      <c r="H1055" s="430"/>
      <c r="I1055" s="430"/>
      <c r="J1055" s="430"/>
      <c r="K1055" s="430"/>
      <c r="L1055" s="430"/>
      <c r="M1055" s="430"/>
      <c r="N1055" s="430"/>
      <c r="O1055" s="430"/>
      <c r="P1055" s="430"/>
      <c r="Q1055" s="433"/>
      <c r="R1055" s="433"/>
      <c r="S1055" s="433"/>
      <c r="T1055" s="433"/>
      <c r="U1055" s="433"/>
      <c r="V1055" s="433"/>
      <c r="W1055" s="433"/>
      <c r="X1055" s="433"/>
      <c r="Y1055" s="433"/>
      <c r="Z1055" s="433"/>
      <c r="AA1055" s="433"/>
      <c r="AB1055" s="433"/>
      <c r="AC1055" s="434"/>
      <c r="AD1055" s="435" t="s">
        <v>407</v>
      </c>
      <c r="AE1055" s="436"/>
      <c r="AF1055" s="436"/>
      <c r="AG1055" s="436"/>
      <c r="AH1055" s="436"/>
      <c r="AI1055" s="437"/>
    </row>
    <row r="1056" spans="1:35" ht="15" customHeight="1" x14ac:dyDescent="0.45">
      <c r="A1056" s="438"/>
      <c r="B1056" s="47"/>
      <c r="C1056" s="384"/>
      <c r="D1056" s="96" t="s">
        <v>408</v>
      </c>
      <c r="E1056" s="97"/>
      <c r="F1056" s="97"/>
      <c r="G1056" s="97"/>
      <c r="H1056" s="97"/>
      <c r="I1056" s="97"/>
      <c r="J1056" s="97"/>
      <c r="K1056" s="97"/>
      <c r="L1056" s="97"/>
      <c r="M1056" s="97"/>
      <c r="N1056" s="97"/>
      <c r="O1056" s="97"/>
      <c r="P1056" s="97"/>
      <c r="Q1056" s="97"/>
      <c r="R1056" s="97"/>
      <c r="S1056" s="97"/>
      <c r="T1056" s="97"/>
      <c r="U1056" s="97"/>
      <c r="V1056" s="97"/>
      <c r="W1056" s="97"/>
      <c r="X1056" s="97"/>
      <c r="Y1056" s="97"/>
      <c r="AC1056" s="25"/>
      <c r="AD1056" s="154"/>
      <c r="AE1056" s="155"/>
      <c r="AF1056" s="155"/>
      <c r="AG1056" s="155"/>
      <c r="AH1056" s="155"/>
      <c r="AI1056" s="439"/>
    </row>
    <row r="1057" spans="1:35" ht="15" customHeight="1" x14ac:dyDescent="0.45">
      <c r="A1057" s="440" t="s">
        <v>155</v>
      </c>
      <c r="B1057" s="441"/>
      <c r="C1057" s="442"/>
      <c r="D1057" s="443" t="s">
        <v>409</v>
      </c>
      <c r="E1057" s="444" t="s">
        <v>410</v>
      </c>
      <c r="F1057" s="444"/>
      <c r="G1057" s="444"/>
      <c r="H1057" s="444"/>
      <c r="I1057" s="444"/>
      <c r="J1057" s="444"/>
      <c r="K1057" s="444"/>
      <c r="L1057" s="444"/>
      <c r="M1057" s="444"/>
      <c r="N1057" s="444"/>
      <c r="O1057" s="444"/>
      <c r="P1057" s="444"/>
      <c r="Q1057" s="444"/>
      <c r="R1057" s="444"/>
      <c r="S1057" s="444"/>
      <c r="T1057" s="444"/>
      <c r="U1057" s="444"/>
      <c r="V1057" s="444"/>
      <c r="W1057" s="444"/>
      <c r="X1057" s="444"/>
      <c r="Y1057" s="445" t="str">
        <f>IF(OR(ISBLANK(Inspection_Details_Grade_Crossing_Type),ISBLANK(General_Info_Road_AADT_Forecast),ISBLANK(General_Info_Rail_No_Trains_Per_Day_Total)),"No Value",IF(NOT(Inspection_Details_Grade_Crossing_Type)="Public","N/A",IF(AND(Inspection_Details_Grade_Crossing_Type="Public",General_Info_Road_AADT_Forecast*General_Info_Rail_No_Trains_Per_Day_Total&gt;=2000),"Yes","No")))</f>
        <v>No Value</v>
      </c>
      <c r="Z1057" s="445"/>
      <c r="AA1057" s="445"/>
      <c r="AB1057" s="445"/>
      <c r="AC1057" s="445"/>
      <c r="AD1057" s="214" t="s">
        <v>411</v>
      </c>
      <c r="AE1057" s="215"/>
      <c r="AF1057" s="215"/>
      <c r="AG1057" s="215"/>
      <c r="AH1057" s="215"/>
      <c r="AI1057" s="446"/>
    </row>
    <row r="1058" spans="1:35" ht="15" customHeight="1" x14ac:dyDescent="0.45">
      <c r="A1058" s="447"/>
      <c r="B1058" s="448"/>
      <c r="C1058" s="449"/>
      <c r="D1058" s="398"/>
      <c r="E1058" s="450" t="s">
        <v>74</v>
      </c>
      <c r="F1058" s="450"/>
      <c r="G1058" s="450"/>
      <c r="H1058" s="450"/>
      <c r="I1058" s="51" t="s">
        <v>90</v>
      </c>
      <c r="J1058" s="445" t="str">
        <f>IF(ISBLANK(Inspection_Details_Grade_Crossing_Type),"No Value",IF(Inspection_Details_Grade_Crossing_Type="Public","Public","Private"))</f>
        <v>No Value</v>
      </c>
      <c r="K1058" s="445"/>
      <c r="L1058" s="445"/>
      <c r="M1058" s="450"/>
      <c r="N1058" s="450"/>
      <c r="O1058" s="450"/>
      <c r="P1058" s="450"/>
      <c r="Q1058" s="450"/>
      <c r="R1058" s="450"/>
      <c r="S1058" s="450"/>
      <c r="T1058" s="450"/>
      <c r="U1058" s="450"/>
      <c r="V1058" s="450"/>
      <c r="W1058" s="450"/>
      <c r="X1058" s="450"/>
      <c r="Y1058" s="451"/>
      <c r="Z1058" s="451"/>
      <c r="AA1058" s="451"/>
      <c r="AB1058" s="451"/>
      <c r="AC1058" s="452"/>
      <c r="AD1058" s="147" t="s">
        <v>411</v>
      </c>
      <c r="AE1058" s="148"/>
      <c r="AF1058" s="148"/>
      <c r="AG1058" s="148"/>
      <c r="AH1058" s="148"/>
      <c r="AI1058" s="453"/>
    </row>
    <row r="1059" spans="1:35" ht="15" customHeight="1" x14ac:dyDescent="0.45">
      <c r="A1059" s="447"/>
      <c r="B1059" s="448"/>
      <c r="C1059" s="449"/>
      <c r="D1059" s="28"/>
      <c r="E1059" s="6" t="s">
        <v>412</v>
      </c>
      <c r="I1059" s="51" t="s">
        <v>90</v>
      </c>
      <c r="J1059" s="454" t="str">
        <f>IF(ISBLANK(General_Info_Road_AADT_Current), "No Value", General_Info_Road_AADT_Current)</f>
        <v>No Value</v>
      </c>
      <c r="K1059" s="454"/>
      <c r="L1059" s="454"/>
      <c r="M1059" s="6" t="s">
        <v>118</v>
      </c>
      <c r="AC1059" s="25"/>
      <c r="AD1059" s="152"/>
      <c r="AE1059" s="153"/>
      <c r="AF1059" s="153"/>
      <c r="AG1059" s="153"/>
      <c r="AH1059" s="153"/>
      <c r="AI1059" s="455"/>
    </row>
    <row r="1060" spans="1:35" ht="15" customHeight="1" x14ac:dyDescent="0.45">
      <c r="A1060" s="447"/>
      <c r="B1060" s="448"/>
      <c r="C1060" s="449"/>
      <c r="D1060" s="28"/>
      <c r="E1060" s="6" t="s">
        <v>413</v>
      </c>
      <c r="H1060" s="51"/>
      <c r="I1060" s="51" t="s">
        <v>90</v>
      </c>
      <c r="J1060" s="456" t="str">
        <f>IF(ISBLANK(General_Info_Rail_No_Trains_Per_Day_Total), "No Value", General_Info_Rail_No_Trains_Per_Day_Total)</f>
        <v>No Value</v>
      </c>
      <c r="K1060" s="456"/>
      <c r="L1060" s="456"/>
      <c r="M1060" s="6" t="s">
        <v>414</v>
      </c>
      <c r="U1060" s="51"/>
      <c r="V1060" s="98"/>
      <c r="W1060" s="98"/>
      <c r="X1060" s="98"/>
      <c r="Y1060" s="6"/>
      <c r="AC1060" s="25"/>
      <c r="AD1060" s="152"/>
      <c r="AE1060" s="153"/>
      <c r="AF1060" s="153"/>
      <c r="AG1060" s="153"/>
      <c r="AH1060" s="153"/>
      <c r="AI1060" s="455"/>
    </row>
    <row r="1061" spans="1:35" ht="15" customHeight="1" x14ac:dyDescent="0.45">
      <c r="A1061" s="457"/>
      <c r="B1061" s="458"/>
      <c r="C1061" s="459"/>
      <c r="D1061" s="302"/>
      <c r="E1061" s="6" t="s">
        <v>415</v>
      </c>
      <c r="I1061" s="51" t="s">
        <v>90</v>
      </c>
      <c r="J1061" s="460" t="str">
        <f>IF(OR(ISBLANK(General_Info_Rail_No_Trains_Per_Day_Total),ISBLANK(General_Info_Road_AADT_Forecast)), "No Value", General_Info_Rail_No_Trains_Per_Day_Total*General_Info_Road_AADT_Forecast)</f>
        <v>No Value</v>
      </c>
      <c r="K1061" s="460"/>
      <c r="L1061" s="460"/>
      <c r="M1061" s="6" t="s">
        <v>416</v>
      </c>
      <c r="AC1061" s="25"/>
      <c r="AD1061" s="154"/>
      <c r="AE1061" s="155"/>
      <c r="AF1061" s="155"/>
      <c r="AG1061" s="155"/>
      <c r="AH1061" s="155"/>
      <c r="AI1061" s="439"/>
    </row>
    <row r="1062" spans="1:35" ht="15" customHeight="1" x14ac:dyDescent="0.45">
      <c r="A1062" s="441" t="s">
        <v>155</v>
      </c>
      <c r="B1062" s="441"/>
      <c r="C1062" s="442"/>
      <c r="D1062" s="50" t="s">
        <v>417</v>
      </c>
      <c r="E1062" s="90" t="s">
        <v>418</v>
      </c>
      <c r="F1062" s="18"/>
      <c r="G1062" s="18"/>
      <c r="H1062" s="18"/>
      <c r="I1062" s="88"/>
      <c r="J1062" s="461"/>
      <c r="K1062" s="461"/>
      <c r="L1062" s="461"/>
      <c r="M1062" s="90"/>
      <c r="N1062" s="18"/>
      <c r="O1062" s="18"/>
      <c r="P1062" s="18"/>
      <c r="Q1062" s="18"/>
      <c r="R1062" s="18"/>
      <c r="S1062" s="18"/>
      <c r="T1062" s="18"/>
      <c r="U1062" s="18"/>
      <c r="V1062" s="18"/>
      <c r="W1062" s="18"/>
      <c r="X1062" s="18"/>
      <c r="Y1062" s="462" t="str">
        <f>IF(OR(ISBLANK(Inspection_Details_Grade_Crossing_Type),ISBLANK(General_Info_Road_Sidewalks),ISBLANK(General_Info_Rail_Railway_Design_Speed)),"No Value",IF(NOT(Inspection_Details_Grade_Crossing_Type="Public"),"N/A",IF(AND(Inspection_Details_Grade_Crossing_Type="Public",General_Info_Road_Sidewalks="No",General_Info_Rail_Railway_Design_Speed&gt;80),"Yes","No")))</f>
        <v>No Value</v>
      </c>
      <c r="Z1062" s="53"/>
      <c r="AA1062" s="53"/>
      <c r="AB1062" s="53"/>
      <c r="AC1062" s="463"/>
      <c r="AD1062" s="147" t="s">
        <v>419</v>
      </c>
      <c r="AE1062" s="148"/>
      <c r="AF1062" s="148"/>
      <c r="AG1062" s="148"/>
      <c r="AH1062" s="148"/>
      <c r="AI1062" s="453"/>
    </row>
    <row r="1063" spans="1:35" ht="15" customHeight="1" x14ac:dyDescent="0.45">
      <c r="A1063" s="448"/>
      <c r="B1063" s="448"/>
      <c r="C1063" s="449"/>
      <c r="D1063" s="28"/>
      <c r="E1063" s="450" t="s">
        <v>74</v>
      </c>
      <c r="F1063" s="450"/>
      <c r="G1063" s="450"/>
      <c r="H1063" s="450"/>
      <c r="K1063" s="51" t="s">
        <v>90</v>
      </c>
      <c r="L1063" s="464" t="str">
        <f>IF(ISBLANK(Inspection_Details_Grade_Crossing_Type),"No Value",IF(Inspection_Details_Grade_Crossing_Type="Public","Public","Private"))</f>
        <v>No Value</v>
      </c>
      <c r="M1063" s="364"/>
      <c r="N1063" s="365"/>
      <c r="Y1063" s="231"/>
      <c r="AC1063" s="25"/>
      <c r="AD1063" s="152"/>
      <c r="AE1063" s="153"/>
      <c r="AF1063" s="153"/>
      <c r="AG1063" s="153"/>
      <c r="AH1063" s="153"/>
      <c r="AI1063" s="455"/>
    </row>
    <row r="1064" spans="1:35" ht="15" customHeight="1" x14ac:dyDescent="0.45">
      <c r="A1064" s="448"/>
      <c r="B1064" s="448"/>
      <c r="C1064" s="449"/>
      <c r="D1064" s="28"/>
      <c r="E1064" s="6" t="s">
        <v>420</v>
      </c>
      <c r="K1064" s="51" t="s">
        <v>90</v>
      </c>
      <c r="L1064" s="465" t="str">
        <f>IF(ISBLANK(General_Info_Road_Sidewalks),"No Value",IF(General_Info_Road_Sidewalks="Yes","Yes","No"))</f>
        <v>No Value</v>
      </c>
      <c r="M1064" s="162"/>
      <c r="N1064" s="163"/>
      <c r="O1064" s="40"/>
      <c r="P1064" s="40"/>
      <c r="Y1064" s="231"/>
      <c r="AC1064" s="25"/>
      <c r="AD1064" s="152"/>
      <c r="AE1064" s="153"/>
      <c r="AF1064" s="153"/>
      <c r="AG1064" s="153"/>
      <c r="AH1064" s="153"/>
      <c r="AI1064" s="455"/>
    </row>
    <row r="1065" spans="1:35" ht="15" customHeight="1" x14ac:dyDescent="0.45">
      <c r="A1065" s="458"/>
      <c r="B1065" s="458"/>
      <c r="C1065" s="459"/>
      <c r="D1065" s="28"/>
      <c r="E1065" s="6" t="s">
        <v>421</v>
      </c>
      <c r="K1065" s="51" t="s">
        <v>90</v>
      </c>
      <c r="L1065" s="466" t="str">
        <f>IF(ISBLANK(General_Info_Rail_Railway_Design_Speed),"No Value",General_Info_Rail_Railway_Design_Speed)</f>
        <v>No Value</v>
      </c>
      <c r="M1065" s="112"/>
      <c r="N1065" s="375"/>
      <c r="O1065" s="6" t="s">
        <v>103</v>
      </c>
      <c r="AC1065" s="25"/>
      <c r="AD1065" s="154"/>
      <c r="AE1065" s="155"/>
      <c r="AF1065" s="155"/>
      <c r="AG1065" s="155"/>
      <c r="AH1065" s="155"/>
      <c r="AI1065" s="439"/>
    </row>
    <row r="1066" spans="1:35" ht="15" customHeight="1" x14ac:dyDescent="0.45">
      <c r="A1066" s="440" t="s">
        <v>155</v>
      </c>
      <c r="B1066" s="441"/>
      <c r="C1066" s="441"/>
      <c r="D1066" s="50" t="s">
        <v>422</v>
      </c>
      <c r="E1066" s="284" t="s">
        <v>423</v>
      </c>
      <c r="F1066" s="284"/>
      <c r="G1066" s="284"/>
      <c r="H1066" s="284"/>
      <c r="I1066" s="284"/>
      <c r="J1066" s="284"/>
      <c r="K1066" s="284"/>
      <c r="L1066" s="284"/>
      <c r="M1066" s="284"/>
      <c r="N1066" s="284"/>
      <c r="O1066" s="284"/>
      <c r="P1066" s="284"/>
      <c r="Q1066" s="284"/>
      <c r="R1066" s="284"/>
      <c r="S1066" s="284"/>
      <c r="T1066" s="284"/>
      <c r="U1066" s="284"/>
      <c r="V1066" s="284"/>
      <c r="W1066" s="284"/>
      <c r="X1066" s="338"/>
      <c r="Y1066" s="464" t="str">
        <f>IF(OR(ISBLANK(Inspection_Details_Grade_Crossing_Type),ISBLANK(General_Info_Road_Sidewalks),ISBLANK(General_Info_Rail_Railway_Design_Speed)),"No Value",IF(NOT(Inspection_Details_Grade_Crossing_Type="Public"),"N/A",IF(AND(Inspection_Details_Grade_Crossing_Type="Public",General_Info_Road_Sidewalks="Yes",General_Info_Rail_Railway_Design_Speed&gt;50),"Yes","No")))</f>
        <v>No Value</v>
      </c>
      <c r="Z1066" s="364"/>
      <c r="AA1066" s="364"/>
      <c r="AB1066" s="364"/>
      <c r="AC1066" s="365"/>
      <c r="AD1066" s="147" t="s">
        <v>424</v>
      </c>
      <c r="AE1066" s="148"/>
      <c r="AF1066" s="148"/>
      <c r="AG1066" s="148"/>
      <c r="AH1066" s="148"/>
      <c r="AI1066" s="453"/>
    </row>
    <row r="1067" spans="1:35" ht="15" customHeight="1" x14ac:dyDescent="0.45">
      <c r="A1067" s="447"/>
      <c r="B1067" s="448"/>
      <c r="C1067" s="448"/>
      <c r="D1067" s="28"/>
      <c r="E1067" s="97" t="s">
        <v>74</v>
      </c>
      <c r="F1067" s="97"/>
      <c r="G1067" s="97"/>
      <c r="H1067" s="97"/>
      <c r="I1067" s="97"/>
      <c r="J1067" s="97"/>
      <c r="K1067" s="51" t="s">
        <v>90</v>
      </c>
      <c r="L1067" s="464" t="str">
        <f>IF(ISBLANK(Inspection_Details_Grade_Crossing_Type),"No Value",IF(Inspection_Details_Grade_Crossing_Type="Public","Public","Private"))</f>
        <v>No Value</v>
      </c>
      <c r="M1067" s="364"/>
      <c r="N1067" s="365"/>
      <c r="P1067" s="467"/>
      <c r="Q1067" s="467"/>
      <c r="R1067" s="467"/>
      <c r="S1067" s="467"/>
      <c r="T1067" s="467"/>
      <c r="U1067" s="467"/>
      <c r="V1067" s="467"/>
      <c r="Y1067" s="451"/>
      <c r="Z1067" s="451"/>
      <c r="AA1067" s="451"/>
      <c r="AB1067" s="451"/>
      <c r="AC1067" s="452"/>
      <c r="AD1067" s="152"/>
      <c r="AE1067" s="153"/>
      <c r="AF1067" s="153"/>
      <c r="AG1067" s="153"/>
      <c r="AH1067" s="153"/>
      <c r="AI1067" s="455"/>
    </row>
    <row r="1068" spans="1:35" ht="15" customHeight="1" x14ac:dyDescent="0.45">
      <c r="A1068" s="447"/>
      <c r="B1068" s="448"/>
      <c r="C1068" s="448"/>
      <c r="D1068" s="28"/>
      <c r="E1068" s="97" t="s">
        <v>420</v>
      </c>
      <c r="F1068" s="97"/>
      <c r="G1068" s="97"/>
      <c r="H1068" s="97"/>
      <c r="I1068" s="97"/>
      <c r="J1068" s="97"/>
      <c r="K1068" s="51" t="s">
        <v>90</v>
      </c>
      <c r="L1068" s="465" t="str">
        <f>IF(ISBLANK(General_Info_Road_Sidewalks),"No Value",IF(General_Info_Road_Sidewalks="Yes","Yes","No"))</f>
        <v>No Value</v>
      </c>
      <c r="M1068" s="162"/>
      <c r="N1068" s="163"/>
      <c r="O1068" s="40"/>
      <c r="AC1068" s="25"/>
      <c r="AD1068" s="152"/>
      <c r="AE1068" s="153"/>
      <c r="AF1068" s="153"/>
      <c r="AG1068" s="153"/>
      <c r="AH1068" s="153"/>
      <c r="AI1068" s="455"/>
    </row>
    <row r="1069" spans="1:35" ht="15" customHeight="1" x14ac:dyDescent="0.45">
      <c r="A1069" s="457"/>
      <c r="B1069" s="458"/>
      <c r="C1069" s="458"/>
      <c r="D1069" s="468"/>
      <c r="E1069" s="111" t="s">
        <v>421</v>
      </c>
      <c r="F1069" s="111"/>
      <c r="G1069" s="111"/>
      <c r="H1069" s="111"/>
      <c r="I1069" s="111"/>
      <c r="J1069" s="111"/>
      <c r="K1069" s="136" t="s">
        <v>90</v>
      </c>
      <c r="L1069" s="466" t="str">
        <f>IF(ISBLANK(General_Info_Rail_Railway_Design_Speed),"No Value",General_Info_Rail_Railway_Design_Speed)</f>
        <v>No Value</v>
      </c>
      <c r="M1069" s="112"/>
      <c r="N1069" s="375"/>
      <c r="O1069" s="142" t="s">
        <v>103</v>
      </c>
      <c r="P1069" s="110"/>
      <c r="Q1069" s="110"/>
      <c r="R1069" s="110"/>
      <c r="S1069" s="110"/>
      <c r="T1069" s="110"/>
      <c r="U1069" s="110"/>
      <c r="V1069" s="110"/>
      <c r="W1069" s="110"/>
      <c r="X1069" s="110"/>
      <c r="Y1069" s="110"/>
      <c r="Z1069" s="110"/>
      <c r="AA1069" s="110"/>
      <c r="AB1069" s="110"/>
      <c r="AC1069" s="113"/>
      <c r="AD1069" s="154"/>
      <c r="AE1069" s="155"/>
      <c r="AF1069" s="155"/>
      <c r="AG1069" s="155"/>
      <c r="AH1069" s="155"/>
      <c r="AI1069" s="439"/>
    </row>
    <row r="1070" spans="1:35" ht="15" customHeight="1" x14ac:dyDescent="0.45">
      <c r="A1070" s="469"/>
      <c r="B1070" s="470"/>
      <c r="C1070" s="470"/>
      <c r="D1070" s="28" t="s">
        <v>425</v>
      </c>
      <c r="E1070" s="117" t="s">
        <v>426</v>
      </c>
      <c r="F1070" s="117"/>
      <c r="G1070" s="117"/>
      <c r="H1070" s="117"/>
      <c r="I1070" s="117"/>
      <c r="J1070" s="117"/>
      <c r="K1070" s="117"/>
      <c r="L1070" s="117"/>
      <c r="M1070" s="117"/>
      <c r="N1070" s="117"/>
      <c r="O1070" s="117"/>
      <c r="P1070" s="117"/>
      <c r="Q1070" s="117"/>
      <c r="R1070" s="117"/>
      <c r="S1070" s="117"/>
      <c r="T1070" s="117"/>
      <c r="U1070" s="117"/>
      <c r="V1070" s="117"/>
      <c r="W1070" s="117"/>
      <c r="X1070" s="117"/>
      <c r="Y1070" s="117"/>
      <c r="Z1070" s="117"/>
      <c r="AA1070" s="117"/>
      <c r="AB1070" s="117"/>
      <c r="AC1070" s="203"/>
      <c r="AD1070" s="147" t="s">
        <v>427</v>
      </c>
      <c r="AE1070" s="148"/>
      <c r="AF1070" s="148"/>
      <c r="AG1070" s="148"/>
      <c r="AH1070" s="148"/>
      <c r="AI1070" s="453"/>
    </row>
    <row r="1071" spans="1:35" ht="15" customHeight="1" x14ac:dyDescent="0.45">
      <c r="A1071" s="471" t="s">
        <v>155</v>
      </c>
      <c r="B1071" s="441"/>
      <c r="C1071" s="442"/>
      <c r="D1071" s="50" t="s">
        <v>428</v>
      </c>
      <c r="E1071" s="87" t="s">
        <v>429</v>
      </c>
      <c r="F1071" s="87"/>
      <c r="G1071" s="87"/>
      <c r="H1071" s="87"/>
      <c r="I1071" s="87"/>
      <c r="J1071" s="87"/>
      <c r="K1071" s="87"/>
      <c r="L1071" s="87"/>
      <c r="M1071" s="87"/>
      <c r="N1071" s="87"/>
      <c r="O1071" s="87"/>
      <c r="P1071" s="87"/>
      <c r="Q1071" s="87"/>
      <c r="R1071" s="87"/>
      <c r="S1071" s="87"/>
      <c r="T1071" s="87"/>
      <c r="U1071" s="87"/>
      <c r="V1071" s="87"/>
      <c r="W1071" s="87"/>
      <c r="X1071" s="268"/>
      <c r="Y1071" s="445" t="str">
        <f>IF(OR(ISBLANK(Inspection_Details_Grade_Crossing_Type),ISBLANK(General_Info_Rail_Railway_Design_Speed),ISBLANK(General_Info_Rail_No_Tracks_Total)),"No Value",IF(NOT(Inspection_Details_Grade_Crossing_Type="Public"),"N/A",IF(AND(Inspection_Details_Grade_Crossing_Type="Public",General_Info_Rail_Railway_Design_Speed&gt;15,General_Info_Rail_No_Tracks_Total&gt;=2),"Yes","No")))</f>
        <v>No Value</v>
      </c>
      <c r="Z1071" s="445"/>
      <c r="AA1071" s="445"/>
      <c r="AB1071" s="445"/>
      <c r="AC1071" s="445"/>
      <c r="AD1071" s="152"/>
      <c r="AE1071" s="153"/>
      <c r="AF1071" s="153"/>
      <c r="AG1071" s="153"/>
      <c r="AH1071" s="153"/>
      <c r="AI1071" s="455"/>
    </row>
    <row r="1072" spans="1:35" ht="15" customHeight="1" x14ac:dyDescent="0.45">
      <c r="A1072" s="472"/>
      <c r="B1072" s="448"/>
      <c r="C1072" s="449"/>
      <c r="D1072" s="28"/>
      <c r="E1072" s="97" t="s">
        <v>74</v>
      </c>
      <c r="F1072" s="97"/>
      <c r="G1072" s="97"/>
      <c r="H1072" s="97"/>
      <c r="I1072" s="97"/>
      <c r="J1072" s="97"/>
      <c r="K1072" s="97"/>
      <c r="L1072" s="97"/>
      <c r="M1072" s="97"/>
      <c r="N1072" s="97"/>
      <c r="O1072" s="97"/>
      <c r="P1072" s="51" t="s">
        <v>90</v>
      </c>
      <c r="Q1072" s="462" t="str">
        <f>IF(ISBLANK(Inspection_Details_Grade_Crossing_Type),"No Value",IF(Inspection_Details_Grade_Crossing_Type="Public","Public","Private"))</f>
        <v>No Value</v>
      </c>
      <c r="R1072" s="53"/>
      <c r="S1072" s="463"/>
      <c r="Y1072" s="451"/>
      <c r="Z1072" s="451"/>
      <c r="AA1072" s="451"/>
      <c r="AB1072" s="451"/>
      <c r="AC1072" s="452"/>
      <c r="AD1072" s="152"/>
      <c r="AE1072" s="153"/>
      <c r="AF1072" s="153"/>
      <c r="AG1072" s="153"/>
      <c r="AH1072" s="153"/>
      <c r="AI1072" s="455"/>
    </row>
    <row r="1073" spans="1:35" ht="15" customHeight="1" x14ac:dyDescent="0.45">
      <c r="A1073" s="472"/>
      <c r="B1073" s="448"/>
      <c r="C1073" s="449"/>
      <c r="D1073" s="28"/>
      <c r="E1073" s="97" t="s">
        <v>430</v>
      </c>
      <c r="F1073" s="97"/>
      <c r="G1073" s="97"/>
      <c r="H1073" s="97"/>
      <c r="I1073" s="97"/>
      <c r="J1073" s="97"/>
      <c r="K1073" s="97"/>
      <c r="L1073" s="97"/>
      <c r="M1073" s="97"/>
      <c r="N1073" s="97"/>
      <c r="O1073" s="97"/>
      <c r="P1073" s="51" t="s">
        <v>90</v>
      </c>
      <c r="Q1073" s="462" t="str">
        <f>IF(ISBLANK(General_Info_Rail_Railway_Design_Speed),"No Value",IF(General_Info_Rail_Railway_Design_Speed&gt;15,"Yes","No"))</f>
        <v>No Value</v>
      </c>
      <c r="R1073" s="53"/>
      <c r="S1073" s="53"/>
      <c r="T1073" s="53"/>
      <c r="U1073" s="463"/>
      <c r="AC1073" s="25"/>
      <c r="AD1073" s="152"/>
      <c r="AE1073" s="153"/>
      <c r="AF1073" s="153"/>
      <c r="AG1073" s="153"/>
      <c r="AH1073" s="153"/>
      <c r="AI1073" s="455"/>
    </row>
    <row r="1074" spans="1:35" ht="15" customHeight="1" x14ac:dyDescent="0.45">
      <c r="A1074" s="473"/>
      <c r="B1074" s="458"/>
      <c r="C1074" s="459"/>
      <c r="D1074" s="468"/>
      <c r="E1074" s="111" t="s">
        <v>431</v>
      </c>
      <c r="F1074" s="111"/>
      <c r="G1074" s="111"/>
      <c r="H1074" s="111"/>
      <c r="I1074" s="111"/>
      <c r="J1074" s="111"/>
      <c r="K1074" s="111"/>
      <c r="L1074" s="111"/>
      <c r="M1074" s="111"/>
      <c r="N1074" s="111"/>
      <c r="O1074" s="111"/>
      <c r="P1074" s="136" t="s">
        <v>90</v>
      </c>
      <c r="Q1074" s="462" t="str">
        <f>IF(ISBLANK(General_Info_Rail_No_Tracks_Total),"No Value",IF(General_Info_Rail_No_Tracks_Total&gt;=2,"Yes","No"))</f>
        <v>No Value</v>
      </c>
      <c r="R1074" s="53"/>
      <c r="S1074" s="53"/>
      <c r="T1074" s="53"/>
      <c r="U1074" s="463"/>
      <c r="V1074" s="110"/>
      <c r="W1074" s="110"/>
      <c r="X1074" s="110"/>
      <c r="Y1074" s="110"/>
      <c r="Z1074" s="110"/>
      <c r="AA1074" s="110"/>
      <c r="AB1074" s="110"/>
      <c r="AC1074" s="113"/>
      <c r="AD1074" s="154"/>
      <c r="AE1074" s="155"/>
      <c r="AF1074" s="155"/>
      <c r="AG1074" s="155"/>
      <c r="AH1074" s="155"/>
      <c r="AI1074" s="439"/>
    </row>
    <row r="1075" spans="1:35" ht="15" customHeight="1" x14ac:dyDescent="0.45">
      <c r="A1075" s="471" t="s">
        <v>155</v>
      </c>
      <c r="B1075" s="441"/>
      <c r="C1075" s="442"/>
      <c r="D1075" s="50" t="s">
        <v>432</v>
      </c>
      <c r="E1075" s="284" t="s">
        <v>433</v>
      </c>
      <c r="F1075" s="284"/>
      <c r="G1075" s="284"/>
      <c r="H1075" s="284"/>
      <c r="I1075" s="284"/>
      <c r="J1075" s="284"/>
      <c r="K1075" s="284"/>
      <c r="L1075" s="284"/>
      <c r="M1075" s="284"/>
      <c r="N1075" s="284"/>
      <c r="O1075" s="284"/>
      <c r="P1075" s="284"/>
      <c r="Q1075" s="284"/>
      <c r="R1075" s="284"/>
      <c r="S1075" s="284"/>
      <c r="T1075" s="284"/>
      <c r="U1075" s="284"/>
      <c r="V1075" s="284"/>
      <c r="W1075" s="284"/>
      <c r="X1075" s="284"/>
      <c r="Y1075" s="464" t="str">
        <f>IF(OR(ISBLANK(Inspection_Details_Grade_Crossing_Type),ISBLANK(General_Info_Rail_Railway_Design_Speed),ISBLANK(Location_of_Grade_Crossing_Nearest_Intersection_Stop_N_or_E_Approach),ISBLANK(Location_of_Grade_Crossing_Nearest_Intersection_Stop_S_of_W_Approach)),"No Value",IF(NOT(Inspection_Details_Grade_Crossing_Type="Public"),"N/A",IF(AND(Inspection_Details_Grade_Crossing_Type="Public",General_Info_Rail_Railway_Design_Speed&gt;15,OR(Location_of_Grade_Crossing_Nearest_Intersection_Stop_N_or_E_Approach&lt;30,Location_of_Grade_Crossing_Nearest_Intersection_Stop_S_of_W_Approach&lt;30)),"Yes","No")))</f>
        <v>No Value</v>
      </c>
      <c r="Z1075" s="364"/>
      <c r="AA1075" s="364"/>
      <c r="AB1075" s="364"/>
      <c r="AC1075" s="365"/>
      <c r="AD1075" s="148" t="s">
        <v>434</v>
      </c>
      <c r="AE1075" s="148"/>
      <c r="AF1075" s="148"/>
      <c r="AG1075" s="148"/>
      <c r="AH1075" s="148"/>
      <c r="AI1075" s="453"/>
    </row>
    <row r="1076" spans="1:35" ht="15" customHeight="1" x14ac:dyDescent="0.45">
      <c r="A1076" s="472"/>
      <c r="B1076" s="448"/>
      <c r="C1076" s="449"/>
      <c r="D1076" s="28"/>
      <c r="E1076" s="175"/>
      <c r="F1076" s="175"/>
      <c r="G1076" s="175"/>
      <c r="H1076" s="175"/>
      <c r="I1076" s="175"/>
      <c r="J1076" s="175"/>
      <c r="K1076" s="175"/>
      <c r="L1076" s="175"/>
      <c r="M1076" s="175"/>
      <c r="N1076" s="175"/>
      <c r="O1076" s="175"/>
      <c r="P1076" s="175"/>
      <c r="Q1076" s="175"/>
      <c r="R1076" s="175"/>
      <c r="S1076" s="175"/>
      <c r="T1076" s="175"/>
      <c r="U1076" s="175"/>
      <c r="V1076" s="175"/>
      <c r="W1076" s="175"/>
      <c r="X1076" s="175"/>
      <c r="Y1076" s="466"/>
      <c r="Z1076" s="112"/>
      <c r="AA1076" s="112"/>
      <c r="AB1076" s="112"/>
      <c r="AC1076" s="375"/>
      <c r="AD1076" s="153"/>
      <c r="AE1076" s="153"/>
      <c r="AF1076" s="153"/>
      <c r="AG1076" s="153"/>
      <c r="AH1076" s="153"/>
      <c r="AI1076" s="455"/>
    </row>
    <row r="1077" spans="1:35" ht="15" customHeight="1" x14ac:dyDescent="0.45">
      <c r="A1077" s="472"/>
      <c r="B1077" s="448"/>
      <c r="C1077" s="449"/>
      <c r="D1077" s="28"/>
      <c r="E1077" s="97" t="s">
        <v>74</v>
      </c>
      <c r="F1077" s="97"/>
      <c r="G1077" s="97"/>
      <c r="H1077" s="97"/>
      <c r="I1077" s="97"/>
      <c r="J1077" s="97"/>
      <c r="K1077" s="97"/>
      <c r="L1077" s="97"/>
      <c r="M1077" s="97"/>
      <c r="N1077" s="97"/>
      <c r="O1077" s="97"/>
      <c r="P1077" s="51" t="s">
        <v>90</v>
      </c>
      <c r="Q1077" s="462" t="str">
        <f>IF(ISBLANK(Inspection_Details_Grade_Crossing_Type),"No Value",IF(Inspection_Details_Grade_Crossing_Type="Public","Public","Private"))</f>
        <v>No Value</v>
      </c>
      <c r="R1077" s="53"/>
      <c r="S1077" s="463"/>
      <c r="T1077" s="474"/>
      <c r="U1077" s="474"/>
      <c r="V1077" s="474"/>
      <c r="W1077" s="474"/>
      <c r="X1077" s="474"/>
      <c r="Y1077" s="451"/>
      <c r="Z1077" s="451"/>
      <c r="AA1077" s="451"/>
      <c r="AB1077" s="451"/>
      <c r="AC1077" s="452"/>
      <c r="AD1077" s="153"/>
      <c r="AE1077" s="153"/>
      <c r="AF1077" s="153"/>
      <c r="AG1077" s="153"/>
      <c r="AH1077" s="153"/>
      <c r="AI1077" s="455"/>
    </row>
    <row r="1078" spans="1:35" ht="15" customHeight="1" x14ac:dyDescent="0.45">
      <c r="A1078" s="472"/>
      <c r="B1078" s="448"/>
      <c r="C1078" s="449"/>
      <c r="D1078" s="24"/>
      <c r="E1078" s="97" t="s">
        <v>430</v>
      </c>
      <c r="F1078" s="97"/>
      <c r="G1078" s="97"/>
      <c r="H1078" s="97"/>
      <c r="I1078" s="97"/>
      <c r="J1078" s="97"/>
      <c r="K1078" s="97"/>
      <c r="L1078" s="97"/>
      <c r="M1078" s="97"/>
      <c r="N1078" s="97"/>
      <c r="O1078" s="97"/>
      <c r="P1078" s="51" t="s">
        <v>90</v>
      </c>
      <c r="Q1078" s="462" t="str">
        <f>IF(ISBLANK(General_Info_Rail_Railway_Design_Speed),"No Value",IF(General_Info_Rail_Railway_Design_Speed&gt;15,"Yes","No"))</f>
        <v>No Value</v>
      </c>
      <c r="R1078" s="53"/>
      <c r="S1078" s="53"/>
      <c r="T1078" s="53"/>
      <c r="U1078" s="463"/>
      <c r="AC1078" s="25"/>
      <c r="AD1078" s="153"/>
      <c r="AE1078" s="153"/>
      <c r="AF1078" s="153"/>
      <c r="AG1078" s="153"/>
      <c r="AH1078" s="153"/>
      <c r="AI1078" s="455"/>
    </row>
    <row r="1079" spans="1:35" ht="15" customHeight="1" x14ac:dyDescent="0.45">
      <c r="A1079" s="473"/>
      <c r="B1079" s="458"/>
      <c r="C1079" s="459"/>
      <c r="D1079" s="109"/>
      <c r="E1079" s="111" t="s">
        <v>435</v>
      </c>
      <c r="F1079" s="111"/>
      <c r="G1079" s="111"/>
      <c r="H1079" s="111"/>
      <c r="I1079" s="111"/>
      <c r="J1079" s="111"/>
      <c r="K1079" s="111"/>
      <c r="L1079" s="111"/>
      <c r="M1079" s="111"/>
      <c r="N1079" s="111"/>
      <c r="O1079" s="111"/>
      <c r="P1079" s="136" t="s">
        <v>90</v>
      </c>
      <c r="Q1079" s="462" t="str">
        <f>IF(OR(ISBLANK(Location_of_Grade_Crossing_Nearest_Intersection_Stop_N_or_E_Approach),ISBLANK(Location_of_Grade_Crossing_Nearest_Intersection_Stop_S_of_W_Approach)),"No Value",IF(OR(AND(Location_of_Grade_Crossing_Nearest_Intersection_Stop_N_or_E_Approach&gt;0,Location_of_Grade_Crossing_Nearest_Intersection_Stop_N_or_E_Approach&lt;30),AND(Location_of_Grade_Crossing_Nearest_Intersection_Stop_S_of_W_Approach&gt;0,Location_of_Grade_Crossing_Nearest_Intersection_Stop_S_of_W_Approach&lt;30)),"Yes","No"))</f>
        <v>No Value</v>
      </c>
      <c r="R1079" s="53"/>
      <c r="S1079" s="53"/>
      <c r="T1079" s="53"/>
      <c r="U1079" s="463"/>
      <c r="V1079" s="110"/>
      <c r="W1079" s="110"/>
      <c r="X1079" s="110"/>
      <c r="Y1079" s="110"/>
      <c r="Z1079" s="110"/>
      <c r="AA1079" s="110"/>
      <c r="AB1079" s="110"/>
      <c r="AC1079" s="113"/>
      <c r="AD1079" s="155"/>
      <c r="AE1079" s="155"/>
      <c r="AF1079" s="155"/>
      <c r="AG1079" s="155"/>
      <c r="AH1079" s="155"/>
      <c r="AI1079" s="439"/>
    </row>
    <row r="1080" spans="1:35" ht="15" customHeight="1" x14ac:dyDescent="0.45">
      <c r="A1080" s="441" t="s">
        <v>155</v>
      </c>
      <c r="B1080" s="441"/>
      <c r="C1080" s="441"/>
      <c r="D1080" s="50" t="s">
        <v>436</v>
      </c>
      <c r="E1080" s="284" t="s">
        <v>437</v>
      </c>
      <c r="F1080" s="284"/>
      <c r="G1080" s="284"/>
      <c r="H1080" s="284"/>
      <c r="I1080" s="284"/>
      <c r="J1080" s="284"/>
      <c r="K1080" s="284"/>
      <c r="L1080" s="284"/>
      <c r="M1080" s="284"/>
      <c r="N1080" s="284"/>
      <c r="O1080" s="284"/>
      <c r="P1080" s="284"/>
      <c r="Q1080" s="284"/>
      <c r="R1080" s="284"/>
      <c r="S1080" s="284"/>
      <c r="T1080" s="284"/>
      <c r="U1080" s="284"/>
      <c r="V1080" s="284"/>
      <c r="W1080" s="284"/>
      <c r="X1080" s="284"/>
      <c r="Y1080" s="464" t="str">
        <f>IF(OR(ISBLANK(Inspection_Details_Grade_Crossing_Type),ISBLANK(General_Info_Rail_Railway_Design_Speed),ISBLANK(Location_of_Grade_Crossing_Nearest_Intersection_Stop_N_or_E_Approach),ISBLANK(Location_of_Grade_Crossing_Nearest_Intersection_Signalized_S_of_W_Approach)),"No Value",IF(NOT(Inspection_Details_Grade_Crossing_Type="Public"),"N/A",IF(AND(Inspection_Details_Grade_Crossing_Type="Public",General_Info_Rail_Railway_Design_Speed&gt;15,OR(Location_of_Grade_Crossing_Nearest_Intersection_Stop_N_or_E_Approach&lt;30,Location_of_Grade_Crossing_Nearest_Intersection_Signalized_S_of_W_Approach&lt;30)),"Yes","No")))</f>
        <v>No Value</v>
      </c>
      <c r="Z1080" s="364"/>
      <c r="AA1080" s="364"/>
      <c r="AB1080" s="364"/>
      <c r="AC1080" s="365"/>
      <c r="AD1080" s="147" t="s">
        <v>438</v>
      </c>
      <c r="AE1080" s="148"/>
      <c r="AF1080" s="148"/>
      <c r="AG1080" s="148"/>
      <c r="AH1080" s="148"/>
      <c r="AI1080" s="201"/>
    </row>
    <row r="1081" spans="1:35" ht="15" customHeight="1" x14ac:dyDescent="0.45">
      <c r="A1081" s="448"/>
      <c r="B1081" s="448"/>
      <c r="C1081" s="448"/>
      <c r="D1081" s="28"/>
      <c r="E1081" s="175"/>
      <c r="F1081" s="175"/>
      <c r="G1081" s="175"/>
      <c r="H1081" s="175"/>
      <c r="I1081" s="175"/>
      <c r="J1081" s="175"/>
      <c r="K1081" s="175"/>
      <c r="L1081" s="175"/>
      <c r="M1081" s="175"/>
      <c r="N1081" s="175"/>
      <c r="O1081" s="175"/>
      <c r="P1081" s="175"/>
      <c r="Q1081" s="175"/>
      <c r="R1081" s="175"/>
      <c r="S1081" s="175"/>
      <c r="T1081" s="175"/>
      <c r="U1081" s="175"/>
      <c r="V1081" s="175"/>
      <c r="W1081" s="175"/>
      <c r="X1081" s="175"/>
      <c r="Y1081" s="465"/>
      <c r="Z1081" s="162"/>
      <c r="AA1081" s="162"/>
      <c r="AB1081" s="162"/>
      <c r="AC1081" s="163"/>
      <c r="AD1081" s="152"/>
      <c r="AE1081" s="153"/>
      <c r="AF1081" s="153"/>
      <c r="AG1081" s="153"/>
      <c r="AH1081" s="153"/>
      <c r="AI1081" s="275"/>
    </row>
    <row r="1082" spans="1:35" ht="15" customHeight="1" x14ac:dyDescent="0.45">
      <c r="A1082" s="448"/>
      <c r="B1082" s="448"/>
      <c r="C1082" s="448"/>
      <c r="D1082" s="28"/>
      <c r="E1082" s="175"/>
      <c r="F1082" s="175"/>
      <c r="G1082" s="175"/>
      <c r="H1082" s="175"/>
      <c r="I1082" s="175"/>
      <c r="J1082" s="175"/>
      <c r="K1082" s="175"/>
      <c r="L1082" s="175"/>
      <c r="M1082" s="175"/>
      <c r="N1082" s="175"/>
      <c r="O1082" s="175"/>
      <c r="P1082" s="175"/>
      <c r="Q1082" s="175"/>
      <c r="R1082" s="175"/>
      <c r="S1082" s="175"/>
      <c r="T1082" s="175"/>
      <c r="U1082" s="175"/>
      <c r="V1082" s="175"/>
      <c r="W1082" s="175"/>
      <c r="X1082" s="175"/>
      <c r="Y1082" s="466"/>
      <c r="Z1082" s="112"/>
      <c r="AA1082" s="112"/>
      <c r="AB1082" s="112"/>
      <c r="AC1082" s="375"/>
      <c r="AD1082" s="152"/>
      <c r="AE1082" s="153"/>
      <c r="AF1082" s="153"/>
      <c r="AG1082" s="153"/>
      <c r="AH1082" s="153"/>
      <c r="AI1082" s="275"/>
    </row>
    <row r="1083" spans="1:35" ht="15" customHeight="1" x14ac:dyDescent="0.45">
      <c r="A1083" s="448"/>
      <c r="B1083" s="448"/>
      <c r="C1083" s="448"/>
      <c r="D1083" s="28"/>
      <c r="E1083" s="97" t="s">
        <v>74</v>
      </c>
      <c r="F1083" s="97"/>
      <c r="G1083" s="97"/>
      <c r="H1083" s="97"/>
      <c r="I1083" s="97"/>
      <c r="J1083" s="97"/>
      <c r="K1083" s="97"/>
      <c r="L1083" s="97"/>
      <c r="M1083" s="97"/>
      <c r="N1083" s="97"/>
      <c r="O1083" s="97"/>
      <c r="P1083" s="51" t="s">
        <v>90</v>
      </c>
      <c r="Q1083" s="462" t="str">
        <f>IF(ISBLANK(Inspection_Details_Grade_Crossing_Type),"No Value",IF(Inspection_Details_Grade_Crossing_Type="Public","Public","Private"))</f>
        <v>No Value</v>
      </c>
      <c r="R1083" s="53"/>
      <c r="S1083" s="463"/>
      <c r="T1083" s="474"/>
      <c r="U1083" s="474"/>
      <c r="V1083" s="474"/>
      <c r="W1083" s="474"/>
      <c r="X1083" s="474"/>
      <c r="Y1083" s="451"/>
      <c r="Z1083" s="451"/>
      <c r="AA1083" s="451"/>
      <c r="AB1083" s="451"/>
      <c r="AC1083" s="452"/>
      <c r="AD1083" s="152"/>
      <c r="AE1083" s="153"/>
      <c r="AF1083" s="153"/>
      <c r="AG1083" s="153"/>
      <c r="AH1083" s="153"/>
      <c r="AI1083" s="275"/>
    </row>
    <row r="1084" spans="1:35" ht="15" customHeight="1" x14ac:dyDescent="0.45">
      <c r="A1084" s="448"/>
      <c r="B1084" s="448"/>
      <c r="C1084" s="448"/>
      <c r="D1084" s="24"/>
      <c r="E1084" s="97" t="s">
        <v>430</v>
      </c>
      <c r="F1084" s="97"/>
      <c r="G1084" s="97"/>
      <c r="H1084" s="97"/>
      <c r="I1084" s="97"/>
      <c r="J1084" s="97"/>
      <c r="K1084" s="97"/>
      <c r="L1084" s="97"/>
      <c r="M1084" s="97"/>
      <c r="N1084" s="97"/>
      <c r="O1084" s="97"/>
      <c r="P1084" s="51" t="s">
        <v>90</v>
      </c>
      <c r="Q1084" s="445" t="str">
        <f>IF(ISBLANK(General_Info_Rail_Railway_Design_Speed),"No Value",IF(General_Info_Rail_Railway_Design_Speed&gt;15,"Yes","No"))</f>
        <v>No Value</v>
      </c>
      <c r="R1084" s="445"/>
      <c r="S1084" s="445"/>
      <c r="T1084" s="445"/>
      <c r="U1084" s="445"/>
      <c r="AC1084" s="25"/>
      <c r="AD1084" s="152"/>
      <c r="AE1084" s="153"/>
      <c r="AF1084" s="153"/>
      <c r="AG1084" s="153"/>
      <c r="AH1084" s="153"/>
      <c r="AI1084" s="275"/>
    </row>
    <row r="1085" spans="1:35" ht="15" customHeight="1" thickBot="1" x14ac:dyDescent="0.5">
      <c r="A1085" s="448"/>
      <c r="B1085" s="448"/>
      <c r="C1085" s="448"/>
      <c r="D1085" s="109"/>
      <c r="E1085" s="111" t="s">
        <v>439</v>
      </c>
      <c r="F1085" s="111"/>
      <c r="G1085" s="111"/>
      <c r="H1085" s="111"/>
      <c r="I1085" s="111"/>
      <c r="J1085" s="111"/>
      <c r="K1085" s="111"/>
      <c r="L1085" s="111"/>
      <c r="M1085" s="111"/>
      <c r="N1085" s="111"/>
      <c r="O1085" s="111"/>
      <c r="P1085" s="136" t="s">
        <v>90</v>
      </c>
      <c r="Q1085" s="475" t="str">
        <f>IF(OR(ISBLANK(Location_of_Grade_Crossing_Nearest_Intersection_Signalized_N_or_E_Approach),ISBLANK(Location_of_Grade_Crossing_Nearest_Intersection_Signalized_S_of_W_Approach)),"No Value",IF(OR(AND(Location_of_Grade_Crossing_Nearest_Intersection_Signalized_N_or_E_Approach&gt;0,Location_of_Grade_Crossing_Nearest_Intersection_Signalized_N_or_E_Approach&lt;60),AND(Location_of_Grade_Crossing_Nearest_Intersection_Signalized_S_of_W_Approach&gt;0,Location_of_Grade_Crossing_Nearest_Intersection_Signalized_S_of_W_Approach&lt;60)),"Yes","No"))</f>
        <v>No Value</v>
      </c>
      <c r="R1085" s="475"/>
      <c r="S1085" s="475"/>
      <c r="T1085" s="475"/>
      <c r="U1085" s="475"/>
      <c r="V1085" s="110"/>
      <c r="W1085" s="110"/>
      <c r="X1085" s="110"/>
      <c r="Y1085" s="110"/>
      <c r="Z1085" s="110"/>
      <c r="AA1085" s="110"/>
      <c r="AB1085" s="110"/>
      <c r="AC1085" s="113"/>
      <c r="AD1085" s="154"/>
      <c r="AE1085" s="155"/>
      <c r="AF1085" s="155"/>
      <c r="AG1085" s="155"/>
      <c r="AH1085" s="155"/>
      <c r="AI1085" s="194"/>
    </row>
    <row r="1086" spans="1:35" ht="15" customHeight="1" x14ac:dyDescent="0.45">
      <c r="A1086" s="476"/>
      <c r="B1086" s="477"/>
      <c r="C1086" s="478"/>
      <c r="D1086" s="479" t="s">
        <v>440</v>
      </c>
      <c r="E1086" s="433"/>
      <c r="F1086" s="433"/>
      <c r="G1086" s="433"/>
      <c r="H1086" s="433"/>
      <c r="I1086" s="433"/>
      <c r="J1086" s="433"/>
      <c r="K1086" s="433"/>
      <c r="L1086" s="433"/>
      <c r="M1086" s="433"/>
      <c r="N1086" s="433"/>
      <c r="O1086" s="433"/>
      <c r="P1086" s="433"/>
      <c r="Q1086" s="433"/>
      <c r="R1086" s="433"/>
      <c r="S1086" s="433"/>
      <c r="T1086" s="433"/>
      <c r="U1086" s="433"/>
      <c r="V1086" s="433"/>
      <c r="W1086" s="433"/>
      <c r="X1086" s="433"/>
      <c r="Y1086" s="433"/>
      <c r="Z1086" s="433"/>
      <c r="AA1086" s="433"/>
      <c r="AB1086" s="433"/>
      <c r="AC1086" s="434"/>
      <c r="AD1086" s="435" t="s">
        <v>441</v>
      </c>
      <c r="AE1086" s="436"/>
      <c r="AF1086" s="436"/>
      <c r="AG1086" s="436"/>
      <c r="AH1086" s="436"/>
      <c r="AI1086" s="437"/>
    </row>
    <row r="1087" spans="1:35" ht="15" customHeight="1" x14ac:dyDescent="0.45">
      <c r="A1087" s="480"/>
      <c r="B1087" s="139"/>
      <c r="C1087" s="140"/>
      <c r="D1087" s="6" t="s">
        <v>408</v>
      </c>
      <c r="E1087" s="6"/>
      <c r="AC1087" s="25"/>
      <c r="AD1087" s="152"/>
      <c r="AE1087" s="153"/>
      <c r="AF1087" s="153"/>
      <c r="AG1087" s="153"/>
      <c r="AH1087" s="153"/>
      <c r="AI1087" s="455"/>
    </row>
    <row r="1088" spans="1:35" ht="15" customHeight="1" x14ac:dyDescent="0.45">
      <c r="A1088" s="481" t="s">
        <v>155</v>
      </c>
      <c r="B1088" s="481"/>
      <c r="C1088" s="482"/>
      <c r="D1088" s="50" t="s">
        <v>409</v>
      </c>
      <c r="E1088" s="90" t="s">
        <v>410</v>
      </c>
      <c r="F1088" s="18"/>
      <c r="G1088" s="18"/>
      <c r="H1088" s="18"/>
      <c r="I1088" s="18"/>
      <c r="J1088" s="18"/>
      <c r="K1088" s="18"/>
      <c r="L1088" s="18"/>
      <c r="M1088" s="18"/>
      <c r="N1088" s="18"/>
      <c r="O1088" s="18"/>
      <c r="P1088" s="18"/>
      <c r="Q1088" s="18"/>
      <c r="R1088" s="18"/>
      <c r="S1088" s="18"/>
      <c r="T1088" s="18"/>
      <c r="U1088" s="18"/>
      <c r="V1088" s="18"/>
      <c r="W1088" s="18"/>
      <c r="X1088" s="18"/>
      <c r="Y1088" s="364" t="str">
        <f>IF(OR(ISBLANK(Inspection_Details_Grade_Crossing_Type),ISBLANK(General_Info_Road_AADT_Forecast),ISBLANK(General_Info_Rail_No_Trains_Per_Day_Total)),"No Value",IF(Inspection_Details_Grade_Crossing_Type="Public","N/A",IF(AND(NOT(Inspection_Details_Grade_Crossing_Type="Public"),General_Info_Road_AADT_Forecast*General_Info_Rail_No_Trains_Per_Day_Total&gt;=2000),"Yes","No")))</f>
        <v>No Value</v>
      </c>
      <c r="Z1088" s="364"/>
      <c r="AA1088" s="364"/>
      <c r="AB1088" s="364"/>
      <c r="AC1088" s="364"/>
      <c r="AD1088" s="147" t="s">
        <v>442</v>
      </c>
      <c r="AE1088" s="148"/>
      <c r="AF1088" s="148"/>
      <c r="AG1088" s="148"/>
      <c r="AH1088" s="148"/>
      <c r="AI1088" s="201"/>
    </row>
    <row r="1089" spans="1:35" ht="15" customHeight="1" x14ac:dyDescent="0.45">
      <c r="A1089" s="483"/>
      <c r="B1089" s="483"/>
      <c r="C1089" s="484"/>
      <c r="D1089" s="28"/>
      <c r="E1089" s="97" t="s">
        <v>74</v>
      </c>
      <c r="F1089" s="97"/>
      <c r="G1089" s="97"/>
      <c r="H1089" s="97"/>
      <c r="I1089" s="97"/>
      <c r="J1089" s="51" t="s">
        <v>90</v>
      </c>
      <c r="K1089" s="162" t="str">
        <f>IF(ISBLANK(Inspection_Details_Grade_Crossing_Type),"No Value",IF(Inspection_Details_Grade_Crossing_Type="Public","Public","Private"))</f>
        <v>No Value</v>
      </c>
      <c r="L1089" s="162"/>
      <c r="M1089" s="162"/>
      <c r="Y1089" s="451"/>
      <c r="Z1089" s="451"/>
      <c r="AA1089" s="451"/>
      <c r="AB1089" s="451"/>
      <c r="AC1089" s="451"/>
      <c r="AD1089" s="152"/>
      <c r="AE1089" s="153"/>
      <c r="AF1089" s="153"/>
      <c r="AG1089" s="153"/>
      <c r="AH1089" s="153"/>
      <c r="AI1089" s="275"/>
    </row>
    <row r="1090" spans="1:35" ht="15" customHeight="1" x14ac:dyDescent="0.45">
      <c r="A1090" s="483"/>
      <c r="B1090" s="483"/>
      <c r="C1090" s="484"/>
      <c r="D1090" s="24"/>
      <c r="E1090" s="97" t="s">
        <v>412</v>
      </c>
      <c r="F1090" s="97"/>
      <c r="G1090" s="97"/>
      <c r="H1090" s="97"/>
      <c r="I1090" s="97"/>
      <c r="J1090" s="51" t="s">
        <v>90</v>
      </c>
      <c r="K1090" s="485" t="str">
        <f>IF(ISBLANK(General_Info_Road_AADT_Current), "No Value", General_Info_Road_AADT_Current)</f>
        <v>No Value</v>
      </c>
      <c r="L1090" s="485"/>
      <c r="M1090" s="485"/>
      <c r="N1090" s="6" t="s">
        <v>118</v>
      </c>
      <c r="AD1090" s="152"/>
      <c r="AE1090" s="153"/>
      <c r="AF1090" s="153"/>
      <c r="AG1090" s="153"/>
      <c r="AH1090" s="153"/>
      <c r="AI1090" s="275"/>
    </row>
    <row r="1091" spans="1:35" ht="15" customHeight="1" x14ac:dyDescent="0.45">
      <c r="A1091" s="483"/>
      <c r="B1091" s="483"/>
      <c r="C1091" s="484"/>
      <c r="D1091" s="24"/>
      <c r="E1091" s="97" t="s">
        <v>413</v>
      </c>
      <c r="F1091" s="97"/>
      <c r="G1091" s="97"/>
      <c r="H1091" s="97"/>
      <c r="I1091" s="97"/>
      <c r="J1091" s="51" t="s">
        <v>90</v>
      </c>
      <c r="K1091" s="486" t="str">
        <f>IF(ISBLANK(General_Info_Rail_No_Trains_Per_Day_Total), "No Value", General_Info_Rail_No_Trains_Per_Day_Total)</f>
        <v>No Value</v>
      </c>
      <c r="L1091" s="486"/>
      <c r="M1091" s="486"/>
      <c r="N1091" s="6" t="s">
        <v>414</v>
      </c>
      <c r="U1091" s="51"/>
      <c r="V1091" s="487"/>
      <c r="W1091" s="487"/>
      <c r="X1091" s="487"/>
      <c r="Y1091" s="6"/>
      <c r="AD1091" s="152"/>
      <c r="AE1091" s="153"/>
      <c r="AF1091" s="153"/>
      <c r="AG1091" s="153"/>
      <c r="AH1091" s="153"/>
      <c r="AI1091" s="275"/>
    </row>
    <row r="1092" spans="1:35" ht="15" customHeight="1" x14ac:dyDescent="0.45">
      <c r="A1092" s="488"/>
      <c r="B1092" s="488"/>
      <c r="C1092" s="489"/>
      <c r="D1092" s="171"/>
      <c r="E1092" s="111" t="s">
        <v>415</v>
      </c>
      <c r="F1092" s="111"/>
      <c r="G1092" s="111"/>
      <c r="H1092" s="111"/>
      <c r="I1092" s="111"/>
      <c r="J1092" s="136" t="s">
        <v>90</v>
      </c>
      <c r="K1092" s="490" t="str">
        <f>IF(OR(ISBLANK(General_Info_Rail_No_Trains_Per_Day_Total),ISBLANK(General_Info_Road_AADT_Forecast)), "No Value", General_Info_Rail_No_Trains_Per_Day_Total*General_Info_Road_AADT_Forecast)</f>
        <v>No Value</v>
      </c>
      <c r="L1092" s="490"/>
      <c r="M1092" s="490"/>
      <c r="N1092" s="142" t="s">
        <v>416</v>
      </c>
      <c r="O1092" s="110"/>
      <c r="P1092" s="110"/>
      <c r="Q1092" s="110"/>
      <c r="R1092" s="110"/>
      <c r="S1092" s="110"/>
      <c r="T1092" s="110"/>
      <c r="U1092" s="110"/>
      <c r="V1092" s="110"/>
      <c r="W1092" s="110"/>
      <c r="X1092" s="110"/>
      <c r="Y1092" s="110"/>
      <c r="Z1092" s="110"/>
      <c r="AA1092" s="110"/>
      <c r="AB1092" s="110"/>
      <c r="AC1092" s="110"/>
      <c r="AD1092" s="154"/>
      <c r="AE1092" s="155"/>
      <c r="AF1092" s="155"/>
      <c r="AG1092" s="155"/>
      <c r="AH1092" s="155"/>
      <c r="AI1092" s="194"/>
    </row>
    <row r="1093" spans="1:35" ht="15" customHeight="1" x14ac:dyDescent="0.45">
      <c r="A1093" s="491"/>
      <c r="B1093" s="491"/>
      <c r="C1093" s="492"/>
      <c r="D1093" s="28" t="s">
        <v>417</v>
      </c>
      <c r="E1093" s="450" t="s">
        <v>443</v>
      </c>
      <c r="F1093" s="450"/>
      <c r="G1093" s="450"/>
      <c r="H1093" s="450"/>
      <c r="I1093" s="450"/>
      <c r="J1093" s="51"/>
      <c r="K1093" s="493"/>
      <c r="L1093" s="493"/>
      <c r="M1093" s="493"/>
      <c r="N1093" s="6"/>
      <c r="AD1093" s="494"/>
      <c r="AE1093" s="233"/>
      <c r="AF1093" s="233"/>
      <c r="AG1093" s="233"/>
      <c r="AH1093" s="233"/>
      <c r="AI1093" s="233"/>
    </row>
    <row r="1094" spans="1:35" ht="15" customHeight="1" x14ac:dyDescent="0.45">
      <c r="A1094" s="495" t="s">
        <v>155</v>
      </c>
      <c r="B1094" s="481"/>
      <c r="C1094" s="482"/>
      <c r="D1094" s="50" t="s">
        <v>428</v>
      </c>
      <c r="E1094" s="284" t="s">
        <v>444</v>
      </c>
      <c r="F1094" s="284"/>
      <c r="G1094" s="284"/>
      <c r="H1094" s="284"/>
      <c r="I1094" s="284"/>
      <c r="J1094" s="284"/>
      <c r="K1094" s="284"/>
      <c r="L1094" s="284"/>
      <c r="M1094" s="284"/>
      <c r="N1094" s="284"/>
      <c r="O1094" s="284"/>
      <c r="P1094" s="284"/>
      <c r="Q1094" s="284"/>
      <c r="R1094" s="284"/>
      <c r="S1094" s="284"/>
      <c r="T1094" s="284"/>
      <c r="U1094" s="284"/>
      <c r="V1094" s="284"/>
      <c r="W1094" s="284"/>
      <c r="X1094" s="284"/>
      <c r="Y1094" s="464" t="str">
        <f>IF(OR(ISBLANK(Inspection_Details_Grade_Crossing_Type),ISBLANK(General_Info_Rail_Railway_Design_Speed),ISBLANK(General_Info_Road_AADT_Forecast),ISBLANK(General_Info_Rail_No_Trains_Per_Day_Total),ISBLANK(General_Info_Rail_No_Tracks_Total)),"No Value",IF(Inspection_Details_Grade_Crossing_Type="Public","N/A",IF(AND(NOT(Inspection_Details_Grade_Crossing_Type="Public"),General_Info_Rail_Railway_Design_Speed&gt;15,General_Info_Road_AADT_Forecast*General_Info_Rail_No_Trains_Per_Day_Total&gt;=100,General_Info_Rail_No_Tracks_Total&gt;=2),"Yes","No")))</f>
        <v>No Value</v>
      </c>
      <c r="Z1094" s="364"/>
      <c r="AA1094" s="364"/>
      <c r="AB1094" s="364"/>
      <c r="AC1094" s="365"/>
      <c r="AD1094" s="147" t="s">
        <v>445</v>
      </c>
      <c r="AE1094" s="148"/>
      <c r="AF1094" s="148"/>
      <c r="AG1094" s="148"/>
      <c r="AH1094" s="148"/>
      <c r="AI1094" s="201"/>
    </row>
    <row r="1095" spans="1:35" ht="15" customHeight="1" x14ac:dyDescent="0.45">
      <c r="A1095" s="496"/>
      <c r="B1095" s="483"/>
      <c r="C1095" s="484"/>
      <c r="D1095" s="28"/>
      <c r="E1095" s="175"/>
      <c r="F1095" s="175"/>
      <c r="G1095" s="175"/>
      <c r="H1095" s="175"/>
      <c r="I1095" s="175"/>
      <c r="J1095" s="175"/>
      <c r="K1095" s="175"/>
      <c r="L1095" s="175"/>
      <c r="M1095" s="175"/>
      <c r="N1095" s="175"/>
      <c r="O1095" s="175"/>
      <c r="P1095" s="175"/>
      <c r="Q1095" s="175"/>
      <c r="R1095" s="175"/>
      <c r="S1095" s="175"/>
      <c r="T1095" s="175"/>
      <c r="U1095" s="175"/>
      <c r="V1095" s="175"/>
      <c r="W1095" s="175"/>
      <c r="X1095" s="175"/>
      <c r="Y1095" s="466"/>
      <c r="Z1095" s="112"/>
      <c r="AA1095" s="112"/>
      <c r="AB1095" s="112"/>
      <c r="AC1095" s="375"/>
      <c r="AD1095" s="152"/>
      <c r="AE1095" s="153"/>
      <c r="AF1095" s="153"/>
      <c r="AG1095" s="153"/>
      <c r="AH1095" s="153"/>
      <c r="AI1095" s="275"/>
    </row>
    <row r="1096" spans="1:35" ht="15" customHeight="1" x14ac:dyDescent="0.45">
      <c r="A1096" s="496"/>
      <c r="B1096" s="483"/>
      <c r="C1096" s="484"/>
      <c r="D1096" s="28"/>
      <c r="E1096" s="97" t="s">
        <v>74</v>
      </c>
      <c r="F1096" s="97"/>
      <c r="G1096" s="97"/>
      <c r="H1096" s="97"/>
      <c r="I1096" s="97"/>
      <c r="J1096" s="97"/>
      <c r="K1096" s="97"/>
      <c r="L1096" s="97"/>
      <c r="M1096" s="97"/>
      <c r="N1096" s="97"/>
      <c r="O1096" s="97"/>
      <c r="P1096" s="97"/>
      <c r="Q1096" s="97"/>
      <c r="R1096" s="51" t="s">
        <v>90</v>
      </c>
      <c r="S1096" s="464" t="str">
        <f>IF(ISBLANK(Inspection_Details_Grade_Crossing_Type),"No Value",IF(Inspection_Details_Grade_Crossing_Type="Public","Public","Private"))</f>
        <v>No Value</v>
      </c>
      <c r="T1096" s="364"/>
      <c r="U1096" s="365"/>
      <c r="V1096" s="474"/>
      <c r="W1096" s="474"/>
      <c r="X1096" s="474"/>
      <c r="Y1096" s="451"/>
      <c r="Z1096" s="451"/>
      <c r="AA1096" s="451"/>
      <c r="AB1096" s="451"/>
      <c r="AC1096" s="452"/>
      <c r="AD1096" s="152"/>
      <c r="AE1096" s="153"/>
      <c r="AF1096" s="153"/>
      <c r="AG1096" s="153"/>
      <c r="AH1096" s="153"/>
      <c r="AI1096" s="275"/>
    </row>
    <row r="1097" spans="1:35" ht="15" customHeight="1" x14ac:dyDescent="0.45">
      <c r="A1097" s="496"/>
      <c r="B1097" s="483"/>
      <c r="C1097" s="484"/>
      <c r="D1097" s="24"/>
      <c r="E1097" s="97" t="s">
        <v>430</v>
      </c>
      <c r="F1097" s="97"/>
      <c r="G1097" s="97"/>
      <c r="H1097" s="97"/>
      <c r="I1097" s="97"/>
      <c r="J1097" s="97"/>
      <c r="K1097" s="97"/>
      <c r="L1097" s="97"/>
      <c r="M1097" s="97"/>
      <c r="N1097" s="97"/>
      <c r="O1097" s="97"/>
      <c r="P1097" s="97"/>
      <c r="Q1097" s="97"/>
      <c r="R1097" s="497" t="s">
        <v>90</v>
      </c>
      <c r="S1097" s="462" t="str">
        <f>IF(ISBLANK(General_Info_Rail_Railway_Design_Speed),"No Value",IF(General_Info_Rail_Railway_Design_Speed&gt;15,"Yes","No"))</f>
        <v>No Value</v>
      </c>
      <c r="T1097" s="53"/>
      <c r="U1097" s="53"/>
      <c r="V1097" s="53"/>
      <c r="W1097" s="463"/>
      <c r="AC1097" s="25"/>
      <c r="AD1097" s="152"/>
      <c r="AE1097" s="153"/>
      <c r="AF1097" s="153"/>
      <c r="AG1097" s="153"/>
      <c r="AH1097" s="153"/>
      <c r="AI1097" s="275"/>
    </row>
    <row r="1098" spans="1:35" s="6" customFormat="1" ht="15" customHeight="1" x14ac:dyDescent="0.45">
      <c r="A1098" s="496"/>
      <c r="B1098" s="483"/>
      <c r="C1098" s="484"/>
      <c r="D1098" s="28"/>
      <c r="E1098" s="97" t="s">
        <v>446</v>
      </c>
      <c r="F1098" s="97"/>
      <c r="G1098" s="97"/>
      <c r="H1098" s="97"/>
      <c r="I1098" s="97"/>
      <c r="J1098" s="97"/>
      <c r="K1098" s="97"/>
      <c r="L1098" s="97"/>
      <c r="M1098" s="97"/>
      <c r="N1098" s="97"/>
      <c r="O1098" s="97"/>
      <c r="P1098" s="97"/>
      <c r="Q1098" s="97"/>
      <c r="R1098" s="497" t="s">
        <v>90</v>
      </c>
      <c r="S1098" s="462" t="str">
        <f>IF(OR(ISBLANK(General_Info_Rail_No_Trains_Per_Day_Total),ISBLANK(General_Info_Road_AADT_Forecast)),"No Value",IF(General_Info_Rail_No_Trains_Per_Day_Total*General_Info_Road_AADT_Forecast&gt;100,"Yes","No"))</f>
        <v>No Value</v>
      </c>
      <c r="T1098" s="53"/>
      <c r="U1098" s="53"/>
      <c r="V1098" s="53"/>
      <c r="W1098" s="463"/>
      <c r="X1098" s="1"/>
      <c r="AC1098" s="290"/>
      <c r="AD1098" s="152"/>
      <c r="AE1098" s="153"/>
      <c r="AF1098" s="153"/>
      <c r="AG1098" s="153"/>
      <c r="AH1098" s="153"/>
      <c r="AI1098" s="275"/>
    </row>
    <row r="1099" spans="1:35" s="6" customFormat="1" ht="15" customHeight="1" x14ac:dyDescent="0.45">
      <c r="A1099" s="498"/>
      <c r="B1099" s="488"/>
      <c r="C1099" s="489"/>
      <c r="D1099" s="468"/>
      <c r="E1099" s="111" t="s">
        <v>447</v>
      </c>
      <c r="F1099" s="111"/>
      <c r="G1099" s="111"/>
      <c r="H1099" s="111"/>
      <c r="I1099" s="111"/>
      <c r="J1099" s="111"/>
      <c r="K1099" s="111"/>
      <c r="L1099" s="111"/>
      <c r="M1099" s="111"/>
      <c r="N1099" s="111"/>
      <c r="O1099" s="111"/>
      <c r="P1099" s="111"/>
      <c r="Q1099" s="111"/>
      <c r="R1099" s="499" t="s">
        <v>90</v>
      </c>
      <c r="S1099" s="462" t="str">
        <f>IF(ISBLANK(General_Info_Rail_No_Tracks_Total),"No Value",IF(General_Info_Rail_No_Tracks_Total&gt;=2,"Yes","No"))</f>
        <v>No Value</v>
      </c>
      <c r="T1099" s="53"/>
      <c r="U1099" s="53"/>
      <c r="V1099" s="53"/>
      <c r="W1099" s="463"/>
      <c r="X1099" s="110"/>
      <c r="Y1099" s="142"/>
      <c r="Z1099" s="142"/>
      <c r="AA1099" s="142"/>
      <c r="AB1099" s="142"/>
      <c r="AC1099" s="172"/>
      <c r="AD1099" s="154"/>
      <c r="AE1099" s="155"/>
      <c r="AF1099" s="155"/>
      <c r="AG1099" s="155"/>
      <c r="AH1099" s="155"/>
      <c r="AI1099" s="194"/>
    </row>
    <row r="1100" spans="1:35" s="6" customFormat="1" ht="15" customHeight="1" x14ac:dyDescent="0.45">
      <c r="A1100" s="481" t="s">
        <v>155</v>
      </c>
      <c r="B1100" s="481"/>
      <c r="C1100" s="482"/>
      <c r="D1100" s="50" t="s">
        <v>432</v>
      </c>
      <c r="E1100" s="284" t="s">
        <v>448</v>
      </c>
      <c r="F1100" s="284"/>
      <c r="G1100" s="284"/>
      <c r="H1100" s="284"/>
      <c r="I1100" s="284"/>
      <c r="J1100" s="284"/>
      <c r="K1100" s="284"/>
      <c r="L1100" s="284"/>
      <c r="M1100" s="284"/>
      <c r="N1100" s="284"/>
      <c r="O1100" s="284"/>
      <c r="P1100" s="284"/>
      <c r="Q1100" s="284"/>
      <c r="R1100" s="284"/>
      <c r="S1100" s="284"/>
      <c r="T1100" s="284"/>
      <c r="U1100" s="284"/>
      <c r="V1100" s="284"/>
      <c r="W1100" s="284"/>
      <c r="X1100" s="284"/>
      <c r="Y1100" s="445" t="str">
        <f>IF(OR(ISBLANK(Inspection_Details_Grade_Crossing_Type),ISBLANK(General_Info_Rail_Railway_Design_Speed),ISBLANK(General_Info_Road_AADT_Forecast),ISBLANK(General_Info_Rail_No_Trains_Per_Day_Total),ISBLANK(General_Info_Road_Sidewalks)),"No Value",IF(Inspection_Details_Grade_Crossing_Type="Public","N/A",IF(AND(NOT(Inspection_Details_Grade_Crossing_Type="Public"),General_Info_Rail_Railway_Design_Speed&gt;80,General_Info_Road_AADT_Forecast*General_Info_Rail_No_Trains_Per_Day_Total&gt;=100,General_Info_Road_Sidewalks&gt;="No"),"Yes","No")))</f>
        <v>No Value</v>
      </c>
      <c r="Z1100" s="445"/>
      <c r="AA1100" s="445"/>
      <c r="AB1100" s="445"/>
      <c r="AC1100" s="445"/>
      <c r="AD1100" s="148" t="s">
        <v>449</v>
      </c>
      <c r="AE1100" s="148"/>
      <c r="AF1100" s="148"/>
      <c r="AG1100" s="148"/>
      <c r="AH1100" s="148"/>
      <c r="AI1100" s="148"/>
    </row>
    <row r="1101" spans="1:35" s="6" customFormat="1" ht="15" customHeight="1" x14ac:dyDescent="0.45">
      <c r="A1101" s="483"/>
      <c r="B1101" s="483"/>
      <c r="C1101" s="484"/>
      <c r="D1101" s="28"/>
      <c r="E1101" s="175"/>
      <c r="F1101" s="175"/>
      <c r="G1101" s="175"/>
      <c r="H1101" s="175"/>
      <c r="I1101" s="175"/>
      <c r="J1101" s="175"/>
      <c r="K1101" s="175"/>
      <c r="L1101" s="175"/>
      <c r="M1101" s="175"/>
      <c r="N1101" s="175"/>
      <c r="O1101" s="175"/>
      <c r="P1101" s="175"/>
      <c r="Q1101" s="175"/>
      <c r="R1101" s="175"/>
      <c r="S1101" s="175"/>
      <c r="T1101" s="175"/>
      <c r="U1101" s="175"/>
      <c r="V1101" s="175"/>
      <c r="W1101" s="175"/>
      <c r="X1101" s="175"/>
      <c r="Y1101" s="445"/>
      <c r="Z1101" s="445"/>
      <c r="AA1101" s="445"/>
      <c r="AB1101" s="445"/>
      <c r="AC1101" s="445"/>
      <c r="AD1101" s="153"/>
      <c r="AE1101" s="153"/>
      <c r="AF1101" s="153"/>
      <c r="AG1101" s="153"/>
      <c r="AH1101" s="153"/>
      <c r="AI1101" s="153"/>
    </row>
    <row r="1102" spans="1:35" s="6" customFormat="1" ht="15" customHeight="1" x14ac:dyDescent="0.45">
      <c r="A1102" s="483"/>
      <c r="B1102" s="483"/>
      <c r="C1102" s="484"/>
      <c r="D1102" s="28"/>
      <c r="E1102" s="97" t="s">
        <v>74</v>
      </c>
      <c r="F1102" s="97"/>
      <c r="G1102" s="97"/>
      <c r="H1102" s="97"/>
      <c r="I1102" s="97"/>
      <c r="J1102" s="97"/>
      <c r="K1102" s="97"/>
      <c r="L1102" s="97"/>
      <c r="M1102" s="97"/>
      <c r="N1102" s="51" t="s">
        <v>90</v>
      </c>
      <c r="O1102" s="462" t="str">
        <f>IF(ISBLANK(Inspection_Details_Grade_Crossing_Type),"No Value",IF(Inspection_Details_Grade_Crossing_Type="Public","Public","Private"))</f>
        <v>No Value</v>
      </c>
      <c r="P1102" s="53"/>
      <c r="Q1102" s="463"/>
      <c r="V1102" s="474"/>
      <c r="W1102" s="474"/>
      <c r="X1102" s="474"/>
      <c r="Y1102" s="451"/>
      <c r="Z1102" s="451"/>
      <c r="AA1102" s="451"/>
      <c r="AB1102" s="451"/>
      <c r="AC1102" s="452"/>
      <c r="AD1102" s="153"/>
      <c r="AE1102" s="153"/>
      <c r="AF1102" s="153"/>
      <c r="AG1102" s="153"/>
      <c r="AH1102" s="153"/>
      <c r="AI1102" s="153"/>
    </row>
    <row r="1103" spans="1:35" s="6" customFormat="1" ht="15" customHeight="1" x14ac:dyDescent="0.45">
      <c r="A1103" s="483"/>
      <c r="B1103" s="483"/>
      <c r="C1103" s="484"/>
      <c r="D1103" s="28"/>
      <c r="E1103" s="97" t="s">
        <v>446</v>
      </c>
      <c r="F1103" s="97"/>
      <c r="G1103" s="97"/>
      <c r="H1103" s="97"/>
      <c r="I1103" s="97"/>
      <c r="J1103" s="97"/>
      <c r="K1103" s="97"/>
      <c r="L1103" s="97"/>
      <c r="M1103" s="97"/>
      <c r="N1103" s="350" t="s">
        <v>90</v>
      </c>
      <c r="O1103" s="445" t="str">
        <f>IF(OR(ISBLANK(General_Info_Rail_No_Trains_Per_Day_Total),ISBLANK(General_Info_Road_AADT_Current)),"No Value",IF(General_Info_Rail_No_Trains_Per_Day_Total*General_Info_Road_AADT_Current&gt;100,"Yes","No"))</f>
        <v>No Value</v>
      </c>
      <c r="P1103" s="445"/>
      <c r="Q1103" s="445"/>
      <c r="R1103" s="445"/>
      <c r="S1103" s="445"/>
      <c r="T1103" s="451"/>
      <c r="U1103" s="451"/>
      <c r="V1103" s="451"/>
      <c r="W1103" s="451"/>
      <c r="X1103" s="1"/>
      <c r="AC1103" s="290"/>
      <c r="AD1103" s="153"/>
      <c r="AE1103" s="153"/>
      <c r="AF1103" s="153"/>
      <c r="AG1103" s="153"/>
      <c r="AH1103" s="153"/>
      <c r="AI1103" s="153"/>
    </row>
    <row r="1104" spans="1:35" s="6" customFormat="1" ht="15" customHeight="1" x14ac:dyDescent="0.45">
      <c r="A1104" s="483"/>
      <c r="B1104" s="483"/>
      <c r="C1104" s="484"/>
      <c r="D1104" s="28"/>
      <c r="E1104" s="97" t="s">
        <v>420</v>
      </c>
      <c r="F1104" s="97"/>
      <c r="G1104" s="97"/>
      <c r="H1104" s="97"/>
      <c r="I1104" s="97"/>
      <c r="J1104" s="97"/>
      <c r="K1104" s="97"/>
      <c r="L1104" s="97"/>
      <c r="M1104" s="97"/>
      <c r="N1104" s="500" t="s">
        <v>90</v>
      </c>
      <c r="O1104" s="445" t="str">
        <f>IF(ISBLANK(General_Info_Road_Sidewalks),"No Value",IF(General_Info_Road_Sidewalks="Yes","Yes","No"))</f>
        <v>No Value</v>
      </c>
      <c r="P1104" s="445"/>
      <c r="Q1104" s="445"/>
      <c r="R1104" s="445"/>
      <c r="S1104" s="445"/>
      <c r="T1104" s="474"/>
      <c r="U1104" s="474"/>
      <c r="V1104" s="474"/>
      <c r="W1104" s="474"/>
      <c r="X1104" s="474"/>
      <c r="Y1104" s="451"/>
      <c r="Z1104" s="451"/>
      <c r="AA1104" s="451"/>
      <c r="AB1104" s="451"/>
      <c r="AC1104" s="452"/>
      <c r="AD1104" s="153"/>
      <c r="AE1104" s="153"/>
      <c r="AF1104" s="153"/>
      <c r="AG1104" s="153"/>
      <c r="AH1104" s="153"/>
      <c r="AI1104" s="153"/>
    </row>
    <row r="1105" spans="1:35" s="6" customFormat="1" ht="15" customHeight="1" x14ac:dyDescent="0.45">
      <c r="A1105" s="488"/>
      <c r="B1105" s="488"/>
      <c r="C1105" s="489"/>
      <c r="D1105" s="468"/>
      <c r="E1105" s="111" t="s">
        <v>450</v>
      </c>
      <c r="F1105" s="111"/>
      <c r="G1105" s="111"/>
      <c r="H1105" s="111"/>
      <c r="I1105" s="111"/>
      <c r="J1105" s="111"/>
      <c r="K1105" s="111"/>
      <c r="L1105" s="111"/>
      <c r="M1105" s="111"/>
      <c r="N1105" s="351" t="s">
        <v>90</v>
      </c>
      <c r="O1105" s="445" t="str">
        <f>IF(ISBLANK(General_Info_Rail_Railway_Design_Speed),"No Value",IF(General_Info_Rail_Railway_Design_Speed&gt;80,"Yes","No"))</f>
        <v>No Value</v>
      </c>
      <c r="P1105" s="445"/>
      <c r="Q1105" s="445"/>
      <c r="R1105" s="445"/>
      <c r="S1105" s="445"/>
      <c r="T1105" s="380"/>
      <c r="U1105" s="380"/>
      <c r="V1105" s="380"/>
      <c r="W1105" s="380"/>
      <c r="X1105" s="110"/>
      <c r="Y1105" s="142"/>
      <c r="Z1105" s="142"/>
      <c r="AA1105" s="142"/>
      <c r="AB1105" s="142"/>
      <c r="AC1105" s="172"/>
      <c r="AD1105" s="155"/>
      <c r="AE1105" s="155"/>
      <c r="AF1105" s="155"/>
      <c r="AG1105" s="155"/>
      <c r="AH1105" s="155"/>
      <c r="AI1105" s="155"/>
    </row>
    <row r="1106" spans="1:35" s="6" customFormat="1" ht="15" customHeight="1" x14ac:dyDescent="0.45">
      <c r="A1106" s="491"/>
      <c r="B1106" s="491"/>
      <c r="C1106" s="492"/>
      <c r="D1106" s="28" t="s">
        <v>436</v>
      </c>
      <c r="E1106" s="284" t="s">
        <v>451</v>
      </c>
      <c r="F1106" s="284"/>
      <c r="G1106" s="284"/>
      <c r="H1106" s="284"/>
      <c r="I1106" s="284"/>
      <c r="J1106" s="284"/>
      <c r="K1106" s="284"/>
      <c r="L1106" s="284"/>
      <c r="M1106" s="284"/>
      <c r="N1106" s="284"/>
      <c r="O1106" s="284"/>
      <c r="P1106" s="284"/>
      <c r="Q1106" s="284"/>
      <c r="R1106" s="284"/>
      <c r="S1106" s="284"/>
      <c r="T1106" s="284"/>
      <c r="U1106" s="284"/>
      <c r="V1106" s="284"/>
      <c r="W1106" s="284"/>
      <c r="X1106" s="284"/>
      <c r="Y1106" s="464" t="str">
        <f>IF(OR(ISBLANK(Inspection_Details_Grade_Crossing_Type),ISBLANK(General_Info_Rail_Railway_Design_Speed),ISBLANK(General_Info_Road_Sidewalks)),"No Value",IF(Inspection_Details_Grade_Crossing_Type="Public","N/A",IF(AND(NOT(Inspection_Details_Grade_Crossing_Type="Public"),General_Info_Rail_Railway_Design_Speed&gt;50,General_Info_Road_Sidewalks&gt;="Yes"),"Yes","No")))</f>
        <v>No Value</v>
      </c>
      <c r="Z1106" s="364"/>
      <c r="AA1106" s="364"/>
      <c r="AB1106" s="364"/>
      <c r="AC1106" s="364"/>
      <c r="AD1106" s="147" t="s">
        <v>452</v>
      </c>
      <c r="AE1106" s="148"/>
      <c r="AF1106" s="148"/>
      <c r="AG1106" s="148"/>
      <c r="AH1106" s="148"/>
      <c r="AI1106" s="201"/>
    </row>
    <row r="1107" spans="1:35" s="6" customFormat="1" ht="15" customHeight="1" x14ac:dyDescent="0.45">
      <c r="A1107" s="501" t="s">
        <v>155</v>
      </c>
      <c r="B1107" s="481"/>
      <c r="C1107" s="482"/>
      <c r="E1107" s="175"/>
      <c r="F1107" s="175"/>
      <c r="G1107" s="175"/>
      <c r="H1107" s="175"/>
      <c r="I1107" s="175"/>
      <c r="J1107" s="175"/>
      <c r="K1107" s="175"/>
      <c r="L1107" s="175"/>
      <c r="M1107" s="175"/>
      <c r="N1107" s="175"/>
      <c r="O1107" s="175"/>
      <c r="P1107" s="175"/>
      <c r="Q1107" s="175"/>
      <c r="R1107" s="175"/>
      <c r="S1107" s="175"/>
      <c r="T1107" s="175"/>
      <c r="U1107" s="175"/>
      <c r="V1107" s="175"/>
      <c r="W1107" s="175"/>
      <c r="X1107" s="175"/>
      <c r="Y1107" s="466"/>
      <c r="Z1107" s="112"/>
      <c r="AA1107" s="112"/>
      <c r="AB1107" s="112"/>
      <c r="AC1107" s="112"/>
      <c r="AD1107" s="152"/>
      <c r="AE1107" s="153"/>
      <c r="AF1107" s="153"/>
      <c r="AG1107" s="153"/>
      <c r="AH1107" s="153"/>
      <c r="AI1107" s="275"/>
    </row>
    <row r="1108" spans="1:35" s="6" customFormat="1" ht="15" customHeight="1" x14ac:dyDescent="0.45">
      <c r="A1108" s="502"/>
      <c r="B1108" s="483"/>
      <c r="C1108" s="484"/>
      <c r="E1108" s="97" t="s">
        <v>74</v>
      </c>
      <c r="F1108" s="97"/>
      <c r="G1108" s="97"/>
      <c r="H1108" s="97"/>
      <c r="I1108" s="97"/>
      <c r="J1108" s="97"/>
      <c r="K1108" s="97"/>
      <c r="L1108" s="97"/>
      <c r="M1108" s="97"/>
      <c r="N1108" s="51" t="s">
        <v>90</v>
      </c>
      <c r="O1108" s="462" t="str">
        <f>IF(ISBLANK(Inspection_Details_Grade_Crossing_Type),"No Value",IF(Inspection_Details_Grade_Crossing_Type="Public","Public","Private"))</f>
        <v>No Value</v>
      </c>
      <c r="P1108" s="53"/>
      <c r="Q1108" s="463"/>
      <c r="T1108" s="474"/>
      <c r="U1108" s="474"/>
      <c r="V1108" s="474"/>
      <c r="W1108" s="474"/>
      <c r="X1108" s="474"/>
      <c r="Y1108" s="451"/>
      <c r="Z1108" s="451"/>
      <c r="AA1108" s="451"/>
      <c r="AB1108" s="451"/>
      <c r="AC1108" s="451"/>
      <c r="AD1108" s="152"/>
      <c r="AE1108" s="153"/>
      <c r="AF1108" s="153"/>
      <c r="AG1108" s="153"/>
      <c r="AH1108" s="153"/>
      <c r="AI1108" s="275"/>
    </row>
    <row r="1109" spans="1:35" s="6" customFormat="1" ht="15" customHeight="1" x14ac:dyDescent="0.45">
      <c r="A1109" s="502"/>
      <c r="B1109" s="483"/>
      <c r="C1109" s="484"/>
      <c r="D1109" s="231"/>
      <c r="E1109" s="97" t="s">
        <v>420</v>
      </c>
      <c r="F1109" s="97"/>
      <c r="G1109" s="97"/>
      <c r="H1109" s="97"/>
      <c r="I1109" s="97"/>
      <c r="J1109" s="97"/>
      <c r="K1109" s="97"/>
      <c r="L1109" s="97"/>
      <c r="M1109" s="97"/>
      <c r="N1109" s="500" t="s">
        <v>90</v>
      </c>
      <c r="O1109" s="445" t="str">
        <f>IF(ISBLANK(General_Info_Road_Sidewalks),"No Value",IF(General_Info_Road_Sidewalks="Yes","Yes","No"))</f>
        <v>No Value</v>
      </c>
      <c r="P1109" s="445"/>
      <c r="Q1109" s="445"/>
      <c r="R1109" s="445"/>
      <c r="S1109" s="445"/>
      <c r="T1109" s="1"/>
      <c r="U1109" s="1"/>
      <c r="V1109" s="1"/>
      <c r="W1109" s="1"/>
      <c r="X1109" s="1"/>
      <c r="Y1109" s="40"/>
      <c r="Z1109" s="40"/>
      <c r="AA1109" s="40"/>
      <c r="AB1109" s="40"/>
      <c r="AC1109" s="40"/>
      <c r="AD1109" s="152"/>
      <c r="AE1109" s="153"/>
      <c r="AF1109" s="153"/>
      <c r="AG1109" s="153"/>
      <c r="AH1109" s="153"/>
      <c r="AI1109" s="275"/>
    </row>
    <row r="1110" spans="1:35" s="6" customFormat="1" ht="15" customHeight="1" thickBot="1" x14ac:dyDescent="0.5">
      <c r="A1110" s="503"/>
      <c r="B1110" s="504"/>
      <c r="C1110" s="505"/>
      <c r="D1110" s="506"/>
      <c r="E1110" s="111" t="s">
        <v>453</v>
      </c>
      <c r="F1110" s="111"/>
      <c r="G1110" s="111"/>
      <c r="H1110" s="111"/>
      <c r="I1110" s="111"/>
      <c r="J1110" s="111"/>
      <c r="K1110" s="111"/>
      <c r="L1110" s="111"/>
      <c r="M1110" s="111"/>
      <c r="N1110" s="351" t="s">
        <v>90</v>
      </c>
      <c r="O1110" s="445" t="str">
        <f>IF(ISBLANK(General_Info_Rail_Railway_Design_Speed),"No Value",IF(General_Info_Rail_Railway_Design_Speed&gt;80,"Yes","No"))</f>
        <v>No Value</v>
      </c>
      <c r="P1110" s="445"/>
      <c r="Q1110" s="445"/>
      <c r="R1110" s="445"/>
      <c r="S1110" s="445"/>
      <c r="T1110" s="507"/>
      <c r="U1110" s="507"/>
      <c r="V1110" s="507"/>
      <c r="W1110" s="507"/>
      <c r="X1110" s="507"/>
      <c r="Y1110" s="507"/>
      <c r="Z1110" s="507"/>
      <c r="AA1110" s="507"/>
      <c r="AB1110" s="507"/>
      <c r="AC1110" s="507"/>
      <c r="AD1110" s="154"/>
      <c r="AE1110" s="155"/>
      <c r="AF1110" s="155"/>
      <c r="AG1110" s="155"/>
      <c r="AH1110" s="155"/>
      <c r="AI1110" s="194"/>
    </row>
    <row r="1111" spans="1:35" ht="15" customHeight="1" x14ac:dyDescent="0.45">
      <c r="A1111" s="429"/>
      <c r="B1111" s="430"/>
      <c r="C1111" s="431"/>
      <c r="D1111" s="479" t="s">
        <v>454</v>
      </c>
      <c r="E1111" s="433"/>
      <c r="F1111" s="433"/>
      <c r="G1111" s="433"/>
      <c r="H1111" s="433"/>
      <c r="I1111" s="433"/>
      <c r="J1111" s="433"/>
      <c r="K1111" s="433"/>
      <c r="L1111" s="433"/>
      <c r="M1111" s="433"/>
      <c r="N1111" s="433"/>
      <c r="O1111" s="433"/>
      <c r="P1111" s="433"/>
      <c r="Q1111" s="433"/>
      <c r="R1111" s="433"/>
      <c r="S1111" s="433"/>
      <c r="T1111" s="433"/>
      <c r="U1111" s="433"/>
      <c r="V1111" s="433"/>
      <c r="W1111" s="433"/>
      <c r="X1111" s="433"/>
      <c r="Y1111" s="433"/>
      <c r="Z1111" s="433"/>
      <c r="AA1111" s="433"/>
      <c r="AB1111" s="433"/>
      <c r="AC1111" s="434"/>
      <c r="AD1111" s="147" t="s">
        <v>455</v>
      </c>
      <c r="AE1111" s="148"/>
      <c r="AF1111" s="148"/>
      <c r="AG1111" s="148"/>
      <c r="AH1111" s="148"/>
      <c r="AI1111" s="453"/>
    </row>
    <row r="1112" spans="1:35" ht="15" customHeight="1" x14ac:dyDescent="0.45">
      <c r="A1112" s="438"/>
      <c r="B1112" s="47"/>
      <c r="C1112" s="384"/>
      <c r="D1112" s="302" t="s">
        <v>456</v>
      </c>
      <c r="E1112" s="6"/>
      <c r="AC1112" s="25"/>
      <c r="AD1112" s="152"/>
      <c r="AE1112" s="153"/>
      <c r="AF1112" s="153"/>
      <c r="AG1112" s="153"/>
      <c r="AH1112" s="153"/>
      <c r="AI1112" s="455"/>
    </row>
    <row r="1113" spans="1:35" ht="15" customHeight="1" x14ac:dyDescent="0.45">
      <c r="A1113" s="508" t="s">
        <v>155</v>
      </c>
      <c r="B1113" s="92"/>
      <c r="C1113" s="93"/>
      <c r="D1113" s="50" t="s">
        <v>409</v>
      </c>
      <c r="E1113" s="284" t="s">
        <v>457</v>
      </c>
      <c r="F1113" s="284"/>
      <c r="G1113" s="284"/>
      <c r="H1113" s="284"/>
      <c r="I1113" s="284"/>
      <c r="J1113" s="284"/>
      <c r="K1113" s="284"/>
      <c r="L1113" s="284"/>
      <c r="M1113" s="284"/>
      <c r="N1113" s="284"/>
      <c r="O1113" s="284"/>
      <c r="P1113" s="284"/>
      <c r="Q1113" s="284"/>
      <c r="R1113" s="284"/>
      <c r="S1113" s="284"/>
      <c r="T1113" s="284"/>
      <c r="U1113" s="284"/>
      <c r="V1113" s="284"/>
      <c r="W1113" s="284"/>
      <c r="X1113" s="284"/>
      <c r="Y1113" s="464" t="str">
        <f>IF(OR(ISBLANK(General_Info_Road_Sidewalks),ISBLANK(General_Info_Rail_Railway_Design_Speed),ISBLANK($U$1116)),"No Value",IF(AND(General_Info_Road_Sidewalks="Yes",$U$1116="Yes",General_Info_Rail_Railway_Design_Speed&gt;50),"Yes","No"))</f>
        <v>No Value</v>
      </c>
      <c r="Z1113" s="364"/>
      <c r="AA1113" s="364"/>
      <c r="AB1113" s="364"/>
      <c r="AC1113" s="365"/>
      <c r="AD1113" s="152"/>
      <c r="AE1113" s="153"/>
      <c r="AF1113" s="153"/>
      <c r="AG1113" s="153"/>
      <c r="AH1113" s="153"/>
      <c r="AI1113" s="455"/>
    </row>
    <row r="1114" spans="1:35" ht="15" customHeight="1" x14ac:dyDescent="0.45">
      <c r="A1114" s="509"/>
      <c r="B1114" s="103"/>
      <c r="C1114" s="104"/>
      <c r="D1114" s="28"/>
      <c r="E1114" s="175"/>
      <c r="F1114" s="175"/>
      <c r="G1114" s="175"/>
      <c r="H1114" s="175"/>
      <c r="I1114" s="175"/>
      <c r="J1114" s="175"/>
      <c r="K1114" s="175"/>
      <c r="L1114" s="175"/>
      <c r="M1114" s="175"/>
      <c r="N1114" s="175"/>
      <c r="O1114" s="175"/>
      <c r="P1114" s="175"/>
      <c r="Q1114" s="175"/>
      <c r="R1114" s="175"/>
      <c r="S1114" s="175"/>
      <c r="T1114" s="175"/>
      <c r="U1114" s="175"/>
      <c r="V1114" s="175"/>
      <c r="W1114" s="175"/>
      <c r="X1114" s="175"/>
      <c r="Y1114" s="466"/>
      <c r="Z1114" s="112"/>
      <c r="AA1114" s="112"/>
      <c r="AB1114" s="112"/>
      <c r="AC1114" s="375"/>
      <c r="AD1114" s="152"/>
      <c r="AE1114" s="153"/>
      <c r="AF1114" s="153"/>
      <c r="AG1114" s="153"/>
      <c r="AH1114" s="153"/>
      <c r="AI1114" s="455"/>
    </row>
    <row r="1115" spans="1:35" ht="15" customHeight="1" x14ac:dyDescent="0.45">
      <c r="A1115" s="510" t="s">
        <v>180</v>
      </c>
      <c r="B1115" s="126"/>
      <c r="C1115" s="127"/>
      <c r="D1115" s="24"/>
      <c r="E1115" s="96" t="s">
        <v>420</v>
      </c>
      <c r="F1115" s="97"/>
      <c r="G1115" s="97"/>
      <c r="H1115" s="97"/>
      <c r="I1115" s="97"/>
      <c r="J1115" s="97"/>
      <c r="K1115" s="97"/>
      <c r="L1115" s="97"/>
      <c r="M1115" s="97"/>
      <c r="N1115" s="97"/>
      <c r="O1115" s="97"/>
      <c r="P1115" s="97"/>
      <c r="Q1115" s="97"/>
      <c r="R1115" s="97"/>
      <c r="S1115" s="97"/>
      <c r="T1115" s="497" t="s">
        <v>90</v>
      </c>
      <c r="U1115" s="112" t="str">
        <f>IF(ISBLANK(General_Info_Road_Sidewalks),"No Value",IF(General_Info_Road_Sidewalks="Yes","Yes","No"))</f>
        <v>No Value</v>
      </c>
      <c r="V1115" s="112"/>
      <c r="W1115" s="112"/>
      <c r="X1115" s="112"/>
      <c r="Y1115" s="463"/>
      <c r="AC1115" s="25"/>
      <c r="AD1115" s="152"/>
      <c r="AE1115" s="153"/>
      <c r="AF1115" s="153"/>
      <c r="AG1115" s="153"/>
      <c r="AH1115" s="153"/>
      <c r="AI1115" s="455"/>
    </row>
    <row r="1116" spans="1:35" ht="15" customHeight="1" x14ac:dyDescent="0.45">
      <c r="A1116" s="511" t="s">
        <v>101</v>
      </c>
      <c r="B1116" s="512"/>
      <c r="C1116" s="513"/>
      <c r="D1116" s="24"/>
      <c r="E1116" s="514" t="s">
        <v>458</v>
      </c>
      <c r="F1116" s="514"/>
      <c r="G1116" s="514"/>
      <c r="H1116" s="514"/>
      <c r="I1116" s="514"/>
      <c r="J1116" s="514"/>
      <c r="K1116" s="514"/>
      <c r="L1116" s="514"/>
      <c r="M1116" s="514"/>
      <c r="N1116" s="514"/>
      <c r="O1116" s="514"/>
      <c r="P1116" s="514"/>
      <c r="Q1116" s="514"/>
      <c r="R1116" s="514"/>
      <c r="S1116" s="514"/>
      <c r="T1116" s="497" t="s">
        <v>90</v>
      </c>
      <c r="U1116" s="515"/>
      <c r="V1116" s="52"/>
      <c r="W1116" s="52"/>
      <c r="X1116" s="52"/>
      <c r="Y1116" s="200"/>
      <c r="AC1116" s="25"/>
      <c r="AD1116" s="152"/>
      <c r="AE1116" s="153"/>
      <c r="AF1116" s="153"/>
      <c r="AG1116" s="153"/>
      <c r="AH1116" s="153"/>
      <c r="AI1116" s="455"/>
    </row>
    <row r="1117" spans="1:35" ht="15" customHeight="1" thickBot="1" x14ac:dyDescent="0.5">
      <c r="A1117" s="511" t="s">
        <v>101</v>
      </c>
      <c r="B1117" s="512"/>
      <c r="C1117" s="513"/>
      <c r="D1117" s="302"/>
      <c r="E1117" s="97" t="s">
        <v>459</v>
      </c>
      <c r="F1117" s="97"/>
      <c r="G1117" s="97"/>
      <c r="H1117" s="97"/>
      <c r="I1117" s="97"/>
      <c r="J1117" s="97"/>
      <c r="K1117" s="97"/>
      <c r="L1117" s="97"/>
      <c r="M1117" s="97"/>
      <c r="N1117" s="97"/>
      <c r="O1117" s="97"/>
      <c r="P1117" s="97"/>
      <c r="Q1117" s="97"/>
      <c r="R1117" s="97"/>
      <c r="S1117" s="97"/>
      <c r="T1117" s="497" t="s">
        <v>90</v>
      </c>
      <c r="U1117" s="516" t="str">
        <f>IF(ISBLANK(General_Info_Rail_Railway_Design_Speed),"No Value",IF(General_Info_Rail_Railway_Design_Speed&gt;50,"Yes","No"))</f>
        <v>No Value</v>
      </c>
      <c r="V1117" s="516"/>
      <c r="W1117" s="516"/>
      <c r="X1117" s="516"/>
      <c r="Y1117" s="516"/>
      <c r="AC1117" s="25"/>
      <c r="AD1117" s="152"/>
      <c r="AE1117" s="153"/>
      <c r="AF1117" s="153"/>
      <c r="AG1117" s="153"/>
      <c r="AH1117" s="153"/>
      <c r="AI1117" s="455"/>
    </row>
    <row r="1118" spans="1:35" ht="15" customHeight="1" x14ac:dyDescent="0.45">
      <c r="A1118" s="429"/>
      <c r="B1118" s="430"/>
      <c r="C1118" s="431"/>
      <c r="D1118" s="479" t="s">
        <v>460</v>
      </c>
      <c r="E1118" s="433"/>
      <c r="F1118" s="433"/>
      <c r="G1118" s="433"/>
      <c r="H1118" s="433"/>
      <c r="I1118" s="433"/>
      <c r="J1118" s="433"/>
      <c r="K1118" s="433"/>
      <c r="L1118" s="433"/>
      <c r="M1118" s="433"/>
      <c r="N1118" s="433"/>
      <c r="O1118" s="433"/>
      <c r="P1118" s="433"/>
      <c r="Q1118" s="433"/>
      <c r="R1118" s="433"/>
      <c r="S1118" s="433"/>
      <c r="T1118" s="433"/>
      <c r="U1118" s="433"/>
      <c r="V1118" s="433"/>
      <c r="W1118" s="433"/>
      <c r="X1118" s="433"/>
      <c r="Y1118" s="433"/>
      <c r="Z1118" s="433"/>
      <c r="AA1118" s="433"/>
      <c r="AB1118" s="433"/>
      <c r="AC1118" s="434"/>
      <c r="AD1118" s="435" t="s">
        <v>461</v>
      </c>
      <c r="AE1118" s="436"/>
      <c r="AF1118" s="436"/>
      <c r="AG1118" s="436"/>
      <c r="AH1118" s="436"/>
      <c r="AI1118" s="437"/>
    </row>
    <row r="1119" spans="1:35" ht="15" customHeight="1" x14ac:dyDescent="0.45">
      <c r="A1119" s="438"/>
      <c r="B1119" s="47"/>
      <c r="C1119" s="384"/>
      <c r="D1119" s="171" t="s">
        <v>462</v>
      </c>
      <c r="E1119" s="142"/>
      <c r="F1119" s="110"/>
      <c r="G1119" s="110"/>
      <c r="H1119" s="110"/>
      <c r="I1119" s="110"/>
      <c r="J1119" s="110"/>
      <c r="K1119" s="110"/>
      <c r="L1119" s="110"/>
      <c r="M1119" s="110"/>
      <c r="N1119" s="110"/>
      <c r="O1119" s="110"/>
      <c r="P1119" s="110"/>
      <c r="Q1119" s="110"/>
      <c r="R1119" s="110"/>
      <c r="S1119" s="110"/>
      <c r="T1119" s="110"/>
      <c r="U1119" s="110"/>
      <c r="V1119" s="110"/>
      <c r="W1119" s="110"/>
      <c r="X1119" s="110"/>
      <c r="Y1119" s="110"/>
      <c r="Z1119" s="110"/>
      <c r="AA1119" s="110"/>
      <c r="AB1119" s="110"/>
      <c r="AC1119" s="113"/>
      <c r="AD1119" s="152"/>
      <c r="AE1119" s="153"/>
      <c r="AF1119" s="153"/>
      <c r="AG1119" s="153"/>
      <c r="AH1119" s="153"/>
      <c r="AI1119" s="455"/>
    </row>
    <row r="1120" spans="1:35" ht="15" customHeight="1" x14ac:dyDescent="0.45">
      <c r="A1120" s="135"/>
      <c r="B1120" s="126"/>
      <c r="C1120" s="127"/>
      <c r="D1120" s="205"/>
      <c r="E1120" s="124" t="s">
        <v>463</v>
      </c>
      <c r="F1120" s="118"/>
      <c r="G1120" s="118"/>
      <c r="H1120" s="118"/>
      <c r="I1120" s="118"/>
      <c r="J1120" s="118"/>
      <c r="K1120" s="118"/>
      <c r="L1120" s="118"/>
      <c r="M1120" s="118"/>
      <c r="N1120" s="118"/>
      <c r="O1120" s="118"/>
      <c r="P1120" s="118"/>
      <c r="Q1120" s="118"/>
      <c r="R1120" s="118"/>
      <c r="S1120" s="118"/>
      <c r="T1120" s="118"/>
      <c r="U1120" s="118"/>
      <c r="V1120" s="118"/>
      <c r="W1120" s="118"/>
      <c r="X1120" s="118"/>
      <c r="Y1120" s="118"/>
      <c r="Z1120" s="118"/>
      <c r="AA1120" s="118"/>
      <c r="AB1120" s="118"/>
      <c r="AC1120" s="119"/>
      <c r="AD1120" s="214" t="s">
        <v>464</v>
      </c>
      <c r="AE1120" s="215"/>
      <c r="AF1120" s="215"/>
      <c r="AG1120" s="215"/>
      <c r="AH1120" s="215"/>
      <c r="AI1120" s="216"/>
    </row>
    <row r="1121" spans="1:35" ht="15" customHeight="1" x14ac:dyDescent="0.45">
      <c r="A1121" s="517" t="s">
        <v>155</v>
      </c>
      <c r="B1121" s="370"/>
      <c r="C1121" s="370"/>
      <c r="D1121" s="231" t="s">
        <v>409</v>
      </c>
      <c r="E1121" s="6" t="s">
        <v>465</v>
      </c>
      <c r="Y1121" s="466" t="str">
        <f>IF(OR(ISBLANK(Inspection_Details_Grade_Crossing_Type),ISBLANK(General_Info_Rail_No_Trains_Per_Day_Total),ISBLANK(General_Info_Road_AADT_Forecast),GCWS_Warrant_Public_9_1_a="No Value",GCWS_Warrant_Public_9_1_b="No Value",GCWS_Warrant_Public_9_1_c="No Value",GCWS_Warrant_Public_9_1_d_i="No Value",GCWS_Warrant_Public_9_1_d_ii="No Value",GCWS_Warrant_Public_9_1_d_iii="No Value"),"No Value",IF(NOT(Inspection_Details_Grade_Crossing_Type="Public"),"N/A",IF(AND(Inspection_Details_Grade_Crossing_Type="Public",OR(GCWS_Warrant_Public_9_1_a="Yes",GCWS_Warrant_Public_9_1_b="Yes",GCWS_Warrant_Public_9_1_c="Yes",GCWS_Warrant_Public_9_1_d_i="Yes",GCWS_Warrant_Public_9_1_d_ii="Yes",GCWS_Warrant_Public_9_1_d_iii="Yes"),General_Info_Rail_No_Trains_Per_Day_Total*General_Info_Road_AADT_Forecast&gt;=50000),"Yes","No")))</f>
        <v>No Value</v>
      </c>
      <c r="Z1121" s="112"/>
      <c r="AA1121" s="112"/>
      <c r="AB1121" s="112"/>
      <c r="AC1121" s="112"/>
      <c r="AD1121" s="147" t="s">
        <v>466</v>
      </c>
      <c r="AE1121" s="148"/>
      <c r="AF1121" s="148"/>
      <c r="AG1121" s="148"/>
      <c r="AH1121" s="148"/>
      <c r="AI1121" s="453"/>
    </row>
    <row r="1122" spans="1:35" ht="15" customHeight="1" x14ac:dyDescent="0.45">
      <c r="A1122" s="517"/>
      <c r="B1122" s="370"/>
      <c r="C1122" s="370"/>
      <c r="D1122" s="231"/>
      <c r="E1122" s="97" t="s">
        <v>74</v>
      </c>
      <c r="F1122" s="97"/>
      <c r="G1122" s="97"/>
      <c r="H1122" s="97"/>
      <c r="I1122" s="97"/>
      <c r="J1122" s="97"/>
      <c r="K1122" s="97"/>
      <c r="L1122" s="51" t="s">
        <v>90</v>
      </c>
      <c r="M1122" s="462" t="str">
        <f>IF(ISBLANK(Inspection_Details_Grade_Crossing_Type),"No Value",IF(Inspection_Details_Grade_Crossing_Type="Public","Public","Private"))</f>
        <v>No Value</v>
      </c>
      <c r="N1122" s="53"/>
      <c r="O1122" s="463"/>
      <c r="Y1122" s="451"/>
      <c r="Z1122" s="451"/>
      <c r="AA1122" s="451"/>
      <c r="AB1122" s="451"/>
      <c r="AC1122" s="451"/>
      <c r="AD1122" s="152"/>
      <c r="AE1122" s="153"/>
      <c r="AF1122" s="153"/>
      <c r="AG1122" s="153"/>
      <c r="AH1122" s="153"/>
      <c r="AI1122" s="455"/>
    </row>
    <row r="1123" spans="1:35" ht="15" customHeight="1" x14ac:dyDescent="0.45">
      <c r="A1123" s="517"/>
      <c r="B1123" s="370"/>
      <c r="C1123" s="370"/>
      <c r="D1123" s="231"/>
      <c r="E1123" s="397" t="s">
        <v>467</v>
      </c>
      <c r="F1123" s="397"/>
      <c r="G1123" s="397"/>
      <c r="H1123" s="397"/>
      <c r="I1123" s="397"/>
      <c r="J1123" s="397"/>
      <c r="K1123" s="397"/>
      <c r="L1123" s="51" t="s">
        <v>90</v>
      </c>
      <c r="M1123" s="518" t="str">
        <f>IF(OR(GCWS_Warrant_Public_9_1_a="No Value",GCWS_Warrant_Public_9_1_b="No Value",GCWS_Warrant_Public_9_1_c="No Value",GCWS_Warrant_Public_9_1_d_i="No Value",GCWS_Warrant_Public_9_1_d_ii="No Value",GCWS_Warrant_Public_9_1_d_iii="No Value"),"No Value",IF(OR(GCWS_Warrant_Public_9_1_a="Yes",GCWS_Warrant_Public_9_1_b="No Value",GCWS_Warrant_Public_9_1_c="Yes",GCWS_Warrant_Public_9_1_d_i="Yes",GCWS_Warrant_Public_9_1_d_ii="Yes",GCWS_Warrant_Public_9_1_d_iii="Yes"),"Yes","No"))</f>
        <v>No Value</v>
      </c>
      <c r="N1123" s="519"/>
      <c r="O1123" s="520"/>
      <c r="Y1123" s="451"/>
      <c r="Z1123" s="451"/>
      <c r="AA1123" s="451"/>
      <c r="AB1123" s="451"/>
      <c r="AC1123" s="451"/>
      <c r="AD1123" s="152"/>
      <c r="AE1123" s="153"/>
      <c r="AF1123" s="153"/>
      <c r="AG1123" s="153"/>
      <c r="AH1123" s="153"/>
      <c r="AI1123" s="455"/>
    </row>
    <row r="1124" spans="1:35" ht="15" customHeight="1" x14ac:dyDescent="0.45">
      <c r="A1124" s="517"/>
      <c r="B1124" s="370"/>
      <c r="C1124" s="370"/>
      <c r="E1124" s="97" t="s">
        <v>412</v>
      </c>
      <c r="F1124" s="97"/>
      <c r="G1124" s="97"/>
      <c r="H1124" s="97"/>
      <c r="I1124" s="97"/>
      <c r="J1124" s="97"/>
      <c r="K1124" s="97"/>
      <c r="L1124" s="51" t="s">
        <v>90</v>
      </c>
      <c r="M1124" s="518" t="str">
        <f>IF(ISBLANK(General_Info_Road_AADT_Current), "No Value", General_Info_Road_AADT_Current)</f>
        <v>No Value</v>
      </c>
      <c r="N1124" s="519"/>
      <c r="O1124" s="520"/>
      <c r="P1124" s="6" t="s">
        <v>118</v>
      </c>
      <c r="AD1124" s="152"/>
      <c r="AE1124" s="153"/>
      <c r="AF1124" s="153"/>
      <c r="AG1124" s="153"/>
      <c r="AH1124" s="153"/>
      <c r="AI1124" s="455"/>
    </row>
    <row r="1125" spans="1:35" ht="15" customHeight="1" x14ac:dyDescent="0.45">
      <c r="A1125" s="517"/>
      <c r="B1125" s="370"/>
      <c r="C1125" s="370"/>
      <c r="E1125" s="97" t="s">
        <v>413</v>
      </c>
      <c r="F1125" s="97"/>
      <c r="G1125" s="97"/>
      <c r="H1125" s="97"/>
      <c r="I1125" s="97"/>
      <c r="J1125" s="97"/>
      <c r="K1125" s="97"/>
      <c r="L1125" s="51" t="s">
        <v>90</v>
      </c>
      <c r="M1125" s="521" t="str">
        <f>IF(ISBLANK(General_Info_Rail_No_Trains_Per_Day_Total), "No Value", General_Info_Rail_No_Trains_Per_Day_Total)</f>
        <v>No Value</v>
      </c>
      <c r="N1125" s="522"/>
      <c r="O1125" s="523"/>
      <c r="P1125" s="6" t="s">
        <v>414</v>
      </c>
      <c r="U1125" s="51"/>
      <c r="V1125" s="98"/>
      <c r="W1125" s="98"/>
      <c r="X1125" s="98"/>
      <c r="Y1125" s="6"/>
      <c r="AD1125" s="152"/>
      <c r="AE1125" s="153"/>
      <c r="AF1125" s="153"/>
      <c r="AG1125" s="153"/>
      <c r="AH1125" s="153"/>
      <c r="AI1125" s="455"/>
    </row>
    <row r="1126" spans="1:35" ht="15" customHeight="1" x14ac:dyDescent="0.45">
      <c r="A1126" s="524"/>
      <c r="B1126" s="373"/>
      <c r="C1126" s="373"/>
      <c r="D1126" s="28"/>
      <c r="E1126" s="97" t="s">
        <v>415</v>
      </c>
      <c r="F1126" s="97"/>
      <c r="G1126" s="97"/>
      <c r="H1126" s="97"/>
      <c r="I1126" s="97"/>
      <c r="J1126" s="97"/>
      <c r="K1126" s="97"/>
      <c r="L1126" s="51" t="s">
        <v>90</v>
      </c>
      <c r="M1126" s="525" t="str">
        <f>IF(OR(ISBLANK(General_Info_Rail_No_Trains_Per_Day_Total),ISBLANK(General_Info_Road_AADT_Current)), "No Value", General_Info_Rail_No_Trains_Per_Day_Total*General_Info_Road_AADT_Current)</f>
        <v>No Value</v>
      </c>
      <c r="N1126" s="526"/>
      <c r="O1126" s="526"/>
      <c r="P1126" s="527"/>
      <c r="Q1126" s="6" t="s">
        <v>468</v>
      </c>
      <c r="AD1126" s="154"/>
      <c r="AE1126" s="155"/>
      <c r="AF1126" s="155"/>
      <c r="AG1126" s="155"/>
      <c r="AH1126" s="155"/>
      <c r="AI1126" s="439"/>
    </row>
    <row r="1127" spans="1:35" ht="15" customHeight="1" x14ac:dyDescent="0.45">
      <c r="A1127" s="528" t="s">
        <v>155</v>
      </c>
      <c r="B1127" s="327"/>
      <c r="C1127" s="328"/>
      <c r="D1127" s="50" t="s">
        <v>417</v>
      </c>
      <c r="E1127" s="87" t="s">
        <v>469</v>
      </c>
      <c r="F1127" s="87"/>
      <c r="G1127" s="87"/>
      <c r="H1127" s="87"/>
      <c r="I1127" s="87"/>
      <c r="J1127" s="87"/>
      <c r="K1127" s="87"/>
      <c r="L1127" s="87"/>
      <c r="M1127" s="87"/>
      <c r="N1127" s="87"/>
      <c r="O1127" s="87"/>
      <c r="P1127" s="87"/>
      <c r="Q1127" s="87"/>
      <c r="R1127" s="87"/>
      <c r="S1127" s="87"/>
      <c r="T1127" s="87"/>
      <c r="U1127" s="87"/>
      <c r="V1127" s="87"/>
      <c r="W1127" s="87"/>
      <c r="X1127" s="87"/>
      <c r="Y1127" s="53" t="str">
        <f>IF(OR(ISBLANK(Inspection_Details_Grade_Crossing_Type),GCWS_Warrant_Public_9_1_a="No Value",GCWS_Warrant_Public_9_1_b="No Value",GCWS_Warrant_Public_9_1_c="No Value",GCWS_Warrant_Public_9_1_d_i="No Value",GCWS_Warrant_Public_9_1_d_ii="No Value",GCWS_Warrant_Public_9_1_d_iii="No Value",ISBLANK(General_Info_Rail_No_Tracks_Total)),"No Value",IF(NOT(Inspection_Details_Grade_Crossing_Type="Public"),"N/A",IF(AND(OR(GCWS_Warrant_Public_9_1_a="Yes",GCWS_Warrant_Public_9_1_b="Yes",GCWS_Warrant_Public_9_1_c="Yes",GCWS_Warrant_Public_9_1_d_i="Yes",GCWS_Warrant_Public_9_1_d_ii="Yes",Y1080="Yes"),General_Info_Rail_No_Tracks_Total&gt;=2),"Yes","No")))</f>
        <v>No Value</v>
      </c>
      <c r="Z1127" s="53"/>
      <c r="AA1127" s="53"/>
      <c r="AB1127" s="53"/>
      <c r="AC1127" s="463"/>
      <c r="AD1127" s="147" t="s">
        <v>470</v>
      </c>
      <c r="AE1127" s="148"/>
      <c r="AF1127" s="148"/>
      <c r="AG1127" s="148"/>
      <c r="AH1127" s="148"/>
      <c r="AI1127" s="453"/>
    </row>
    <row r="1128" spans="1:35" ht="15" customHeight="1" x14ac:dyDescent="0.45">
      <c r="A1128" s="517"/>
      <c r="B1128" s="370"/>
      <c r="C1128" s="371"/>
      <c r="D1128" s="28"/>
      <c r="E1128" s="97" t="s">
        <v>74</v>
      </c>
      <c r="F1128" s="97"/>
      <c r="G1128" s="97"/>
      <c r="H1128" s="97"/>
      <c r="I1128" s="97"/>
      <c r="J1128" s="97"/>
      <c r="K1128" s="97"/>
      <c r="L1128" s="97"/>
      <c r="M1128" s="97"/>
      <c r="N1128" s="97"/>
      <c r="O1128" s="97"/>
      <c r="P1128" s="97"/>
      <c r="Q1128" s="97"/>
      <c r="R1128" s="497" t="s">
        <v>90</v>
      </c>
      <c r="S1128" s="462" t="str">
        <f>IF(ISBLANK(Inspection_Details_Grade_Crossing_Type),"No Value",IF(Inspection_Details_Grade_Crossing_Type="Public","Public","Private"))</f>
        <v>No Value</v>
      </c>
      <c r="T1128" s="53"/>
      <c r="U1128" s="463"/>
      <c r="Y1128" s="451"/>
      <c r="Z1128" s="451"/>
      <c r="AA1128" s="451"/>
      <c r="AB1128" s="451"/>
      <c r="AC1128" s="452"/>
      <c r="AD1128" s="152"/>
      <c r="AE1128" s="153"/>
      <c r="AF1128" s="153"/>
      <c r="AG1128" s="153"/>
      <c r="AH1128" s="153"/>
      <c r="AI1128" s="455"/>
    </row>
    <row r="1129" spans="1:35" ht="15" customHeight="1" x14ac:dyDescent="0.45">
      <c r="A1129" s="517"/>
      <c r="B1129" s="370"/>
      <c r="C1129" s="371"/>
      <c r="D1129" s="28"/>
      <c r="E1129" s="397" t="s">
        <v>467</v>
      </c>
      <c r="F1129" s="397"/>
      <c r="G1129" s="397"/>
      <c r="H1129" s="397"/>
      <c r="I1129" s="397"/>
      <c r="J1129" s="397"/>
      <c r="K1129" s="397"/>
      <c r="L1129" s="397"/>
      <c r="M1129" s="397"/>
      <c r="N1129" s="397"/>
      <c r="O1129" s="397"/>
      <c r="P1129" s="397"/>
      <c r="Q1129" s="397"/>
      <c r="R1129" s="497" t="s">
        <v>90</v>
      </c>
      <c r="S1129" s="525" t="str">
        <f>IF(OR(GCWS_Warrant_Public_9_1_a="No Value",GCWS_Warrant_Public_9_1_b="No Value",GCWS_Warrant_Public_9_1_c="No Value",GCWS_Warrant_Public_9_1_d_i="No Value",GCWS_Warrant_Public_9_1_d_ii="No Value",GCWS_Warrant_Public_9_1_d_iii="No Value"),"No Value",IF(OR(GCWS_Warrant_Public_9_1_a="Yes",GCWS_Warrant_Public_9_1_b="No Value",GCWS_Warrant_Public_9_1_c="Yes",GCWS_Warrant_Public_9_1_d_i="Yes",GCWS_Warrant_Public_9_1_d_ii="Yes",GCWS_Warrant_Public_9_1_d_iii="Yes"),"Yes","No"))</f>
        <v>No Value</v>
      </c>
      <c r="T1129" s="526"/>
      <c r="U1129" s="527"/>
      <c r="Y1129" s="451"/>
      <c r="Z1129" s="451"/>
      <c r="AA1129" s="451"/>
      <c r="AB1129" s="451"/>
      <c r="AC1129" s="452"/>
      <c r="AD1129" s="152"/>
      <c r="AE1129" s="153"/>
      <c r="AF1129" s="153"/>
      <c r="AG1129" s="153"/>
      <c r="AH1129" s="153"/>
      <c r="AI1129" s="455"/>
    </row>
    <row r="1130" spans="1:35" ht="15" customHeight="1" x14ac:dyDescent="0.45">
      <c r="A1130" s="517"/>
      <c r="B1130" s="370"/>
      <c r="C1130" s="371"/>
      <c r="D1130" s="468"/>
      <c r="E1130" s="111" t="s">
        <v>447</v>
      </c>
      <c r="F1130" s="111"/>
      <c r="G1130" s="111"/>
      <c r="H1130" s="111"/>
      <c r="I1130" s="111"/>
      <c r="J1130" s="111"/>
      <c r="K1130" s="111"/>
      <c r="L1130" s="111"/>
      <c r="M1130" s="111"/>
      <c r="N1130" s="111"/>
      <c r="O1130" s="111"/>
      <c r="P1130" s="111"/>
      <c r="Q1130" s="111"/>
      <c r="R1130" s="499" t="s">
        <v>90</v>
      </c>
      <c r="S1130" s="462" t="str">
        <f>IF(ISBLANK(General_Info_Rail_No_Tracks_Total),"No Value",IF(General_Info_Rail_No_Tracks_Total&gt;=2,"Yes","No"))</f>
        <v>No Value</v>
      </c>
      <c r="T1130" s="53"/>
      <c r="U1130" s="53"/>
      <c r="V1130" s="53"/>
      <c r="W1130" s="463"/>
      <c r="X1130" s="110"/>
      <c r="Y1130" s="380"/>
      <c r="Z1130" s="380"/>
      <c r="AA1130" s="380"/>
      <c r="AB1130" s="380"/>
      <c r="AC1130" s="529"/>
      <c r="AD1130" s="152"/>
      <c r="AE1130" s="153"/>
      <c r="AF1130" s="153"/>
      <c r="AG1130" s="153"/>
      <c r="AH1130" s="153"/>
      <c r="AI1130" s="455"/>
    </row>
    <row r="1131" spans="1:35" ht="15" customHeight="1" x14ac:dyDescent="0.45">
      <c r="A1131" s="530" t="s">
        <v>155</v>
      </c>
      <c r="B1131" s="531"/>
      <c r="C1131" s="532"/>
      <c r="D1131" s="28" t="s">
        <v>422</v>
      </c>
      <c r="E1131" s="87" t="s">
        <v>471</v>
      </c>
      <c r="F1131" s="87"/>
      <c r="G1131" s="87"/>
      <c r="H1131" s="87"/>
      <c r="I1131" s="87"/>
      <c r="J1131" s="87"/>
      <c r="K1131" s="87"/>
      <c r="L1131" s="87"/>
      <c r="M1131" s="87"/>
      <c r="N1131" s="87"/>
      <c r="O1131" s="87"/>
      <c r="P1131" s="87"/>
      <c r="Q1131" s="87"/>
      <c r="R1131" s="87"/>
      <c r="S1131" s="87"/>
      <c r="T1131" s="87"/>
      <c r="U1131" s="87"/>
      <c r="V1131" s="87"/>
      <c r="W1131" s="87"/>
      <c r="X1131" s="268"/>
      <c r="Y1131" s="462" t="str">
        <f>IF(OR(ISBLANK(Inspection_Details_Grade_Crossing_Type),ISBLANK(General_Info_Rail_Railway_Design_Speed),GCWS_Warrant_Public_9_1_a="No Value",GCWS_Warrant_Public_9_1_b="No Value",GCWS_Warrant_Public_9_1_c="No Value",GCWS_Warrant_Public_9_1_d_i="No Value",GCWS_Warrant_Public_9_1_d_ii="No Value",GCWS_Warrant_Public_9_1_d_iii="No Value"),"No Value",IF(NOT(Inspection_Details_Grade_Crossing_Type="Public"),"N/A",IF(AND(Inspection_Details_Grade_Crossing_Type="Public",OR(GCWS_Warrant_Public_9_1_a="Yes",GCWS_Warrant_Public_9_1_b="Yes",GCWS_Warrant_Public_9_1_c="Yes",GCWS_Warrant_Public_9_1_d_i="Yes",GCWS_Warrant_Public_9_1_d_ii="Yes",GCWS_Warrant_Public_9_1_d_iii="Yes"),General_Info_Rail_Railway_Design_Speed&gt;50),"Yes","No")))</f>
        <v>No Value</v>
      </c>
      <c r="Z1131" s="53"/>
      <c r="AA1131" s="53"/>
      <c r="AB1131" s="53"/>
      <c r="AC1131" s="463"/>
      <c r="AD1131" s="147" t="s">
        <v>472</v>
      </c>
      <c r="AE1131" s="148"/>
      <c r="AF1131" s="148"/>
      <c r="AG1131" s="148"/>
      <c r="AH1131" s="148"/>
      <c r="AI1131" s="453"/>
    </row>
    <row r="1132" spans="1:35" ht="15" customHeight="1" x14ac:dyDescent="0.45">
      <c r="A1132" s="533"/>
      <c r="B1132" s="534"/>
      <c r="C1132" s="535"/>
      <c r="D1132" s="231"/>
      <c r="E1132" s="97" t="s">
        <v>74</v>
      </c>
      <c r="F1132" s="97"/>
      <c r="G1132" s="97"/>
      <c r="H1132" s="97"/>
      <c r="I1132" s="97"/>
      <c r="J1132" s="97"/>
      <c r="K1132" s="97"/>
      <c r="L1132" s="97"/>
      <c r="M1132" s="97"/>
      <c r="N1132" s="97"/>
      <c r="O1132" s="97"/>
      <c r="P1132" s="97"/>
      <c r="Q1132" s="97"/>
      <c r="R1132" s="497" t="s">
        <v>90</v>
      </c>
      <c r="S1132" s="462" t="str">
        <f>IF(ISBLANK(Inspection_Details_Grade_Crossing_Type),"No Value",IF(Inspection_Details_Grade_Crossing_Type="Public","Public","Private"))</f>
        <v>No Value</v>
      </c>
      <c r="T1132" s="53"/>
      <c r="U1132" s="463"/>
      <c r="Y1132" s="451"/>
      <c r="Z1132" s="451"/>
      <c r="AA1132" s="451"/>
      <c r="AB1132" s="451"/>
      <c r="AC1132" s="451"/>
      <c r="AD1132" s="152"/>
      <c r="AE1132" s="153"/>
      <c r="AF1132" s="153"/>
      <c r="AG1132" s="153"/>
      <c r="AH1132" s="153"/>
      <c r="AI1132" s="455"/>
    </row>
    <row r="1133" spans="1:35" ht="15" customHeight="1" x14ac:dyDescent="0.45">
      <c r="A1133" s="533"/>
      <c r="B1133" s="534"/>
      <c r="C1133" s="535"/>
      <c r="D1133" s="231"/>
      <c r="E1133" s="397" t="s">
        <v>467</v>
      </c>
      <c r="F1133" s="397"/>
      <c r="G1133" s="397"/>
      <c r="H1133" s="397"/>
      <c r="I1133" s="397"/>
      <c r="J1133" s="397"/>
      <c r="K1133" s="397"/>
      <c r="L1133" s="397"/>
      <c r="M1133" s="397"/>
      <c r="N1133" s="397"/>
      <c r="O1133" s="397"/>
      <c r="P1133" s="397"/>
      <c r="Q1133" s="397"/>
      <c r="R1133" s="497" t="s">
        <v>90</v>
      </c>
      <c r="S1133" s="518" t="str">
        <f>IF(OR(GCWS_Warrant_Public_9_1_a="No Value",GCWS_Warrant_Public_9_1_b="No Value",GCWS_Warrant_Public_9_1_c="No Value",GCWS_Warrant_Public_9_1_d_i="No Value",GCWS_Warrant_Public_9_1_d_ii="No Value",GCWS_Warrant_Public_9_1_d_iii="No Value"),"No Value",IF(OR(GCWS_Warrant_Public_9_1_a="Yes",GCWS_Warrant_Public_9_1_b="No Value",GCWS_Warrant_Public_9_1_c="Yes",GCWS_Warrant_Public_9_1_d_i="Yes",GCWS_Warrant_Public_9_1_d_ii="Yes",GCWS_Warrant_Public_9_1_d_iii="Yes"),"Yes","No"))</f>
        <v>No Value</v>
      </c>
      <c r="T1133" s="519"/>
      <c r="U1133" s="520"/>
      <c r="Y1133" s="451"/>
      <c r="Z1133" s="451"/>
      <c r="AA1133" s="451"/>
      <c r="AB1133" s="451"/>
      <c r="AC1133" s="451"/>
      <c r="AD1133" s="152"/>
      <c r="AE1133" s="153"/>
      <c r="AF1133" s="153"/>
      <c r="AG1133" s="153"/>
      <c r="AH1133" s="153"/>
      <c r="AI1133" s="455"/>
    </row>
    <row r="1134" spans="1:35" ht="15" customHeight="1" x14ac:dyDescent="0.45">
      <c r="A1134" s="536"/>
      <c r="B1134" s="537"/>
      <c r="C1134" s="538"/>
      <c r="D1134" s="231"/>
      <c r="E1134" s="97" t="s">
        <v>453</v>
      </c>
      <c r="F1134" s="97"/>
      <c r="G1134" s="97"/>
      <c r="H1134" s="97"/>
      <c r="I1134" s="97"/>
      <c r="J1134" s="97"/>
      <c r="K1134" s="97"/>
      <c r="L1134" s="97"/>
      <c r="M1134" s="97"/>
      <c r="N1134" s="97"/>
      <c r="O1134" s="97"/>
      <c r="P1134" s="97"/>
      <c r="Q1134" s="97"/>
      <c r="R1134" s="497" t="s">
        <v>90</v>
      </c>
      <c r="S1134" s="462" t="str">
        <f>IF(ISBLANK(General_Info_Rail_Railway_Design_Speed),"No Value",IF(General_Info_Rail_Railway_Design_Speed&gt;50,"Yes","No"))</f>
        <v>No Value</v>
      </c>
      <c r="T1134" s="53"/>
      <c r="U1134" s="53"/>
      <c r="V1134" s="53"/>
      <c r="W1134" s="463"/>
      <c r="Y1134" s="451"/>
      <c r="Z1134" s="451"/>
      <c r="AA1134" s="451"/>
      <c r="AB1134" s="451"/>
      <c r="AC1134" s="451"/>
      <c r="AD1134" s="152"/>
      <c r="AE1134" s="153"/>
      <c r="AF1134" s="153"/>
      <c r="AG1134" s="153"/>
      <c r="AH1134" s="153"/>
      <c r="AI1134" s="455"/>
    </row>
    <row r="1135" spans="1:35" ht="15" customHeight="1" x14ac:dyDescent="0.45">
      <c r="A1135" s="530" t="s">
        <v>155</v>
      </c>
      <c r="B1135" s="531"/>
      <c r="C1135" s="532"/>
      <c r="D1135" s="50" t="s">
        <v>425</v>
      </c>
      <c r="E1135" s="175" t="s">
        <v>433</v>
      </c>
      <c r="F1135" s="175"/>
      <c r="G1135" s="175"/>
      <c r="H1135" s="175"/>
      <c r="I1135" s="175"/>
      <c r="J1135" s="175"/>
      <c r="K1135" s="175"/>
      <c r="L1135" s="175"/>
      <c r="M1135" s="175"/>
      <c r="N1135" s="175"/>
      <c r="O1135" s="175"/>
      <c r="P1135" s="175"/>
      <c r="Q1135" s="175"/>
      <c r="R1135" s="175"/>
      <c r="S1135" s="175"/>
      <c r="T1135" s="175"/>
      <c r="U1135" s="175"/>
      <c r="V1135" s="175"/>
      <c r="W1135" s="175"/>
      <c r="X1135" s="175"/>
      <c r="Y1135" s="162" t="str">
        <f>IF(OR(ISBLANK(Inspection_Details_Grade_Crossing_Type),ISBLANK(Location_of_Grade_Crossing_Nearest_Intersection_Stop_N_or_E_Approach),ISBLANK(Location_of_Grade_Crossing_Nearest_Intersection_Stop_S_of_W_Approach),GCWS_Warrant_Public_9_1_a="No Value",GCWS_Warrant_Public_9_1_b="No Value",GCWS_Warrant_Public_9_1_d_i="No Value",GCWS_Warrant_Public_9_1_d_ii="No Value",GCWS_Warrant_Public_9_1_d_iii="No Value"),"No Value",IF(NOT(Inspection_Details_Grade_Crossing_Type="Public"),"N/A",IF(AND(Inspection_Details_Grade_Crossing_Type="Public",OR(GCWS_Warrant_Public_9_1_a="Yes",GCWS_Warrant_Public_9_1_b="Yes",GCWS_Warrant_Public_9_1_c="Yes",GCWS_Warrant_Public_9_1_d_i="Yes",GCWS_Warrant_Public_9_1_d_ii="Yes",GCWS_Warrant_Public_9_1_d_iii="Yes"),OR(AND(Location_of_Grade_Crossing_Nearest_Intersection_Stop_N_or_E_Approach&gt;0,Location_of_Grade_Crossing_Nearest_Intersection_Stop_N_or_E_Approach&lt;30),AND(Location_of_Grade_Crossing_Nearest_Intersection_Stop_S_of_W_Approach&gt;0,Location_of_Grade_Crossing_Nearest_Intersection_Stop_S_of_W_Approach&lt;30))),"Yes","No")))</f>
        <v>No Value</v>
      </c>
      <c r="Z1135" s="162"/>
      <c r="AA1135" s="162"/>
      <c r="AB1135" s="162"/>
      <c r="AC1135" s="163"/>
      <c r="AD1135" s="147" t="s">
        <v>473</v>
      </c>
      <c r="AE1135" s="148"/>
      <c r="AF1135" s="148"/>
      <c r="AG1135" s="148"/>
      <c r="AH1135" s="148"/>
      <c r="AI1135" s="453"/>
    </row>
    <row r="1136" spans="1:35" ht="15" customHeight="1" x14ac:dyDescent="0.45">
      <c r="A1136" s="533"/>
      <c r="B1136" s="534"/>
      <c r="C1136" s="535"/>
      <c r="D1136" s="28"/>
      <c r="E1136" s="175"/>
      <c r="F1136" s="175"/>
      <c r="G1136" s="175"/>
      <c r="H1136" s="175"/>
      <c r="I1136" s="175"/>
      <c r="J1136" s="175"/>
      <c r="K1136" s="175"/>
      <c r="L1136" s="175"/>
      <c r="M1136" s="175"/>
      <c r="N1136" s="175"/>
      <c r="O1136" s="175"/>
      <c r="P1136" s="175"/>
      <c r="Q1136" s="175"/>
      <c r="R1136" s="175"/>
      <c r="S1136" s="175"/>
      <c r="T1136" s="175"/>
      <c r="U1136" s="175"/>
      <c r="V1136" s="175"/>
      <c r="W1136" s="175"/>
      <c r="X1136" s="175"/>
      <c r="Y1136" s="162"/>
      <c r="Z1136" s="162"/>
      <c r="AA1136" s="162"/>
      <c r="AB1136" s="162"/>
      <c r="AC1136" s="163"/>
      <c r="AD1136" s="152"/>
      <c r="AE1136" s="153"/>
      <c r="AF1136" s="153"/>
      <c r="AG1136" s="153"/>
      <c r="AH1136" s="153"/>
      <c r="AI1136" s="455"/>
    </row>
    <row r="1137" spans="1:35" ht="15" customHeight="1" x14ac:dyDescent="0.45">
      <c r="A1137" s="533"/>
      <c r="B1137" s="534"/>
      <c r="C1137" s="535"/>
      <c r="D1137" s="28"/>
      <c r="E1137" s="97" t="s">
        <v>74</v>
      </c>
      <c r="F1137" s="97"/>
      <c r="G1137" s="97"/>
      <c r="H1137" s="97"/>
      <c r="I1137" s="97"/>
      <c r="J1137" s="97"/>
      <c r="K1137" s="97"/>
      <c r="L1137" s="97"/>
      <c r="M1137" s="97"/>
      <c r="N1137" s="97"/>
      <c r="O1137" s="97"/>
      <c r="P1137" s="97"/>
      <c r="Q1137" s="97"/>
      <c r="R1137" s="497" t="s">
        <v>90</v>
      </c>
      <c r="S1137" s="462" t="str">
        <f>IF(ISBLANK(Inspection_Details_Grade_Crossing_Type),"No Value",IF(Inspection_Details_Grade_Crossing_Type="Public","Public","Private"))</f>
        <v>No Value</v>
      </c>
      <c r="T1137" s="53"/>
      <c r="U1137" s="463"/>
      <c r="Y1137" s="451"/>
      <c r="Z1137" s="451"/>
      <c r="AA1137" s="451"/>
      <c r="AB1137" s="451"/>
      <c r="AC1137" s="451"/>
      <c r="AD1137" s="152"/>
      <c r="AE1137" s="153"/>
      <c r="AF1137" s="153"/>
      <c r="AG1137" s="153"/>
      <c r="AH1137" s="153"/>
      <c r="AI1137" s="455"/>
    </row>
    <row r="1138" spans="1:35" ht="15" customHeight="1" x14ac:dyDescent="0.45">
      <c r="A1138" s="533"/>
      <c r="B1138" s="534"/>
      <c r="C1138" s="535"/>
      <c r="D1138" s="28"/>
      <c r="E1138" s="397" t="s">
        <v>467</v>
      </c>
      <c r="F1138" s="397"/>
      <c r="G1138" s="397"/>
      <c r="H1138" s="397"/>
      <c r="I1138" s="397"/>
      <c r="J1138" s="397"/>
      <c r="K1138" s="397"/>
      <c r="L1138" s="397"/>
      <c r="M1138" s="397"/>
      <c r="N1138" s="397"/>
      <c r="O1138" s="397"/>
      <c r="P1138" s="397"/>
      <c r="Q1138" s="397"/>
      <c r="R1138" s="497" t="s">
        <v>90</v>
      </c>
      <c r="S1138" s="518" t="str">
        <f>IF(OR(GCWS_Warrant_Public_9_1_a="No Value",GCWS_Warrant_Public_9_1_b="No Value",GCWS_Warrant_Public_9_1_c="No Value",GCWS_Warrant_Public_9_1_d_i="No Value",GCWS_Warrant_Public_9_1_d_ii="No Value",GCWS_Warrant_Public_9_1_d_iii="No Value"),"No Value",IF(OR(GCWS_Warrant_Public_9_1_a="Yes",GCWS_Warrant_Public_9_1_b="No Value",GCWS_Warrant_Public_9_1_c="Yes",GCWS_Warrant_Public_9_1_d_i="Yes",GCWS_Warrant_Public_9_1_d_ii="Yes",GCWS_Warrant_Public_9_1_d_iii="Yes"),"Yes","No"))</f>
        <v>No Value</v>
      </c>
      <c r="T1138" s="519"/>
      <c r="U1138" s="520"/>
      <c r="Y1138" s="451"/>
      <c r="Z1138" s="451"/>
      <c r="AA1138" s="451"/>
      <c r="AB1138" s="451"/>
      <c r="AC1138" s="451"/>
      <c r="AD1138" s="152"/>
      <c r="AE1138" s="153"/>
      <c r="AF1138" s="153"/>
      <c r="AG1138" s="153"/>
      <c r="AH1138" s="153"/>
      <c r="AI1138" s="455"/>
    </row>
    <row r="1139" spans="1:35" ht="15" customHeight="1" x14ac:dyDescent="0.45">
      <c r="A1139" s="533"/>
      <c r="B1139" s="534"/>
      <c r="C1139" s="535"/>
      <c r="D1139" s="28"/>
      <c r="E1139" s="6" t="s">
        <v>435</v>
      </c>
      <c r="R1139" s="497" t="s">
        <v>90</v>
      </c>
      <c r="S1139" s="462" t="str">
        <f>IF(OR(AND(Location_of_Grade_Crossing_Nearest_Intersection_Stop_N_or_E_Approach&gt;0,Location_of_Grade_Crossing_Nearest_Intersection_Stop_N_or_E_Approach&lt;30),AND(Location_of_Grade_Crossing_Nearest_Intersection_Stop_S_of_W_Approach&gt;0,Location_of_Grade_Crossing_Nearest_Intersection_Stop_S_of_W_Approach&lt;30)),"Yes","No")</f>
        <v>No</v>
      </c>
      <c r="T1139" s="53"/>
      <c r="U1139" s="53"/>
      <c r="V1139" s="53"/>
      <c r="W1139" s="463"/>
      <c r="Y1139" s="451"/>
      <c r="Z1139" s="451"/>
      <c r="AA1139" s="451"/>
      <c r="AB1139" s="451"/>
      <c r="AC1139" s="451"/>
      <c r="AD1139" s="152"/>
      <c r="AE1139" s="153"/>
      <c r="AF1139" s="153"/>
      <c r="AG1139" s="153"/>
      <c r="AH1139" s="153"/>
      <c r="AI1139" s="455"/>
    </row>
    <row r="1140" spans="1:35" ht="15" customHeight="1" x14ac:dyDescent="0.45">
      <c r="A1140" s="530" t="s">
        <v>155</v>
      </c>
      <c r="B1140" s="531"/>
      <c r="C1140" s="531"/>
      <c r="D1140" s="50" t="s">
        <v>474</v>
      </c>
      <c r="E1140" s="284" t="s">
        <v>437</v>
      </c>
      <c r="F1140" s="284"/>
      <c r="G1140" s="284"/>
      <c r="H1140" s="284"/>
      <c r="I1140" s="284"/>
      <c r="J1140" s="284"/>
      <c r="K1140" s="284"/>
      <c r="L1140" s="284"/>
      <c r="M1140" s="284"/>
      <c r="N1140" s="284"/>
      <c r="O1140" s="284"/>
      <c r="P1140" s="284"/>
      <c r="Q1140" s="284"/>
      <c r="R1140" s="284"/>
      <c r="S1140" s="284"/>
      <c r="T1140" s="284"/>
      <c r="U1140" s="284"/>
      <c r="V1140" s="284"/>
      <c r="W1140" s="284"/>
      <c r="X1140" s="284"/>
      <c r="Y1140" s="464" t="str">
        <f>IF(OR(ISBLANK(Inspection_Details_Grade_Crossing_Type),ISBLANK(Location_of_Grade_Crossing_Nearest_Intersection_Signalized_N_or_E_Approach),ISBLANK(Location_of_Grade_Crossing_Nearest_Intersection_Signalized_S_of_W_Approach),GCWS_Warrant_Public_9_1_a="No Value",GCWS_Warrant_Public_9_1_b="No Value",GCWS_Warrant_Public_9_1_d_i="No Value",GCWS_Warrant_Public_9_1_d_ii="No Value",GCWS_Warrant_Public_9_1_d_iii="No Value"),"No Value",IF(NOT(Inspection_Details_Grade_Crossing_Type="Public"),"N/A",IF(AND(Inspection_Details_Grade_Crossing_Type="Public",OR(GCWS_Warrant_Public_9_1_a="Yes",GCWS_Warrant_Public_9_1_b="Yes",GCWS_Warrant_Public_9_1_c="Yes",GCWS_Warrant_Public_9_1_d_i="Yes",GCWS_Warrant_Public_9_1_d_ii="Yes",GCWS_Warrant_Public_9_1_d_iii="Yes"),OR(AND(Location_of_Grade_Crossing_Nearest_Intersection_Signalized_N_or_E_Approach&gt;0,Location_of_Grade_Crossing_Nearest_Intersection_Signalized_N_or_E_Approach&lt;60),AND(Location_of_Grade_Crossing_Nearest_Intersection_Signalized_S_of_W_Approach&gt;0,Location_of_Grade_Crossing_Nearest_Intersection_Signalized_S_of_W_Approach&lt;60))),"Yes","No")))</f>
        <v>No Value</v>
      </c>
      <c r="Z1140" s="364"/>
      <c r="AA1140" s="364"/>
      <c r="AB1140" s="364"/>
      <c r="AC1140" s="365"/>
      <c r="AD1140" s="147" t="s">
        <v>475</v>
      </c>
      <c r="AE1140" s="148"/>
      <c r="AF1140" s="148"/>
      <c r="AG1140" s="148"/>
      <c r="AH1140" s="148"/>
      <c r="AI1140" s="453"/>
    </row>
    <row r="1141" spans="1:35" ht="15" customHeight="1" x14ac:dyDescent="0.45">
      <c r="A1141" s="533"/>
      <c r="B1141" s="534"/>
      <c r="C1141" s="534"/>
      <c r="D1141" s="28"/>
      <c r="E1141" s="175"/>
      <c r="F1141" s="175"/>
      <c r="G1141" s="175"/>
      <c r="H1141" s="175"/>
      <c r="I1141" s="175"/>
      <c r="J1141" s="175"/>
      <c r="K1141" s="175"/>
      <c r="L1141" s="175"/>
      <c r="M1141" s="175"/>
      <c r="N1141" s="175"/>
      <c r="O1141" s="175"/>
      <c r="P1141" s="175"/>
      <c r="Q1141" s="175"/>
      <c r="R1141" s="175"/>
      <c r="S1141" s="175"/>
      <c r="T1141" s="175"/>
      <c r="U1141" s="175"/>
      <c r="V1141" s="175"/>
      <c r="W1141" s="175"/>
      <c r="X1141" s="175"/>
      <c r="Y1141" s="465"/>
      <c r="Z1141" s="162"/>
      <c r="AA1141" s="162"/>
      <c r="AB1141" s="162"/>
      <c r="AC1141" s="163"/>
      <c r="AD1141" s="152"/>
      <c r="AE1141" s="153"/>
      <c r="AF1141" s="153"/>
      <c r="AG1141" s="153"/>
      <c r="AH1141" s="153"/>
      <c r="AI1141" s="455"/>
    </row>
    <row r="1142" spans="1:35" ht="15" customHeight="1" x14ac:dyDescent="0.45">
      <c r="A1142" s="533"/>
      <c r="B1142" s="534"/>
      <c r="C1142" s="534"/>
      <c r="D1142" s="28"/>
      <c r="E1142" s="175"/>
      <c r="F1142" s="175"/>
      <c r="G1142" s="175"/>
      <c r="H1142" s="175"/>
      <c r="I1142" s="175"/>
      <c r="J1142" s="175"/>
      <c r="K1142" s="175"/>
      <c r="L1142" s="175"/>
      <c r="M1142" s="175"/>
      <c r="N1142" s="175"/>
      <c r="O1142" s="175"/>
      <c r="P1142" s="175"/>
      <c r="Q1142" s="175"/>
      <c r="R1142" s="175"/>
      <c r="S1142" s="175"/>
      <c r="T1142" s="175"/>
      <c r="U1142" s="175"/>
      <c r="V1142" s="175"/>
      <c r="W1142" s="175"/>
      <c r="X1142" s="175"/>
      <c r="Y1142" s="466"/>
      <c r="Z1142" s="112"/>
      <c r="AA1142" s="112"/>
      <c r="AB1142" s="112"/>
      <c r="AC1142" s="375"/>
      <c r="AD1142" s="152"/>
      <c r="AE1142" s="153"/>
      <c r="AF1142" s="153"/>
      <c r="AG1142" s="153"/>
      <c r="AH1142" s="153"/>
      <c r="AI1142" s="455"/>
    </row>
    <row r="1143" spans="1:35" ht="15" customHeight="1" x14ac:dyDescent="0.45">
      <c r="A1143" s="533"/>
      <c r="B1143" s="534"/>
      <c r="C1143" s="534"/>
      <c r="D1143" s="28"/>
      <c r="E1143" s="97" t="s">
        <v>74</v>
      </c>
      <c r="F1143" s="97"/>
      <c r="G1143" s="97"/>
      <c r="H1143" s="97"/>
      <c r="I1143" s="97"/>
      <c r="J1143" s="97"/>
      <c r="K1143" s="97"/>
      <c r="L1143" s="97"/>
      <c r="M1143" s="97"/>
      <c r="N1143" s="97"/>
      <c r="O1143" s="97"/>
      <c r="P1143" s="97"/>
      <c r="Q1143" s="97"/>
      <c r="R1143" s="497" t="s">
        <v>90</v>
      </c>
      <c r="S1143" s="462" t="str">
        <f>IF(ISBLANK(Inspection_Details_Grade_Crossing_Type),"No Value",IF(Inspection_Details_Grade_Crossing_Type="Public","Public","Private"))</f>
        <v>No Value</v>
      </c>
      <c r="T1143" s="53"/>
      <c r="U1143" s="463"/>
      <c r="V1143" s="474"/>
      <c r="W1143" s="474"/>
      <c r="X1143" s="474"/>
      <c r="Y1143" s="451"/>
      <c r="Z1143" s="451"/>
      <c r="AA1143" s="451"/>
      <c r="AB1143" s="451"/>
      <c r="AC1143" s="451"/>
      <c r="AD1143" s="152"/>
      <c r="AE1143" s="153"/>
      <c r="AF1143" s="153"/>
      <c r="AG1143" s="153"/>
      <c r="AH1143" s="153"/>
      <c r="AI1143" s="455"/>
    </row>
    <row r="1144" spans="1:35" ht="15" customHeight="1" x14ac:dyDescent="0.45">
      <c r="A1144" s="533"/>
      <c r="B1144" s="534"/>
      <c r="C1144" s="534"/>
      <c r="D1144" s="28"/>
      <c r="E1144" s="397" t="s">
        <v>467</v>
      </c>
      <c r="F1144" s="397"/>
      <c r="G1144" s="397"/>
      <c r="H1144" s="397"/>
      <c r="I1144" s="397"/>
      <c r="J1144" s="397"/>
      <c r="K1144" s="397"/>
      <c r="L1144" s="397"/>
      <c r="M1144" s="397"/>
      <c r="N1144" s="397"/>
      <c r="O1144" s="397"/>
      <c r="P1144" s="397"/>
      <c r="Q1144" s="397"/>
      <c r="R1144" s="497" t="s">
        <v>90</v>
      </c>
      <c r="S1144" s="518" t="str">
        <f>IF(OR(GCWS_Warrant_Public_9_1_a="No Value",GCWS_Warrant_Public_9_1_b="No Value",GCWS_Warrant_Public_9_1_c="No Value",GCWS_Warrant_Public_9_1_d_i="No Value",GCWS_Warrant_Public_9_1_d_ii="No Value",GCWS_Warrant_Public_9_1_d_iii="No Value"),"No Value",IF(OR(GCWS_Warrant_Public_9_1_a="Yes",GCWS_Warrant_Public_9_1_b="No Value",GCWS_Warrant_Public_9_1_c="Yes",GCWS_Warrant_Public_9_1_d_i="Yes",GCWS_Warrant_Public_9_1_d_ii="Yes",GCWS_Warrant_Public_9_1_d_iii="Yes"),"Yes","No"))</f>
        <v>No Value</v>
      </c>
      <c r="T1144" s="519"/>
      <c r="U1144" s="520"/>
      <c r="V1144" s="474"/>
      <c r="W1144" s="474"/>
      <c r="X1144" s="474"/>
      <c r="Y1144" s="451"/>
      <c r="Z1144" s="451"/>
      <c r="AA1144" s="451"/>
      <c r="AB1144" s="451"/>
      <c r="AC1144" s="451"/>
      <c r="AD1144" s="152"/>
      <c r="AE1144" s="153"/>
      <c r="AF1144" s="153"/>
      <c r="AG1144" s="153"/>
      <c r="AH1144" s="153"/>
      <c r="AI1144" s="455"/>
    </row>
    <row r="1145" spans="1:35" ht="15" customHeight="1" thickBot="1" x14ac:dyDescent="0.5">
      <c r="A1145" s="533"/>
      <c r="B1145" s="534"/>
      <c r="C1145" s="534"/>
      <c r="D1145" s="539"/>
      <c r="E1145" s="540" t="s">
        <v>439</v>
      </c>
      <c r="F1145" s="540"/>
      <c r="G1145" s="540"/>
      <c r="H1145" s="540"/>
      <c r="I1145" s="540"/>
      <c r="J1145" s="540"/>
      <c r="K1145" s="540"/>
      <c r="L1145" s="540"/>
      <c r="M1145" s="540"/>
      <c r="N1145" s="540"/>
      <c r="O1145" s="540"/>
      <c r="P1145" s="540"/>
      <c r="Q1145" s="540"/>
      <c r="R1145" s="541" t="s">
        <v>90</v>
      </c>
      <c r="S1145" s="462" t="str">
        <f>IF(OR(ISBLANK(Location_of_Grade_Crossing_Nearest_Intersection_Signalized_N_or_E_Approach),ISBLANK(Location_of_Grade_Crossing_Nearest_Intersection_Signalized_S_of_W_Approach)),"No Value",IF(OR(AND(Location_of_Grade_Crossing_Nearest_Intersection_Signalized_N_or_E_Approach&gt;0,Location_of_Grade_Crossing_Nearest_Intersection_Signalized_N_or_E_Approach&lt;60),AND(Location_of_Grade_Crossing_Nearest_Intersection_Signalized_S_of_W_Approach&gt;0,Location_of_Grade_Crossing_Nearest_Intersection_Signalized_S_of_W_Approach&lt;60)),"Yes","No"))</f>
        <v>No Value</v>
      </c>
      <c r="T1145" s="53"/>
      <c r="U1145" s="53"/>
      <c r="V1145" s="53"/>
      <c r="W1145" s="463"/>
      <c r="X1145" s="507"/>
      <c r="Y1145" s="507"/>
      <c r="Z1145" s="507"/>
      <c r="AA1145" s="507"/>
      <c r="AB1145" s="507"/>
      <c r="AC1145" s="507"/>
      <c r="AD1145" s="542"/>
      <c r="AE1145" s="543"/>
      <c r="AF1145" s="543"/>
      <c r="AG1145" s="543"/>
      <c r="AH1145" s="543"/>
      <c r="AI1145" s="544"/>
    </row>
    <row r="1146" spans="1:35" ht="15" customHeight="1" x14ac:dyDescent="0.45">
      <c r="A1146" s="252"/>
      <c r="B1146" s="252"/>
      <c r="C1146" s="252"/>
      <c r="D1146" s="479" t="s">
        <v>476</v>
      </c>
      <c r="E1146" s="433"/>
      <c r="F1146" s="433"/>
      <c r="G1146" s="433"/>
      <c r="H1146" s="433"/>
      <c r="I1146" s="433"/>
      <c r="J1146" s="433"/>
      <c r="K1146" s="433"/>
      <c r="L1146" s="433"/>
      <c r="M1146" s="433"/>
      <c r="N1146" s="433"/>
      <c r="O1146" s="433"/>
      <c r="P1146" s="433"/>
      <c r="Q1146" s="433"/>
      <c r="R1146" s="433"/>
      <c r="X1146" s="433"/>
      <c r="Y1146" s="433"/>
      <c r="Z1146" s="433"/>
      <c r="AA1146" s="433"/>
      <c r="AB1146" s="433"/>
      <c r="AC1146" s="434"/>
      <c r="AD1146" s="436" t="s">
        <v>477</v>
      </c>
      <c r="AE1146" s="436"/>
      <c r="AF1146" s="436"/>
      <c r="AG1146" s="436"/>
      <c r="AH1146" s="436"/>
      <c r="AI1146" s="437"/>
    </row>
    <row r="1147" spans="1:35" ht="15" customHeight="1" x14ac:dyDescent="0.45">
      <c r="A1147" s="252"/>
      <c r="B1147" s="252"/>
      <c r="C1147" s="252"/>
      <c r="D1147" s="171" t="s">
        <v>478</v>
      </c>
      <c r="E1147" s="142"/>
      <c r="F1147" s="110"/>
      <c r="G1147" s="110"/>
      <c r="H1147" s="110"/>
      <c r="I1147" s="110"/>
      <c r="J1147" s="110"/>
      <c r="K1147" s="110"/>
      <c r="L1147" s="110"/>
      <c r="M1147" s="110"/>
      <c r="N1147" s="110"/>
      <c r="O1147" s="110"/>
      <c r="P1147" s="110"/>
      <c r="Q1147" s="110"/>
      <c r="R1147" s="110"/>
      <c r="S1147" s="110"/>
      <c r="T1147" s="110"/>
      <c r="U1147" s="110"/>
      <c r="V1147" s="110"/>
      <c r="W1147" s="110"/>
      <c r="X1147" s="110"/>
      <c r="Y1147" s="110"/>
      <c r="Z1147" s="110"/>
      <c r="AA1147" s="110"/>
      <c r="AB1147" s="110"/>
      <c r="AC1147" s="113"/>
      <c r="AD1147" s="153"/>
      <c r="AE1147" s="153"/>
      <c r="AF1147" s="153"/>
      <c r="AG1147" s="153"/>
      <c r="AH1147" s="153"/>
      <c r="AI1147" s="455"/>
    </row>
    <row r="1148" spans="1:35" ht="15" customHeight="1" x14ac:dyDescent="0.45">
      <c r="A1148" s="545"/>
      <c r="B1148" s="545"/>
      <c r="C1148" s="545"/>
      <c r="D1148" s="205"/>
      <c r="E1148" s="124" t="s">
        <v>479</v>
      </c>
      <c r="F1148" s="118"/>
      <c r="G1148" s="118"/>
      <c r="H1148" s="118"/>
      <c r="I1148" s="118"/>
      <c r="J1148" s="118"/>
      <c r="K1148" s="118"/>
      <c r="L1148" s="118"/>
      <c r="M1148" s="118"/>
      <c r="N1148" s="118"/>
      <c r="O1148" s="118"/>
      <c r="P1148" s="118"/>
      <c r="Q1148" s="118"/>
      <c r="R1148" s="118"/>
      <c r="S1148" s="118"/>
      <c r="T1148" s="118"/>
      <c r="U1148" s="118"/>
      <c r="V1148" s="118"/>
      <c r="W1148" s="118"/>
      <c r="X1148" s="118"/>
      <c r="Y1148" s="118"/>
      <c r="Z1148" s="118"/>
      <c r="AA1148" s="118"/>
      <c r="AB1148" s="118"/>
      <c r="AC1148" s="119"/>
      <c r="AD1148" s="214" t="s">
        <v>480</v>
      </c>
      <c r="AE1148" s="215"/>
      <c r="AF1148" s="215"/>
      <c r="AG1148" s="215"/>
      <c r="AH1148" s="215"/>
      <c r="AI1148" s="216"/>
    </row>
    <row r="1149" spans="1:35" ht="15" customHeight="1" x14ac:dyDescent="0.45">
      <c r="A1149" s="546" t="s">
        <v>155</v>
      </c>
      <c r="B1149" s="546"/>
      <c r="C1149" s="546"/>
      <c r="D1149" s="50" t="s">
        <v>409</v>
      </c>
      <c r="E1149" s="90" t="s">
        <v>481</v>
      </c>
      <c r="F1149" s="18"/>
      <c r="G1149" s="18"/>
      <c r="H1149" s="18"/>
      <c r="I1149" s="18"/>
      <c r="J1149" s="18"/>
      <c r="K1149" s="18"/>
      <c r="L1149" s="18"/>
      <c r="M1149" s="18"/>
      <c r="N1149" s="18"/>
      <c r="O1149" s="18"/>
      <c r="P1149" s="18"/>
      <c r="Q1149" s="18"/>
      <c r="R1149" s="18"/>
      <c r="S1149" s="18"/>
      <c r="T1149" s="18"/>
      <c r="U1149" s="18"/>
      <c r="V1149" s="18"/>
      <c r="W1149" s="18"/>
      <c r="X1149" s="18"/>
      <c r="Y1149" s="445" t="str">
        <f>IF(OR(ISBLANK(Inspection_Details_Grade_Crossing_Type),ISBLANK(General_Info_Rail_No_Trains_Per_Day_Total),ISBLANK(General_Info_Road_AADT_Forecast),GCWS_Warrant_Private_9_3_1="No Value",GCWS_Warrant_Private_9_3_2_a="No Value",GCWS_Warrant_Private_9_3_2_b="No Value",GCWS_Warrant_Private_9_3_2_c="No Value"),"No Value",IF(Inspection_Details_Grade_Crossing_Type="Public","N/A",IF(AND(NOT(Inspection_Details_Grade_Crossing_Type="Public"),OR(GCWS_Warrant_Private_9_3_1="Yes",GCWS_Warrant_Private_9_3_2_a="Yes",GCWS_Warrant_Private_9_3_2_b="Yes",GCWS_Warrant_Private_9_3_2_c="Yes"),General_Info_Rail_No_Trains_Per_Day_Total*General_Info_Road_AADT_Forecast&gt;=50000),"Yes","No")))</f>
        <v>No Value</v>
      </c>
      <c r="Z1149" s="445"/>
      <c r="AA1149" s="445"/>
      <c r="AB1149" s="445"/>
      <c r="AC1149" s="445"/>
      <c r="AD1149" s="152" t="s">
        <v>482</v>
      </c>
      <c r="AE1149" s="153"/>
      <c r="AF1149" s="153"/>
      <c r="AG1149" s="153"/>
      <c r="AH1149" s="153"/>
      <c r="AI1149" s="455"/>
    </row>
    <row r="1150" spans="1:35" ht="15" customHeight="1" x14ac:dyDescent="0.45">
      <c r="A1150" s="546"/>
      <c r="B1150" s="546"/>
      <c r="C1150" s="546"/>
      <c r="D1150" s="28"/>
      <c r="E1150" s="97" t="s">
        <v>74</v>
      </c>
      <c r="F1150" s="97"/>
      <c r="G1150" s="97"/>
      <c r="H1150" s="97"/>
      <c r="I1150" s="97"/>
      <c r="J1150" s="97"/>
      <c r="K1150" s="97"/>
      <c r="L1150" s="97"/>
      <c r="M1150" s="97"/>
      <c r="N1150" s="97"/>
      <c r="O1150" s="97"/>
      <c r="P1150" s="97"/>
      <c r="Q1150" s="97"/>
      <c r="R1150" s="497" t="s">
        <v>90</v>
      </c>
      <c r="S1150" s="462" t="str">
        <f>IF(ISBLANK(Inspection_Details_Grade_Crossing_Type),"No Value",IF(Inspection_Details_Grade_Crossing_Type="Public","Public","Private"))</f>
        <v>No Value</v>
      </c>
      <c r="T1150" s="53"/>
      <c r="U1150" s="463"/>
      <c r="Y1150" s="451"/>
      <c r="Z1150" s="451"/>
      <c r="AA1150" s="451"/>
      <c r="AB1150" s="451"/>
      <c r="AC1150" s="452"/>
      <c r="AD1150" s="152"/>
      <c r="AE1150" s="153"/>
      <c r="AF1150" s="153"/>
      <c r="AG1150" s="153"/>
      <c r="AH1150" s="153"/>
      <c r="AI1150" s="455"/>
    </row>
    <row r="1151" spans="1:35" ht="15" customHeight="1" x14ac:dyDescent="0.45">
      <c r="A1151" s="546"/>
      <c r="B1151" s="546"/>
      <c r="C1151" s="546"/>
      <c r="D1151" s="28"/>
      <c r="E1151" s="397" t="s">
        <v>483</v>
      </c>
      <c r="F1151" s="397"/>
      <c r="G1151" s="397"/>
      <c r="H1151" s="397"/>
      <c r="I1151" s="397"/>
      <c r="J1151" s="397"/>
      <c r="K1151" s="397"/>
      <c r="L1151" s="397"/>
      <c r="M1151" s="397"/>
      <c r="N1151" s="397"/>
      <c r="O1151" s="397"/>
      <c r="P1151" s="397"/>
      <c r="Q1151" s="397"/>
      <c r="R1151" s="497" t="s">
        <v>90</v>
      </c>
      <c r="S1151" s="518" t="str">
        <f>IF(OR(GCWS_Warrant_Private_9_3_1="No Value",GCWS_Warrant_Private_9_3_2_a="No Value",GCWS_Warrant_Private_9_3_2_b="No Value",GCWS_Warrant_Private_9_3_2_c="No Value"),"No Value",IF(OR(GCWS_Warrant_Private_9_3_1="Yes",GCWS_Warrant_Private_9_3_2_a="Yes",GCWS_Warrant_Private_9_3_2_b="Yes",GCWS_Warrant_Private_9_3_2_c="Yes"),"Yes","No"))</f>
        <v>No Value</v>
      </c>
      <c r="T1151" s="519"/>
      <c r="U1151" s="520"/>
      <c r="Y1151" s="451"/>
      <c r="Z1151" s="451"/>
      <c r="AA1151" s="451"/>
      <c r="AB1151" s="451"/>
      <c r="AC1151" s="452"/>
      <c r="AD1151" s="152"/>
      <c r="AE1151" s="153"/>
      <c r="AF1151" s="153"/>
      <c r="AG1151" s="153"/>
      <c r="AH1151" s="153"/>
      <c r="AI1151" s="455"/>
    </row>
    <row r="1152" spans="1:35" ht="15" customHeight="1" x14ac:dyDescent="0.45">
      <c r="A1152" s="546"/>
      <c r="B1152" s="546"/>
      <c r="C1152" s="546"/>
      <c r="D1152" s="28"/>
      <c r="E1152" s="97" t="s">
        <v>412</v>
      </c>
      <c r="F1152" s="97"/>
      <c r="G1152" s="97"/>
      <c r="H1152" s="97"/>
      <c r="I1152" s="97"/>
      <c r="J1152" s="97"/>
      <c r="K1152" s="97"/>
      <c r="L1152" s="97"/>
      <c r="M1152" s="97"/>
      <c r="N1152" s="97"/>
      <c r="O1152" s="97"/>
      <c r="P1152" s="97"/>
      <c r="Q1152" s="97"/>
      <c r="R1152" s="88" t="s">
        <v>90</v>
      </c>
      <c r="S1152" s="519" t="str">
        <f>IF(ISBLANK(General_Info_Road_AADT_Forecast), "No Value", General_Info_Road_AADT_Forecast)</f>
        <v>No Value</v>
      </c>
      <c r="T1152" s="519"/>
      <c r="U1152" s="519"/>
      <c r="V1152" s="6" t="s">
        <v>118</v>
      </c>
      <c r="AC1152" s="25"/>
      <c r="AD1152" s="152"/>
      <c r="AE1152" s="153"/>
      <c r="AF1152" s="153"/>
      <c r="AG1152" s="153"/>
      <c r="AH1152" s="153"/>
      <c r="AI1152" s="455"/>
    </row>
    <row r="1153" spans="1:35" ht="15" customHeight="1" x14ac:dyDescent="0.45">
      <c r="A1153" s="546"/>
      <c r="B1153" s="546"/>
      <c r="C1153" s="546"/>
      <c r="D1153" s="28"/>
      <c r="E1153" s="97" t="s">
        <v>413</v>
      </c>
      <c r="F1153" s="97"/>
      <c r="G1153" s="97"/>
      <c r="H1153" s="97"/>
      <c r="I1153" s="97"/>
      <c r="J1153" s="97"/>
      <c r="K1153" s="97"/>
      <c r="L1153" s="97"/>
      <c r="M1153" s="97"/>
      <c r="N1153" s="97"/>
      <c r="O1153" s="97"/>
      <c r="P1153" s="97"/>
      <c r="Q1153" s="97"/>
      <c r="R1153" s="88" t="s">
        <v>90</v>
      </c>
      <c r="S1153" s="522" t="str">
        <f>IF(ISBLANK(General_Info_Rail_No_Trains_Per_Day_Total), "No Value", General_Info_Rail_No_Trains_Per_Day_Total)</f>
        <v>No Value</v>
      </c>
      <c r="T1153" s="522"/>
      <c r="U1153" s="522"/>
      <c r="V1153" s="90" t="s">
        <v>414</v>
      </c>
      <c r="W1153" s="18"/>
      <c r="Y1153" s="6"/>
      <c r="AC1153" s="25"/>
      <c r="AD1153" s="152"/>
      <c r="AE1153" s="153"/>
      <c r="AF1153" s="153"/>
      <c r="AG1153" s="153"/>
      <c r="AH1153" s="153"/>
      <c r="AI1153" s="455"/>
    </row>
    <row r="1154" spans="1:35" ht="15" customHeight="1" x14ac:dyDescent="0.45">
      <c r="A1154" s="546"/>
      <c r="B1154" s="546"/>
      <c r="C1154" s="546"/>
      <c r="D1154" s="468"/>
      <c r="E1154" s="111" t="s">
        <v>415</v>
      </c>
      <c r="F1154" s="111"/>
      <c r="G1154" s="111"/>
      <c r="H1154" s="111"/>
      <c r="I1154" s="111"/>
      <c r="J1154" s="111"/>
      <c r="K1154" s="111"/>
      <c r="L1154" s="111"/>
      <c r="M1154" s="111"/>
      <c r="N1154" s="111"/>
      <c r="O1154" s="111"/>
      <c r="P1154" s="111"/>
      <c r="Q1154" s="111"/>
      <c r="R1154" s="136" t="s">
        <v>90</v>
      </c>
      <c r="S1154" s="490" t="str">
        <f>IF(OR(ISBLANK(General_Info_Rail_No_Trains_Per_Day_Total),ISBLANK(General_Info_Road_AADT_Forecast)), "No Value", General_Info_Rail_No_Trains_Per_Day_Total*General_Info_Road_AADT_Forecast)</f>
        <v>No Value</v>
      </c>
      <c r="T1154" s="490"/>
      <c r="U1154" s="490"/>
      <c r="V1154" s="490"/>
      <c r="W1154" s="142" t="s">
        <v>468</v>
      </c>
      <c r="X1154" s="110"/>
      <c r="Y1154" s="110"/>
      <c r="Z1154" s="110"/>
      <c r="AA1154" s="110"/>
      <c r="AB1154" s="110"/>
      <c r="AC1154" s="113"/>
      <c r="AD1154" s="152"/>
      <c r="AE1154" s="153"/>
      <c r="AF1154" s="153"/>
      <c r="AG1154" s="153"/>
      <c r="AH1154" s="153"/>
      <c r="AI1154" s="455"/>
    </row>
    <row r="1155" spans="1:35" ht="15" customHeight="1" x14ac:dyDescent="0.45">
      <c r="A1155" s="546" t="s">
        <v>155</v>
      </c>
      <c r="B1155" s="546"/>
      <c r="C1155" s="546"/>
      <c r="D1155" s="50" t="s">
        <v>417</v>
      </c>
      <c r="E1155" s="87" t="s">
        <v>469</v>
      </c>
      <c r="F1155" s="87"/>
      <c r="G1155" s="87"/>
      <c r="H1155" s="87"/>
      <c r="I1155" s="87"/>
      <c r="J1155" s="87"/>
      <c r="K1155" s="87"/>
      <c r="L1155" s="87"/>
      <c r="M1155" s="87"/>
      <c r="N1155" s="87"/>
      <c r="O1155" s="87"/>
      <c r="P1155" s="87"/>
      <c r="Q1155" s="87"/>
      <c r="R1155" s="87"/>
      <c r="S1155" s="87"/>
      <c r="T1155" s="87"/>
      <c r="U1155" s="87"/>
      <c r="V1155" s="87"/>
      <c r="W1155" s="87"/>
      <c r="X1155" s="268"/>
      <c r="Y1155" s="445" t="str">
        <f>IF(OR(ISBLANK(Inspection_Details_Grade_Crossing_Type),ISBLANK(General_Info_Rail_No_Tracks_Total),GCWS_Warrant_Private_9_3_1="No Value",GCWS_Warrant_Private_9_3_2_a="No Value",GCWS_Warrant_Private_9_3_2_b="No Value",GCWS_Warrant_Private_9_3_2_c="No Value"),"No Value",IF(Inspection_Details_Grade_Crossing_Type="Public","N/A",IF(AND(NOT(Inspection_Details_Grade_Crossing_Type="Public"),OR(GCWS_Warrant_Private_9_3_1="Yes",GCWS_Warrant_Private_9_3_2_a="Yes",GCWS_Warrant_Private_9_3_2_b="Yes",GCWS_Warrant_Private_9_3_2_c="Yes"),General_Info_Rail_No_Tracks_Total&gt;=2),"Yes","No")))</f>
        <v>No Value</v>
      </c>
      <c r="Z1155" s="445"/>
      <c r="AA1155" s="445"/>
      <c r="AB1155" s="445"/>
      <c r="AC1155" s="445"/>
      <c r="AD1155" s="152" t="s">
        <v>484</v>
      </c>
      <c r="AE1155" s="153"/>
      <c r="AF1155" s="153"/>
      <c r="AG1155" s="153"/>
      <c r="AH1155" s="153"/>
      <c r="AI1155" s="455"/>
    </row>
    <row r="1156" spans="1:35" ht="15" customHeight="1" x14ac:dyDescent="0.45">
      <c r="A1156" s="546"/>
      <c r="B1156" s="546"/>
      <c r="C1156" s="546"/>
      <c r="D1156" s="28"/>
      <c r="E1156" s="97" t="s">
        <v>74</v>
      </c>
      <c r="F1156" s="97"/>
      <c r="G1156" s="97"/>
      <c r="H1156" s="97"/>
      <c r="I1156" s="97"/>
      <c r="J1156" s="97"/>
      <c r="K1156" s="97"/>
      <c r="L1156" s="97"/>
      <c r="M1156" s="97"/>
      <c r="N1156" s="97"/>
      <c r="O1156" s="97"/>
      <c r="P1156" s="97"/>
      <c r="Q1156" s="97"/>
      <c r="R1156" s="497" t="s">
        <v>90</v>
      </c>
      <c r="S1156" s="462" t="str">
        <f>IF(ISBLANK(Inspection_Details_Grade_Crossing_Type),"No Value",IF(Inspection_Details_Grade_Crossing_Type="Public","Public","Private"))</f>
        <v>No Value</v>
      </c>
      <c r="T1156" s="53"/>
      <c r="U1156" s="463"/>
      <c r="V1156" s="547"/>
      <c r="W1156" s="6"/>
      <c r="Y1156" s="451"/>
      <c r="Z1156" s="451"/>
      <c r="AA1156" s="451"/>
      <c r="AB1156" s="451"/>
      <c r="AC1156" s="452"/>
      <c r="AD1156" s="152"/>
      <c r="AE1156" s="153"/>
      <c r="AF1156" s="153"/>
      <c r="AG1156" s="153"/>
      <c r="AH1156" s="153"/>
      <c r="AI1156" s="455"/>
    </row>
    <row r="1157" spans="1:35" ht="15" customHeight="1" x14ac:dyDescent="0.45">
      <c r="A1157" s="546"/>
      <c r="B1157" s="546"/>
      <c r="C1157" s="546"/>
      <c r="D1157" s="28"/>
      <c r="E1157" s="397" t="s">
        <v>483</v>
      </c>
      <c r="F1157" s="397"/>
      <c r="G1157" s="397"/>
      <c r="H1157" s="397"/>
      <c r="I1157" s="397"/>
      <c r="J1157" s="397"/>
      <c r="K1157" s="397"/>
      <c r="L1157" s="397"/>
      <c r="M1157" s="397"/>
      <c r="N1157" s="397"/>
      <c r="O1157" s="397"/>
      <c r="P1157" s="397"/>
      <c r="Q1157" s="397"/>
      <c r="R1157" s="497" t="s">
        <v>90</v>
      </c>
      <c r="S1157" s="518" t="str">
        <f>IF(OR(GCWS_Warrant_Private_9_3_1="No Value",GCWS_Warrant_Private_9_3_2_a="No Value",GCWS_Warrant_Private_9_3_2_b="No Value",GCWS_Warrant_Private_9_3_2_c="No Value"),"No Value",IF(OR(GCWS_Warrant_Private_9_3_1="Yes",GCWS_Warrant_Private_9_3_2_a="Yes",GCWS_Warrant_Private_9_3_2_b="Yes",GCWS_Warrant_Private_9_3_2_c="Yes"),"Yes","No"))</f>
        <v>No Value</v>
      </c>
      <c r="T1157" s="519"/>
      <c r="U1157" s="520"/>
      <c r="V1157" s="547"/>
      <c r="W1157" s="6"/>
      <c r="AC1157" s="25"/>
      <c r="AD1157" s="152"/>
      <c r="AE1157" s="153"/>
      <c r="AF1157" s="153"/>
      <c r="AG1157" s="153"/>
      <c r="AH1157" s="153"/>
      <c r="AI1157" s="455"/>
    </row>
    <row r="1158" spans="1:35" ht="15" customHeight="1" x14ac:dyDescent="0.45">
      <c r="A1158" s="546"/>
      <c r="B1158" s="546"/>
      <c r="C1158" s="546"/>
      <c r="D1158" s="468"/>
      <c r="E1158" s="111" t="s">
        <v>447</v>
      </c>
      <c r="F1158" s="111"/>
      <c r="G1158" s="111"/>
      <c r="H1158" s="111"/>
      <c r="I1158" s="111"/>
      <c r="J1158" s="111"/>
      <c r="K1158" s="111"/>
      <c r="L1158" s="111"/>
      <c r="M1158" s="111"/>
      <c r="N1158" s="111"/>
      <c r="O1158" s="111"/>
      <c r="P1158" s="111"/>
      <c r="Q1158" s="111"/>
      <c r="R1158" s="499" t="s">
        <v>90</v>
      </c>
      <c r="S1158" s="462" t="str">
        <f>IF(ISBLANK(General_Info_Rail_No_Tracks_Total),"No Value",IF(General_Info_Rail_No_Tracks_Total&gt;=2,"Yes","No"))</f>
        <v>No Value</v>
      </c>
      <c r="T1158" s="53"/>
      <c r="U1158" s="53"/>
      <c r="V1158" s="53"/>
      <c r="W1158" s="463"/>
      <c r="X1158" s="110"/>
      <c r="Y1158" s="110"/>
      <c r="Z1158" s="110"/>
      <c r="AA1158" s="110"/>
      <c r="AB1158" s="110"/>
      <c r="AC1158" s="113"/>
      <c r="AD1158" s="152"/>
      <c r="AE1158" s="153"/>
      <c r="AF1158" s="153"/>
      <c r="AG1158" s="153"/>
      <c r="AH1158" s="153"/>
      <c r="AI1158" s="455"/>
    </row>
    <row r="1159" spans="1:35" ht="15" customHeight="1" x14ac:dyDescent="0.45">
      <c r="A1159" s="546" t="s">
        <v>155</v>
      </c>
      <c r="B1159" s="546"/>
      <c r="C1159" s="546"/>
      <c r="D1159" s="50" t="s">
        <v>422</v>
      </c>
      <c r="E1159" s="87" t="s">
        <v>471</v>
      </c>
      <c r="F1159" s="87"/>
      <c r="G1159" s="87"/>
      <c r="H1159" s="87"/>
      <c r="I1159" s="87"/>
      <c r="J1159" s="87"/>
      <c r="K1159" s="87"/>
      <c r="L1159" s="87"/>
      <c r="M1159" s="87"/>
      <c r="N1159" s="87"/>
      <c r="O1159" s="87"/>
      <c r="P1159" s="87"/>
      <c r="Q1159" s="87"/>
      <c r="R1159" s="87"/>
      <c r="S1159" s="87"/>
      <c r="T1159" s="87"/>
      <c r="U1159" s="87"/>
      <c r="V1159" s="87"/>
      <c r="W1159" s="87"/>
      <c r="X1159" s="268"/>
      <c r="Y1159" s="462" t="str">
        <f>IF(OR(ISBLANK(Inspection_Details_Grade_Crossing_Type),ISBLANK(General_Info_Rail_Railway_Design_Speed),GCWS_Warrant_Private_9_3_1="No Value",GCWS_Warrant_Private_9_3_2_a="No Value",GCWS_Warrant_Private_9_3_2_b="No Value",GCWS_Warrant_Private_9_3_2_c="No Value"),"No Value",IF(Inspection_Details_Grade_Crossing_Type="Public","N/A",IF(AND(NOT(Inspection_Details_Grade_Crossing_Type="Public"),OR(GCWS_Warrant_Private_9_3_1="Yes",GCWS_Warrant_Private_9_3_2_a="Yes",GCWS_Warrant_Private_9_3_2_b="Yes",GCWS_Warrant_Private_9_3_2_c="Yes"),General_Info_Rail_Railway_Design_Speed&gt;50),"Yes","No")))</f>
        <v>No Value</v>
      </c>
      <c r="Z1159" s="53"/>
      <c r="AA1159" s="53"/>
      <c r="AB1159" s="53"/>
      <c r="AC1159" s="463"/>
      <c r="AD1159" s="153" t="s">
        <v>485</v>
      </c>
      <c r="AE1159" s="153"/>
      <c r="AF1159" s="153"/>
      <c r="AG1159" s="153"/>
      <c r="AH1159" s="153"/>
      <c r="AI1159" s="455"/>
    </row>
    <row r="1160" spans="1:35" ht="15" customHeight="1" x14ac:dyDescent="0.45">
      <c r="A1160" s="546"/>
      <c r="B1160" s="546"/>
      <c r="C1160" s="546"/>
      <c r="D1160" s="28"/>
      <c r="E1160" s="97" t="s">
        <v>74</v>
      </c>
      <c r="F1160" s="97"/>
      <c r="G1160" s="97"/>
      <c r="H1160" s="97"/>
      <c r="I1160" s="97"/>
      <c r="J1160" s="97"/>
      <c r="K1160" s="97"/>
      <c r="L1160" s="97"/>
      <c r="M1160" s="97"/>
      <c r="N1160" s="97"/>
      <c r="O1160" s="97"/>
      <c r="P1160" s="97"/>
      <c r="Q1160" s="97"/>
      <c r="R1160" s="497" t="s">
        <v>90</v>
      </c>
      <c r="S1160" s="462" t="str">
        <f>IF(ISBLANK(Inspection_Details_Grade_Crossing_Type),"No Value",IF(Inspection_Details_Grade_Crossing_Type="Public","Public","Private"))</f>
        <v>No Value</v>
      </c>
      <c r="T1160" s="53"/>
      <c r="U1160" s="463"/>
      <c r="V1160" s="451"/>
      <c r="W1160" s="451"/>
      <c r="Y1160" s="451"/>
      <c r="Z1160" s="451"/>
      <c r="AA1160" s="451"/>
      <c r="AB1160" s="451"/>
      <c r="AC1160" s="452"/>
      <c r="AD1160" s="153"/>
      <c r="AE1160" s="153"/>
      <c r="AF1160" s="153"/>
      <c r="AG1160" s="153"/>
      <c r="AH1160" s="153"/>
      <c r="AI1160" s="455"/>
    </row>
    <row r="1161" spans="1:35" ht="15" customHeight="1" x14ac:dyDescent="0.45">
      <c r="A1161" s="546"/>
      <c r="B1161" s="546"/>
      <c r="C1161" s="546"/>
      <c r="D1161" s="28"/>
      <c r="E1161" s="397" t="s">
        <v>483</v>
      </c>
      <c r="F1161" s="397"/>
      <c r="G1161" s="397"/>
      <c r="H1161" s="397"/>
      <c r="I1161" s="397"/>
      <c r="J1161" s="397"/>
      <c r="K1161" s="397"/>
      <c r="L1161" s="397"/>
      <c r="M1161" s="397"/>
      <c r="N1161" s="397"/>
      <c r="O1161" s="397"/>
      <c r="P1161" s="397"/>
      <c r="Q1161" s="397"/>
      <c r="R1161" s="497" t="s">
        <v>90</v>
      </c>
      <c r="S1161" s="518" t="str">
        <f>IF(OR(GCWS_Warrant_Private_9_3_1="No Value",GCWS_Warrant_Private_9_3_2_a="No Value",GCWS_Warrant_Private_9_3_2_b="No Value",GCWS_Warrant_Private_9_3_2_c="No Value"),"No Value",IF(OR(GCWS_Warrant_Private_9_3_1="Yes",GCWS_Warrant_Private_9_3_2_a="Yes",GCWS_Warrant_Private_9_3_2_b="Yes",GCWS_Warrant_Private_9_3_2_c="Yes"),"Yes","No"))</f>
        <v>No Value</v>
      </c>
      <c r="T1161" s="519"/>
      <c r="U1161" s="520"/>
      <c r="V1161" s="451"/>
      <c r="W1161" s="451"/>
      <c r="Y1161" s="451"/>
      <c r="Z1161" s="451"/>
      <c r="AA1161" s="451"/>
      <c r="AB1161" s="451"/>
      <c r="AC1161" s="452"/>
      <c r="AD1161" s="153"/>
      <c r="AE1161" s="153"/>
      <c r="AF1161" s="153"/>
      <c r="AG1161" s="153"/>
      <c r="AH1161" s="153"/>
      <c r="AI1161" s="455"/>
    </row>
    <row r="1162" spans="1:35" ht="15" customHeight="1" thickBot="1" x14ac:dyDescent="0.5">
      <c r="A1162" s="546"/>
      <c r="B1162" s="546"/>
      <c r="C1162" s="546"/>
      <c r="D1162" s="28"/>
      <c r="E1162" s="6" t="s">
        <v>453</v>
      </c>
      <c r="S1162" s="464" t="str">
        <f>IF(ISBLANK(General_Info_Rail_Railway_Design_Speed),"No Value",IF(General_Info_Rail_Railway_Design_Speed&gt;50,"Yes","No"))</f>
        <v>No Value</v>
      </c>
      <c r="T1162" s="364"/>
      <c r="U1162" s="364"/>
      <c r="V1162" s="364"/>
      <c r="W1162" s="365"/>
      <c r="AC1162" s="25"/>
      <c r="AD1162" s="543"/>
      <c r="AE1162" s="543"/>
      <c r="AF1162" s="543"/>
      <c r="AG1162" s="543"/>
      <c r="AH1162" s="543"/>
      <c r="AI1162" s="544"/>
    </row>
    <row r="1163" spans="1:35" ht="15" customHeight="1" x14ac:dyDescent="0.45">
      <c r="A1163" s="548"/>
      <c r="B1163" s="21"/>
      <c r="C1163" s="21"/>
      <c r="D1163" s="50" t="s">
        <v>486</v>
      </c>
      <c r="E1163" s="18"/>
      <c r="F1163" s="18"/>
      <c r="G1163" s="18"/>
      <c r="H1163" s="18"/>
      <c r="I1163" s="18"/>
      <c r="J1163" s="18"/>
      <c r="K1163" s="18"/>
      <c r="L1163" s="18"/>
      <c r="M1163" s="18"/>
      <c r="N1163" s="18"/>
      <c r="O1163" s="18"/>
      <c r="P1163" s="18"/>
      <c r="Q1163" s="18"/>
      <c r="R1163" s="18"/>
      <c r="S1163" s="18"/>
      <c r="T1163" s="18"/>
      <c r="U1163" s="18"/>
      <c r="V1163" s="18"/>
      <c r="W1163" s="18"/>
      <c r="X1163" s="18"/>
      <c r="Y1163" s="18"/>
      <c r="Z1163" s="18"/>
      <c r="AA1163" s="18"/>
      <c r="AB1163" s="18"/>
      <c r="AC1163" s="19"/>
      <c r="AD1163" s="435" t="s">
        <v>487</v>
      </c>
      <c r="AE1163" s="436"/>
      <c r="AF1163" s="436"/>
      <c r="AG1163" s="436"/>
      <c r="AH1163" s="436"/>
      <c r="AI1163" s="437"/>
    </row>
    <row r="1164" spans="1:35" ht="15" customHeight="1" x14ac:dyDescent="0.45">
      <c r="A1164" s="548"/>
      <c r="B1164" s="21"/>
      <c r="C1164" s="21"/>
      <c r="D1164" s="171" t="s">
        <v>488</v>
      </c>
      <c r="E1164" s="142"/>
      <c r="F1164" s="110"/>
      <c r="G1164" s="110"/>
      <c r="H1164" s="110"/>
      <c r="I1164" s="110"/>
      <c r="J1164" s="110"/>
      <c r="K1164" s="110"/>
      <c r="L1164" s="110"/>
      <c r="M1164" s="110"/>
      <c r="N1164" s="110"/>
      <c r="O1164" s="110"/>
      <c r="P1164" s="110"/>
      <c r="Q1164" s="110"/>
      <c r="R1164" s="110"/>
      <c r="S1164" s="110"/>
      <c r="T1164" s="110"/>
      <c r="U1164" s="110"/>
      <c r="V1164" s="110"/>
      <c r="W1164" s="110"/>
      <c r="X1164" s="110"/>
      <c r="Y1164" s="110"/>
      <c r="Z1164" s="110"/>
      <c r="AA1164" s="110"/>
      <c r="AB1164" s="110"/>
      <c r="AC1164" s="113"/>
      <c r="AD1164" s="152"/>
      <c r="AE1164" s="153"/>
      <c r="AF1164" s="153"/>
      <c r="AG1164" s="153"/>
      <c r="AH1164" s="153"/>
      <c r="AI1164" s="455"/>
    </row>
    <row r="1165" spans="1:35" ht="15" customHeight="1" x14ac:dyDescent="0.45">
      <c r="A1165" s="517" t="s">
        <v>155</v>
      </c>
      <c r="B1165" s="370"/>
      <c r="C1165" s="371"/>
      <c r="D1165" s="28" t="s">
        <v>489</v>
      </c>
      <c r="Y1165" s="466" t="str">
        <f>IF(OR(ISBLANK(General_Info_Road_Sidewalks),ISBLANK(General_Info_Rail_Railway_Design_Speed),ISBLANK(General_Info_Rail_No_Tracks_Total),ISBLANK($U$1167)),"No Value",IF(AND(General_Info_Road_Sidewalks="Yes",$U$1167="Yes",General_Info_Rail_Railway_Design_Speed&gt;15,General_Info_Rail_No_Tracks_Total&gt;=2),"Yes","No"))</f>
        <v>No Value</v>
      </c>
      <c r="Z1165" s="112"/>
      <c r="AA1165" s="112"/>
      <c r="AB1165" s="112"/>
      <c r="AC1165" s="375"/>
      <c r="AD1165" s="154"/>
      <c r="AE1165" s="155"/>
      <c r="AF1165" s="155"/>
      <c r="AG1165" s="155"/>
      <c r="AH1165" s="155"/>
      <c r="AI1165" s="439"/>
    </row>
    <row r="1166" spans="1:35" ht="15" customHeight="1" x14ac:dyDescent="0.45">
      <c r="A1166" s="509" t="s">
        <v>116</v>
      </c>
      <c r="B1166" s="103"/>
      <c r="C1166" s="103"/>
      <c r="D1166" s="24"/>
      <c r="E1166" s="6" t="s">
        <v>420</v>
      </c>
      <c r="T1166" s="497" t="s">
        <v>90</v>
      </c>
      <c r="U1166" s="462" t="str">
        <f>IF(ISBLANK(General_Info_Road_Sidewalks),"No Value",IF(General_Info_Road_Sidewalks="Yes","Yes","No"))</f>
        <v>No Value</v>
      </c>
      <c r="V1166" s="53"/>
      <c r="W1166" s="53"/>
      <c r="X1166" s="53"/>
      <c r="Y1166" s="375"/>
      <c r="AC1166" s="25"/>
      <c r="AD1166" s="214"/>
      <c r="AE1166" s="215"/>
      <c r="AF1166" s="215"/>
      <c r="AG1166" s="215"/>
      <c r="AH1166" s="215"/>
      <c r="AI1166" s="446"/>
    </row>
    <row r="1167" spans="1:35" ht="15" customHeight="1" x14ac:dyDescent="0.45">
      <c r="A1167" s="549" t="s">
        <v>101</v>
      </c>
      <c r="B1167" s="550"/>
      <c r="C1167" s="550"/>
      <c r="D1167" s="28" t="s">
        <v>409</v>
      </c>
      <c r="E1167" s="97" t="s">
        <v>458</v>
      </c>
      <c r="F1167" s="97"/>
      <c r="G1167" s="97"/>
      <c r="H1167" s="97"/>
      <c r="I1167" s="97"/>
      <c r="J1167" s="97"/>
      <c r="K1167" s="97"/>
      <c r="L1167" s="97"/>
      <c r="M1167" s="97"/>
      <c r="N1167" s="97"/>
      <c r="O1167" s="97"/>
      <c r="P1167" s="97"/>
      <c r="Q1167" s="97"/>
      <c r="R1167" s="97"/>
      <c r="S1167" s="97"/>
      <c r="T1167" s="497" t="s">
        <v>90</v>
      </c>
      <c r="U1167" s="52"/>
      <c r="V1167" s="52"/>
      <c r="W1167" s="52"/>
      <c r="X1167" s="52"/>
      <c r="Y1167" s="52"/>
      <c r="AC1167" s="25"/>
      <c r="AD1167" s="215" t="s">
        <v>490</v>
      </c>
      <c r="AE1167" s="215"/>
      <c r="AF1167" s="215"/>
      <c r="AG1167" s="215"/>
      <c r="AH1167" s="215"/>
      <c r="AI1167" s="446"/>
    </row>
    <row r="1168" spans="1:35" ht="15" customHeight="1" x14ac:dyDescent="0.45">
      <c r="A1168" s="549" t="s">
        <v>101</v>
      </c>
      <c r="B1168" s="550"/>
      <c r="C1168" s="550"/>
      <c r="D1168" s="28" t="s">
        <v>417</v>
      </c>
      <c r="E1168" s="97" t="s">
        <v>491</v>
      </c>
      <c r="F1168" s="97"/>
      <c r="G1168" s="97"/>
      <c r="H1168" s="97"/>
      <c r="I1168" s="97"/>
      <c r="J1168" s="97"/>
      <c r="K1168" s="97"/>
      <c r="L1168" s="97"/>
      <c r="M1168" s="97"/>
      <c r="N1168" s="97"/>
      <c r="O1168" s="97"/>
      <c r="P1168" s="97"/>
      <c r="Q1168" s="97"/>
      <c r="R1168" s="97"/>
      <c r="S1168" s="97"/>
      <c r="T1168" s="497" t="s">
        <v>90</v>
      </c>
      <c r="U1168" s="112" t="str">
        <f>IF(ISBLANK(General_Info_Rail_Railway_Design_Speed),"No Value",IF(General_Info_Rail_Railway_Design_Speed&gt;15,"Yes","No"))</f>
        <v>No Value</v>
      </c>
      <c r="V1168" s="112"/>
      <c r="W1168" s="112"/>
      <c r="X1168" s="112"/>
      <c r="Y1168" s="112"/>
      <c r="Z1168" s="18"/>
      <c r="AA1168" s="18"/>
      <c r="AB1168" s="18"/>
      <c r="AC1168" s="19"/>
      <c r="AD1168" s="215" t="s">
        <v>492</v>
      </c>
      <c r="AE1168" s="215"/>
      <c r="AF1168" s="215"/>
      <c r="AG1168" s="215"/>
      <c r="AH1168" s="215"/>
      <c r="AI1168" s="446"/>
    </row>
    <row r="1169" spans="1:35" ht="15" customHeight="1" thickBot="1" x14ac:dyDescent="0.5">
      <c r="A1169" s="551" t="s">
        <v>101</v>
      </c>
      <c r="B1169" s="552"/>
      <c r="C1169" s="552"/>
      <c r="D1169" s="539" t="s">
        <v>422</v>
      </c>
      <c r="E1169" s="540" t="s">
        <v>493</v>
      </c>
      <c r="F1169" s="540"/>
      <c r="G1169" s="540"/>
      <c r="H1169" s="540"/>
      <c r="I1169" s="540"/>
      <c r="J1169" s="540"/>
      <c r="K1169" s="540"/>
      <c r="L1169" s="540"/>
      <c r="M1169" s="540"/>
      <c r="N1169" s="540"/>
      <c r="O1169" s="540"/>
      <c r="P1169" s="540"/>
      <c r="Q1169" s="540"/>
      <c r="R1169" s="540"/>
      <c r="S1169" s="540"/>
      <c r="T1169" s="541" t="s">
        <v>90</v>
      </c>
      <c r="U1169" s="553" t="str">
        <f>IF(ISBLANK(General_Info_Rail_No_Tracks_Total),"No Value",IF(General_Info_Rail_No_Tracks_Total&gt;=2,"Yes","No"))</f>
        <v>No Value</v>
      </c>
      <c r="V1169" s="553"/>
      <c r="W1169" s="553"/>
      <c r="X1169" s="553"/>
      <c r="Y1169" s="553"/>
      <c r="Z1169" s="554"/>
      <c r="AA1169" s="554"/>
      <c r="AB1169" s="554"/>
      <c r="AC1169" s="555"/>
      <c r="AD1169" s="556" t="s">
        <v>494</v>
      </c>
      <c r="AE1169" s="557"/>
      <c r="AF1169" s="557"/>
      <c r="AG1169" s="557"/>
      <c r="AH1169" s="557"/>
      <c r="AI1169" s="558"/>
    </row>
    <row r="1170" spans="1:35" ht="15" customHeight="1" x14ac:dyDescent="0.45"/>
    <row r="1171" spans="1:35" ht="15" customHeight="1" x14ac:dyDescent="0.45">
      <c r="A1171" s="176" t="s">
        <v>208</v>
      </c>
      <c r="B1171" s="177"/>
      <c r="C1171" s="177"/>
      <c r="D1171" s="177"/>
      <c r="E1171" s="177"/>
      <c r="F1171" s="177"/>
      <c r="G1171" s="177"/>
      <c r="H1171" s="177"/>
      <c r="I1171" s="177"/>
      <c r="J1171" s="177"/>
      <c r="K1171" s="177"/>
      <c r="L1171" s="177"/>
      <c r="M1171" s="177"/>
      <c r="N1171" s="177"/>
      <c r="O1171" s="177"/>
      <c r="P1171" s="177"/>
      <c r="Q1171" s="177"/>
      <c r="R1171" s="177"/>
      <c r="S1171" s="177"/>
      <c r="T1171" s="177"/>
      <c r="U1171" s="177"/>
      <c r="V1171" s="177"/>
      <c r="W1171" s="177"/>
      <c r="X1171" s="177"/>
      <c r="Y1171" s="177"/>
      <c r="Z1171" s="177"/>
      <c r="AA1171" s="177"/>
      <c r="AB1171" s="177"/>
      <c r="AC1171" s="177"/>
      <c r="AD1171" s="177"/>
      <c r="AE1171" s="177"/>
      <c r="AF1171" s="177"/>
      <c r="AG1171" s="177"/>
      <c r="AH1171" s="177"/>
      <c r="AI1171" s="178"/>
    </row>
    <row r="1172" spans="1:35" ht="15" customHeight="1" x14ac:dyDescent="0.45">
      <c r="A1172" s="559"/>
      <c r="B1172" s="560"/>
      <c r="C1172" s="560"/>
      <c r="D1172" s="560"/>
      <c r="E1172" s="560"/>
      <c r="F1172" s="560"/>
      <c r="G1172" s="560"/>
      <c r="H1172" s="560"/>
      <c r="I1172" s="560"/>
      <c r="J1172" s="560"/>
      <c r="K1172" s="560"/>
      <c r="L1172" s="560"/>
      <c r="M1172" s="560"/>
      <c r="N1172" s="560"/>
      <c r="O1172" s="560"/>
      <c r="P1172" s="560"/>
      <c r="Q1172" s="560"/>
      <c r="R1172" s="560"/>
      <c r="S1172" s="560"/>
      <c r="T1172" s="560"/>
      <c r="U1172" s="560"/>
      <c r="V1172" s="560"/>
      <c r="W1172" s="560"/>
      <c r="X1172" s="560"/>
      <c r="Y1172" s="560"/>
      <c r="Z1172" s="560"/>
      <c r="AA1172" s="560"/>
      <c r="AB1172" s="560"/>
      <c r="AC1172" s="560"/>
      <c r="AD1172" s="560"/>
      <c r="AE1172" s="560"/>
      <c r="AF1172" s="560"/>
      <c r="AG1172" s="560"/>
      <c r="AH1172" s="560"/>
      <c r="AI1172" s="561"/>
    </row>
    <row r="1173" spans="1:35" ht="15" customHeight="1" x14ac:dyDescent="0.45">
      <c r="A1173" s="562"/>
      <c r="B1173" s="563"/>
      <c r="C1173" s="563"/>
      <c r="D1173" s="563"/>
      <c r="E1173" s="563"/>
      <c r="F1173" s="563"/>
      <c r="G1173" s="563"/>
      <c r="H1173" s="563"/>
      <c r="I1173" s="563"/>
      <c r="J1173" s="563"/>
      <c r="K1173" s="563"/>
      <c r="L1173" s="563"/>
      <c r="M1173" s="563"/>
      <c r="N1173" s="563"/>
      <c r="O1173" s="563"/>
      <c r="P1173" s="563"/>
      <c r="Q1173" s="563"/>
      <c r="R1173" s="563"/>
      <c r="S1173" s="563"/>
      <c r="T1173" s="563"/>
      <c r="U1173" s="563"/>
      <c r="V1173" s="563"/>
      <c r="W1173" s="563"/>
      <c r="X1173" s="563"/>
      <c r="Y1173" s="563"/>
      <c r="Z1173" s="563"/>
      <c r="AA1173" s="563"/>
      <c r="AB1173" s="563"/>
      <c r="AC1173" s="563"/>
      <c r="AD1173" s="563"/>
      <c r="AE1173" s="563"/>
      <c r="AF1173" s="563"/>
      <c r="AG1173" s="563"/>
      <c r="AH1173" s="563"/>
      <c r="AI1173" s="564"/>
    </row>
    <row r="1174" spans="1:35" ht="15" customHeight="1" x14ac:dyDescent="0.45">
      <c r="A1174" s="562"/>
      <c r="B1174" s="563"/>
      <c r="C1174" s="563"/>
      <c r="D1174" s="563"/>
      <c r="E1174" s="563"/>
      <c r="F1174" s="563"/>
      <c r="G1174" s="563"/>
      <c r="H1174" s="563"/>
      <c r="I1174" s="563"/>
      <c r="J1174" s="563"/>
      <c r="K1174" s="563"/>
      <c r="L1174" s="563"/>
      <c r="M1174" s="563"/>
      <c r="N1174" s="563"/>
      <c r="O1174" s="563"/>
      <c r="P1174" s="563"/>
      <c r="Q1174" s="563"/>
      <c r="R1174" s="563"/>
      <c r="S1174" s="563"/>
      <c r="T1174" s="563"/>
      <c r="U1174" s="563"/>
      <c r="V1174" s="563"/>
      <c r="W1174" s="563"/>
      <c r="X1174" s="563"/>
      <c r="Y1174" s="563"/>
      <c r="Z1174" s="563"/>
      <c r="AA1174" s="563"/>
      <c r="AB1174" s="563"/>
      <c r="AC1174" s="563"/>
      <c r="AD1174" s="563"/>
      <c r="AE1174" s="563"/>
      <c r="AF1174" s="563"/>
      <c r="AG1174" s="563"/>
      <c r="AH1174" s="563"/>
      <c r="AI1174" s="564"/>
    </row>
    <row r="1175" spans="1:35" ht="15" customHeight="1" x14ac:dyDescent="0.45">
      <c r="A1175" s="562"/>
      <c r="B1175" s="563"/>
      <c r="C1175" s="563"/>
      <c r="D1175" s="563"/>
      <c r="E1175" s="563"/>
      <c r="F1175" s="563"/>
      <c r="G1175" s="563"/>
      <c r="H1175" s="563"/>
      <c r="I1175" s="563"/>
      <c r="J1175" s="563"/>
      <c r="K1175" s="563"/>
      <c r="L1175" s="563"/>
      <c r="M1175" s="563"/>
      <c r="N1175" s="563"/>
      <c r="O1175" s="563"/>
      <c r="P1175" s="563"/>
      <c r="Q1175" s="563"/>
      <c r="R1175" s="563"/>
      <c r="S1175" s="563"/>
      <c r="T1175" s="563"/>
      <c r="U1175" s="563"/>
      <c r="V1175" s="563"/>
      <c r="W1175" s="563"/>
      <c r="X1175" s="563"/>
      <c r="Y1175" s="563"/>
      <c r="Z1175" s="563"/>
      <c r="AA1175" s="563"/>
      <c r="AB1175" s="563"/>
      <c r="AC1175" s="563"/>
      <c r="AD1175" s="563"/>
      <c r="AE1175" s="563"/>
      <c r="AF1175" s="563"/>
      <c r="AG1175" s="563"/>
      <c r="AH1175" s="563"/>
      <c r="AI1175" s="564"/>
    </row>
    <row r="1176" spans="1:35" ht="15" customHeight="1" x14ac:dyDescent="0.45">
      <c r="A1176" s="562"/>
      <c r="B1176" s="563"/>
      <c r="C1176" s="563"/>
      <c r="D1176" s="563"/>
      <c r="E1176" s="563"/>
      <c r="F1176" s="563"/>
      <c r="G1176" s="563"/>
      <c r="H1176" s="563"/>
      <c r="I1176" s="563"/>
      <c r="J1176" s="563"/>
      <c r="K1176" s="563"/>
      <c r="L1176" s="563"/>
      <c r="M1176" s="563"/>
      <c r="N1176" s="563"/>
      <c r="O1176" s="563"/>
      <c r="P1176" s="563"/>
      <c r="Q1176" s="563"/>
      <c r="R1176" s="563"/>
      <c r="S1176" s="563"/>
      <c r="T1176" s="563"/>
      <c r="U1176" s="563"/>
      <c r="V1176" s="563"/>
      <c r="W1176" s="563"/>
      <c r="X1176" s="563"/>
      <c r="Y1176" s="563"/>
      <c r="Z1176" s="563"/>
      <c r="AA1176" s="563"/>
      <c r="AB1176" s="563"/>
      <c r="AC1176" s="563"/>
      <c r="AD1176" s="563"/>
      <c r="AE1176" s="563"/>
      <c r="AF1176" s="563"/>
      <c r="AG1176" s="563"/>
      <c r="AH1176" s="563"/>
      <c r="AI1176" s="564"/>
    </row>
    <row r="1177" spans="1:35" ht="15" customHeight="1" x14ac:dyDescent="0.45">
      <c r="A1177" s="562"/>
      <c r="B1177" s="563"/>
      <c r="C1177" s="563"/>
      <c r="D1177" s="563"/>
      <c r="E1177" s="563"/>
      <c r="F1177" s="563"/>
      <c r="G1177" s="563"/>
      <c r="H1177" s="563"/>
      <c r="I1177" s="563"/>
      <c r="J1177" s="563"/>
      <c r="K1177" s="563"/>
      <c r="L1177" s="563"/>
      <c r="M1177" s="563"/>
      <c r="N1177" s="563"/>
      <c r="O1177" s="563"/>
      <c r="P1177" s="563"/>
      <c r="Q1177" s="563"/>
      <c r="R1177" s="563"/>
      <c r="S1177" s="563"/>
      <c r="T1177" s="563"/>
      <c r="U1177" s="563"/>
      <c r="V1177" s="563"/>
      <c r="W1177" s="563"/>
      <c r="X1177" s="563"/>
      <c r="Y1177" s="563"/>
      <c r="Z1177" s="563"/>
      <c r="AA1177" s="563"/>
      <c r="AB1177" s="563"/>
      <c r="AC1177" s="563"/>
      <c r="AD1177" s="563"/>
      <c r="AE1177" s="563"/>
      <c r="AF1177" s="563"/>
      <c r="AG1177" s="563"/>
      <c r="AH1177" s="563"/>
      <c r="AI1177" s="564"/>
    </row>
    <row r="1178" spans="1:35" ht="15" customHeight="1" x14ac:dyDescent="0.45">
      <c r="A1178" s="562"/>
      <c r="B1178" s="563"/>
      <c r="C1178" s="563"/>
      <c r="D1178" s="563"/>
      <c r="E1178" s="563"/>
      <c r="F1178" s="563"/>
      <c r="G1178" s="563"/>
      <c r="H1178" s="563"/>
      <c r="I1178" s="563"/>
      <c r="J1178" s="563"/>
      <c r="K1178" s="563"/>
      <c r="L1178" s="563"/>
      <c r="M1178" s="563"/>
      <c r="N1178" s="563"/>
      <c r="O1178" s="563"/>
      <c r="P1178" s="563"/>
      <c r="Q1178" s="563"/>
      <c r="R1178" s="563"/>
      <c r="S1178" s="563"/>
      <c r="T1178" s="563"/>
      <c r="U1178" s="563"/>
      <c r="V1178" s="563"/>
      <c r="W1178" s="563"/>
      <c r="X1178" s="563"/>
      <c r="Y1178" s="563"/>
      <c r="Z1178" s="563"/>
      <c r="AA1178" s="563"/>
      <c r="AB1178" s="563"/>
      <c r="AC1178" s="563"/>
      <c r="AD1178" s="563"/>
      <c r="AE1178" s="563"/>
      <c r="AF1178" s="563"/>
      <c r="AG1178" s="563"/>
      <c r="AH1178" s="563"/>
      <c r="AI1178" s="564"/>
    </row>
    <row r="1179" spans="1:35" ht="15" customHeight="1" x14ac:dyDescent="0.45">
      <c r="A1179" s="562"/>
      <c r="B1179" s="563"/>
      <c r="C1179" s="563"/>
      <c r="D1179" s="563"/>
      <c r="E1179" s="563"/>
      <c r="F1179" s="563"/>
      <c r="G1179" s="563"/>
      <c r="H1179" s="563"/>
      <c r="I1179" s="563"/>
      <c r="J1179" s="563"/>
      <c r="K1179" s="563"/>
      <c r="L1179" s="563"/>
      <c r="M1179" s="563"/>
      <c r="N1179" s="563"/>
      <c r="O1179" s="563"/>
      <c r="P1179" s="563"/>
      <c r="Q1179" s="563"/>
      <c r="R1179" s="563"/>
      <c r="S1179" s="563"/>
      <c r="T1179" s="563"/>
      <c r="U1179" s="563"/>
      <c r="V1179" s="563"/>
      <c r="W1179" s="563"/>
      <c r="X1179" s="563"/>
      <c r="Y1179" s="563"/>
      <c r="Z1179" s="563"/>
      <c r="AA1179" s="563"/>
      <c r="AB1179" s="563"/>
      <c r="AC1179" s="563"/>
      <c r="AD1179" s="563"/>
      <c r="AE1179" s="563"/>
      <c r="AF1179" s="563"/>
      <c r="AG1179" s="563"/>
      <c r="AH1179" s="563"/>
      <c r="AI1179" s="564"/>
    </row>
    <row r="1180" spans="1:35" ht="15" customHeight="1" x14ac:dyDescent="0.45">
      <c r="A1180" s="562"/>
      <c r="B1180" s="563"/>
      <c r="C1180" s="563"/>
      <c r="D1180" s="563"/>
      <c r="E1180" s="563"/>
      <c r="F1180" s="563"/>
      <c r="G1180" s="563"/>
      <c r="H1180" s="563"/>
      <c r="I1180" s="563"/>
      <c r="J1180" s="563"/>
      <c r="K1180" s="563"/>
      <c r="L1180" s="563"/>
      <c r="M1180" s="563"/>
      <c r="N1180" s="563"/>
      <c r="O1180" s="563"/>
      <c r="P1180" s="563"/>
      <c r="Q1180" s="563"/>
      <c r="R1180" s="563"/>
      <c r="S1180" s="563"/>
      <c r="T1180" s="563"/>
      <c r="U1180" s="563"/>
      <c r="V1180" s="563"/>
      <c r="W1180" s="563"/>
      <c r="X1180" s="563"/>
      <c r="Y1180" s="563"/>
      <c r="Z1180" s="563"/>
      <c r="AA1180" s="563"/>
      <c r="AB1180" s="563"/>
      <c r="AC1180" s="563"/>
      <c r="AD1180" s="563"/>
      <c r="AE1180" s="563"/>
      <c r="AF1180" s="563"/>
      <c r="AG1180" s="563"/>
      <c r="AH1180" s="563"/>
      <c r="AI1180" s="564"/>
    </row>
    <row r="1181" spans="1:35" ht="15" customHeight="1" x14ac:dyDescent="0.45">
      <c r="A1181" s="562"/>
      <c r="B1181" s="563"/>
      <c r="C1181" s="563"/>
      <c r="D1181" s="563"/>
      <c r="E1181" s="563"/>
      <c r="F1181" s="563"/>
      <c r="G1181" s="563"/>
      <c r="H1181" s="563"/>
      <c r="I1181" s="563"/>
      <c r="J1181" s="563"/>
      <c r="K1181" s="563"/>
      <c r="L1181" s="563"/>
      <c r="M1181" s="563"/>
      <c r="N1181" s="563"/>
      <c r="O1181" s="563"/>
      <c r="P1181" s="563"/>
      <c r="Q1181" s="563"/>
      <c r="R1181" s="563"/>
      <c r="S1181" s="563"/>
      <c r="T1181" s="563"/>
      <c r="U1181" s="563"/>
      <c r="V1181" s="563"/>
      <c r="W1181" s="563"/>
      <c r="X1181" s="563"/>
      <c r="Y1181" s="563"/>
      <c r="Z1181" s="563"/>
      <c r="AA1181" s="563"/>
      <c r="AB1181" s="563"/>
      <c r="AC1181" s="563"/>
      <c r="AD1181" s="563"/>
      <c r="AE1181" s="563"/>
      <c r="AF1181" s="563"/>
      <c r="AG1181" s="563"/>
      <c r="AH1181" s="563"/>
      <c r="AI1181" s="564"/>
    </row>
    <row r="1182" spans="1:35" ht="15" customHeight="1" x14ac:dyDescent="0.45">
      <c r="A1182" s="562"/>
      <c r="B1182" s="563"/>
      <c r="C1182" s="563"/>
      <c r="D1182" s="563"/>
      <c r="E1182" s="563"/>
      <c r="F1182" s="563"/>
      <c r="G1182" s="563"/>
      <c r="H1182" s="563"/>
      <c r="I1182" s="563"/>
      <c r="J1182" s="563"/>
      <c r="K1182" s="563"/>
      <c r="L1182" s="563"/>
      <c r="M1182" s="563"/>
      <c r="N1182" s="563"/>
      <c r="O1182" s="563"/>
      <c r="P1182" s="563"/>
      <c r="Q1182" s="563"/>
      <c r="R1182" s="563"/>
      <c r="S1182" s="563"/>
      <c r="T1182" s="563"/>
      <c r="U1182" s="563"/>
      <c r="V1182" s="563"/>
      <c r="W1182" s="563"/>
      <c r="X1182" s="563"/>
      <c r="Y1182" s="563"/>
      <c r="Z1182" s="563"/>
      <c r="AA1182" s="563"/>
      <c r="AB1182" s="563"/>
      <c r="AC1182" s="563"/>
      <c r="AD1182" s="563"/>
      <c r="AE1182" s="563"/>
      <c r="AF1182" s="563"/>
      <c r="AG1182" s="563"/>
      <c r="AH1182" s="563"/>
      <c r="AI1182" s="564"/>
    </row>
    <row r="1183" spans="1:35" ht="15" customHeight="1" x14ac:dyDescent="0.45">
      <c r="A1183" s="562"/>
      <c r="B1183" s="563"/>
      <c r="C1183" s="563"/>
      <c r="D1183" s="563"/>
      <c r="E1183" s="563"/>
      <c r="F1183" s="563"/>
      <c r="G1183" s="563"/>
      <c r="H1183" s="563"/>
      <c r="I1183" s="563"/>
      <c r="J1183" s="563"/>
      <c r="K1183" s="563"/>
      <c r="L1183" s="563"/>
      <c r="M1183" s="563"/>
      <c r="N1183" s="563"/>
      <c r="O1183" s="563"/>
      <c r="P1183" s="563"/>
      <c r="Q1183" s="563"/>
      <c r="R1183" s="563"/>
      <c r="S1183" s="563"/>
      <c r="T1183" s="563"/>
      <c r="U1183" s="563"/>
      <c r="V1183" s="563"/>
      <c r="W1183" s="563"/>
      <c r="X1183" s="563"/>
      <c r="Y1183" s="563"/>
      <c r="Z1183" s="563"/>
      <c r="AA1183" s="563"/>
      <c r="AB1183" s="563"/>
      <c r="AC1183" s="563"/>
      <c r="AD1183" s="563"/>
      <c r="AE1183" s="563"/>
      <c r="AF1183" s="563"/>
      <c r="AG1183" s="563"/>
      <c r="AH1183" s="563"/>
      <c r="AI1183" s="564"/>
    </row>
    <row r="1184" spans="1:35" ht="15" customHeight="1" x14ac:dyDescent="0.45">
      <c r="A1184" s="562"/>
      <c r="B1184" s="563"/>
      <c r="C1184" s="563"/>
      <c r="D1184" s="563"/>
      <c r="E1184" s="563"/>
      <c r="F1184" s="563"/>
      <c r="G1184" s="563"/>
      <c r="H1184" s="563"/>
      <c r="I1184" s="563"/>
      <c r="J1184" s="563"/>
      <c r="K1184" s="563"/>
      <c r="L1184" s="563"/>
      <c r="M1184" s="563"/>
      <c r="N1184" s="563"/>
      <c r="O1184" s="563"/>
      <c r="P1184" s="563"/>
      <c r="Q1184" s="563"/>
      <c r="R1184" s="563"/>
      <c r="S1184" s="563"/>
      <c r="T1184" s="563"/>
      <c r="U1184" s="563"/>
      <c r="V1184" s="563"/>
      <c r="W1184" s="563"/>
      <c r="X1184" s="563"/>
      <c r="Y1184" s="563"/>
      <c r="Z1184" s="563"/>
      <c r="AA1184" s="563"/>
      <c r="AB1184" s="563"/>
      <c r="AC1184" s="563"/>
      <c r="AD1184" s="563"/>
      <c r="AE1184" s="563"/>
      <c r="AF1184" s="563"/>
      <c r="AG1184" s="563"/>
      <c r="AH1184" s="563"/>
      <c r="AI1184" s="564"/>
    </row>
    <row r="1185" spans="1:35" ht="15" customHeight="1" x14ac:dyDescent="0.45">
      <c r="A1185" s="565"/>
      <c r="B1185" s="566"/>
      <c r="C1185" s="566"/>
      <c r="D1185" s="566"/>
      <c r="E1185" s="566"/>
      <c r="F1185" s="566"/>
      <c r="G1185" s="566"/>
      <c r="H1185" s="566"/>
      <c r="I1185" s="566"/>
      <c r="J1185" s="566"/>
      <c r="K1185" s="566"/>
      <c r="L1185" s="566"/>
      <c r="M1185" s="566"/>
      <c r="N1185" s="566"/>
      <c r="O1185" s="566"/>
      <c r="P1185" s="566"/>
      <c r="Q1185" s="566"/>
      <c r="R1185" s="566"/>
      <c r="S1185" s="566"/>
      <c r="T1185" s="566"/>
      <c r="U1185" s="566"/>
      <c r="V1185" s="566"/>
      <c r="W1185" s="566"/>
      <c r="X1185" s="566"/>
      <c r="Y1185" s="566"/>
      <c r="Z1185" s="566"/>
      <c r="AA1185" s="566"/>
      <c r="AB1185" s="566"/>
      <c r="AC1185" s="566"/>
      <c r="AD1185" s="566"/>
      <c r="AE1185" s="566"/>
      <c r="AF1185" s="566"/>
      <c r="AG1185" s="566"/>
      <c r="AH1185" s="566"/>
      <c r="AI1185" s="567"/>
    </row>
    <row r="1186" spans="1:35" ht="15" customHeight="1" outlineLevel="1" x14ac:dyDescent="0.45"/>
    <row r="1187" spans="1:35" ht="15" customHeight="1" outlineLevel="1" x14ac:dyDescent="0.45">
      <c r="A1187" s="14" t="s">
        <v>495</v>
      </c>
      <c r="B1187" s="14"/>
      <c r="C1187" s="14"/>
      <c r="D1187" s="14"/>
      <c r="E1187" s="14"/>
      <c r="F1187" s="15" t="s">
        <v>496</v>
      </c>
      <c r="G1187" s="15"/>
      <c r="H1187" s="15"/>
      <c r="I1187" s="15"/>
      <c r="J1187" s="15"/>
      <c r="K1187" s="15"/>
      <c r="L1187" s="15"/>
      <c r="M1187" s="15"/>
      <c r="N1187" s="15"/>
      <c r="O1187" s="15"/>
      <c r="P1187" s="15"/>
      <c r="Q1187" s="15"/>
      <c r="R1187" s="15"/>
      <c r="S1187" s="15"/>
      <c r="T1187" s="15"/>
      <c r="U1187" s="15"/>
      <c r="V1187" s="15"/>
      <c r="W1187" s="15"/>
      <c r="X1187" s="15"/>
      <c r="Y1187" s="15"/>
      <c r="Z1187" s="15"/>
      <c r="AA1187" s="15"/>
      <c r="AB1187" s="15"/>
      <c r="AC1187" s="66" t="s">
        <v>497</v>
      </c>
      <c r="AD1187" s="66"/>
      <c r="AE1187" s="66"/>
      <c r="AF1187" s="66"/>
      <c r="AG1187" s="66"/>
      <c r="AH1187" s="66"/>
      <c r="AI1187" s="66"/>
    </row>
    <row r="1188" spans="1:35" ht="15" customHeight="1" outlineLevel="1" x14ac:dyDescent="0.45"/>
    <row r="1189" spans="1:35" ht="15" customHeight="1" outlineLevel="1" thickBot="1" x14ac:dyDescent="0.5">
      <c r="A1189" s="78" t="s">
        <v>98</v>
      </c>
      <c r="B1189" s="79"/>
      <c r="C1189" s="80"/>
      <c r="D1189" s="78" t="s">
        <v>99</v>
      </c>
      <c r="E1189" s="79"/>
      <c r="F1189" s="79"/>
      <c r="G1189" s="79"/>
      <c r="H1189" s="79"/>
      <c r="I1189" s="79"/>
      <c r="J1189" s="79"/>
      <c r="K1189" s="79"/>
      <c r="L1189" s="79"/>
      <c r="M1189" s="79"/>
      <c r="N1189" s="79"/>
      <c r="O1189" s="79"/>
      <c r="P1189" s="79"/>
      <c r="Q1189" s="79"/>
      <c r="R1189" s="79"/>
      <c r="S1189" s="79"/>
      <c r="T1189" s="79"/>
      <c r="U1189" s="79"/>
      <c r="V1189" s="79"/>
      <c r="W1189" s="79"/>
      <c r="X1189" s="79"/>
      <c r="Y1189" s="79"/>
      <c r="Z1189" s="79"/>
      <c r="AA1189" s="79"/>
      <c r="AB1189" s="79"/>
      <c r="AC1189" s="80"/>
      <c r="AD1189" s="78" t="s">
        <v>100</v>
      </c>
      <c r="AE1189" s="79"/>
      <c r="AF1189" s="79"/>
      <c r="AG1189" s="79"/>
      <c r="AH1189" s="79"/>
      <c r="AI1189" s="80"/>
    </row>
    <row r="1190" spans="1:35" ht="15" customHeight="1" outlineLevel="1" thickTop="1" x14ac:dyDescent="0.45">
      <c r="A1190" s="304" t="s">
        <v>101</v>
      </c>
      <c r="B1190" s="305"/>
      <c r="C1190" s="306"/>
      <c r="D1190" s="86" t="s">
        <v>498</v>
      </c>
      <c r="E1190" s="87"/>
      <c r="F1190" s="87"/>
      <c r="G1190" s="87"/>
      <c r="H1190" s="87"/>
      <c r="I1190" s="87"/>
      <c r="J1190" s="87"/>
      <c r="K1190" s="87"/>
      <c r="L1190" s="87"/>
      <c r="M1190" s="18"/>
      <c r="N1190" s="90"/>
      <c r="O1190" s="18"/>
      <c r="P1190" s="90"/>
      <c r="Q1190" s="18"/>
      <c r="R1190" s="568"/>
      <c r="S1190" s="568"/>
      <c r="T1190" s="90"/>
      <c r="U1190" s="18"/>
      <c r="V1190" s="18"/>
      <c r="W1190" s="90"/>
      <c r="X1190" s="18"/>
      <c r="Y1190" s="522" t="str">
        <f>IF(OR(GCWS_Rail_Design_Warning_Time_Clearance_Distance="No Value",GCWS_Rail_Design_Warning_Time_Departure_Time_Vehicle="No Value",GCWS_Rail_Design_Warning_Time_Departure_Time_Pedestrian="No Value",GCWS_Rail_Design_Warning_Time_Gate_Arm_Clearance="No Value",GCWS_Rail_Design_Warning_Time_Preemption="No Value",GCWS_Rail_Design_Warning_Time_SSD="No Value"),"No Value",MAX(SUM(MAX(GCWS_Rail_Design_Warning_Time_Clearance_Distance,GCWS_Rail_Design_Warning_Time_Departure_Time_Vehicle,GCWS_Rail_Design_Warning_Time_Departure_Time_Pedestrian,GCWS_Rail_Design_Warning_Time_Gate_Arm_Clearance,GCWS_Rail_Design_Warning_Time_SSD)),SUM(MAX(GCWS_Rail_Design_Warning_Time_Clearance_Distance,GCWS_Rail_Design_Warning_Time_Departure_Time_Vehicle,GCWS_Rail_Design_Warning_Time_Departure_Time_Pedestrian,GCWS_Rail_Design_Warning_Time_Gate_Arm_Clearance),GCWS_Rail_Design_Warning_Time_Preemption),SUM(MAX(GCWS_Rail_Design_Warning_Time_Clearance_Distance,GCWS_Rail_Design_Warning_Time_Departure_Time_Vehicle,GCWS_Rail_Design_Warning_Time_Departure_Time_Pedestrian,GCWS_Rail_Design_Warning_Time_Gate_Arm_Clearance),GCWS_Rail_Design_Warning_Time_Adjacent_Crossing)))</f>
        <v>No Value</v>
      </c>
      <c r="Z1190" s="522"/>
      <c r="AA1190" s="522"/>
      <c r="AB1190" s="522"/>
      <c r="AC1190" s="349" t="s">
        <v>166</v>
      </c>
      <c r="AD1190" s="147" t="s">
        <v>499</v>
      </c>
      <c r="AE1190" s="148"/>
      <c r="AF1190" s="148"/>
      <c r="AG1190" s="148"/>
      <c r="AH1190" s="148"/>
      <c r="AI1190" s="201"/>
    </row>
    <row r="1191" spans="1:35" ht="15" customHeight="1" outlineLevel="1" x14ac:dyDescent="0.45">
      <c r="A1191" s="24"/>
      <c r="C1191" s="25"/>
      <c r="D1191" s="24"/>
      <c r="E1191" s="97" t="s">
        <v>500</v>
      </c>
      <c r="F1191" s="97"/>
      <c r="G1191" s="97"/>
      <c r="H1191" s="97"/>
      <c r="I1191" s="97"/>
      <c r="J1191" s="97"/>
      <c r="AC1191" s="25"/>
      <c r="AD1191" s="152"/>
      <c r="AE1191" s="153"/>
      <c r="AF1191" s="153"/>
      <c r="AG1191" s="153"/>
      <c r="AH1191" s="153"/>
      <c r="AI1191" s="275"/>
    </row>
    <row r="1192" spans="1:35" ht="15" customHeight="1" outlineLevel="1" x14ac:dyDescent="0.45">
      <c r="A1192" s="369" t="s">
        <v>155</v>
      </c>
      <c r="B1192" s="370"/>
      <c r="C1192" s="371"/>
      <c r="D1192" s="24"/>
      <c r="E1192" s="175" t="s">
        <v>501</v>
      </c>
      <c r="F1192" s="175"/>
      <c r="G1192" s="175"/>
      <c r="H1192" s="175"/>
      <c r="I1192" s="175"/>
      <c r="J1192" s="175"/>
      <c r="K1192" s="175"/>
      <c r="L1192" s="175"/>
      <c r="M1192" s="175"/>
      <c r="N1192" s="175"/>
      <c r="O1192" s="175"/>
      <c r="P1192" s="175"/>
      <c r="Q1192" s="175"/>
      <c r="R1192" s="175"/>
      <c r="S1192" s="175"/>
      <c r="T1192" s="175"/>
      <c r="U1192" s="175"/>
      <c r="V1192" s="175"/>
      <c r="W1192" s="175"/>
      <c r="X1192" s="175"/>
      <c r="Y1192" s="378" t="str">
        <f>IF(AND(Design_Road_Design_Vehicle_Type="Pedestrian Only",NOT(ISBLANK(Design_Measure_Clearance_Distance_Pedestrian))),MAX(20,20+ROUNDUP((Design_Measure_Clearance_Distance_Pedestrian-11)/3,0)),IF(ISBLANK(Design_Measure_Clearance_Distance_Vehicle),"No Value",MAX(20,20+ROUNDUP((Design_Measure_Clearance_Distance_Vehicle-11)/3,0))))</f>
        <v>No Value</v>
      </c>
      <c r="Z1192" s="91"/>
      <c r="AA1192" s="91"/>
      <c r="AB1192" s="91"/>
      <c r="AC1192" s="290" t="s">
        <v>166</v>
      </c>
      <c r="AD1192" s="152"/>
      <c r="AE1192" s="153"/>
      <c r="AF1192" s="153"/>
      <c r="AG1192" s="153"/>
      <c r="AH1192" s="153"/>
      <c r="AI1192" s="275"/>
    </row>
    <row r="1193" spans="1:35" ht="15" customHeight="1" outlineLevel="1" x14ac:dyDescent="0.45">
      <c r="A1193" s="369" t="s">
        <v>155</v>
      </c>
      <c r="B1193" s="370"/>
      <c r="C1193" s="371"/>
      <c r="D1193" s="24"/>
      <c r="E1193" s="97" t="s">
        <v>502</v>
      </c>
      <c r="F1193" s="97"/>
      <c r="G1193" s="6"/>
      <c r="Y1193" s="91" t="str">
        <f>IF(Design_Calculate_Clearance_Time_Crossing_Vehicle_Design_Check="No Value","No Value",ROUNDUP(Design_Calculate_Clearance_Time_Crossing_Vehicle_Design_Check,0))</f>
        <v>No Value</v>
      </c>
      <c r="Z1193" s="91"/>
      <c r="AA1193" s="91"/>
      <c r="AB1193" s="91"/>
      <c r="AC1193" s="290" t="s">
        <v>166</v>
      </c>
      <c r="AD1193" s="152"/>
      <c r="AE1193" s="153"/>
      <c r="AF1193" s="153"/>
      <c r="AG1193" s="153"/>
      <c r="AH1193" s="153"/>
      <c r="AI1193" s="275"/>
    </row>
    <row r="1194" spans="1:35" ht="15" customHeight="1" outlineLevel="1" x14ac:dyDescent="0.45">
      <c r="A1194" s="369" t="s">
        <v>155</v>
      </c>
      <c r="B1194" s="370"/>
      <c r="C1194" s="371"/>
      <c r="D1194" s="24"/>
      <c r="E1194" s="97" t="s">
        <v>503</v>
      </c>
      <c r="F1194" s="97"/>
      <c r="G1194" s="6"/>
      <c r="Y1194" s="91" t="str">
        <f>IF(Design_Calculate_Clearance_Time_Crossing_Pedestrian_Design_Check="No Value","No Value",ROUNDUP(Design_Calculate_Clearance_Time_Crossing_Pedestrian_Design_Check,0))</f>
        <v>No Value</v>
      </c>
      <c r="Z1194" s="91"/>
      <c r="AA1194" s="91"/>
      <c r="AB1194" s="91"/>
      <c r="AC1194" s="290" t="s">
        <v>166</v>
      </c>
      <c r="AD1194" s="152"/>
      <c r="AE1194" s="153"/>
      <c r="AF1194" s="153"/>
      <c r="AG1194" s="153"/>
      <c r="AH1194" s="153"/>
      <c r="AI1194" s="275"/>
    </row>
    <row r="1195" spans="1:35" ht="15" customHeight="1" outlineLevel="1" x14ac:dyDescent="0.45">
      <c r="A1195" s="369" t="s">
        <v>155</v>
      </c>
      <c r="B1195" s="370"/>
      <c r="C1195" s="371"/>
      <c r="D1195" s="24"/>
      <c r="E1195" s="97" t="s">
        <v>504</v>
      </c>
      <c r="F1195" s="97"/>
      <c r="G1195" s="97"/>
      <c r="H1195" s="97"/>
      <c r="I1195" s="97"/>
      <c r="J1195" s="97"/>
      <c r="K1195" s="97"/>
      <c r="L1195" s="97"/>
      <c r="M1195" s="97"/>
      <c r="N1195" s="6"/>
      <c r="Y1195" s="91" t="str">
        <f>IF(OR(Gates_GCWS_Calculate_Gate_Arm_Clearance_Time_Recommended="No Value",ISBLANK(Gates_GCWS_Rail_Gate_Arm_Descent_Time_Design)),"No Value",ROUNDUP(SUM(Gates_GCWS_Calculate_Gate_Arm_Clearance_Time_Recommended,Gates_GCWS_Rail_Gate_Arm_Descent_Time_Design,5),0))</f>
        <v>No Value</v>
      </c>
      <c r="Z1195" s="91"/>
      <c r="AA1195" s="91"/>
      <c r="AB1195" s="91"/>
      <c r="AC1195" s="290" t="s">
        <v>166</v>
      </c>
      <c r="AD1195" s="152"/>
      <c r="AE1195" s="153"/>
      <c r="AF1195" s="153"/>
      <c r="AG1195" s="153"/>
      <c r="AH1195" s="153"/>
      <c r="AI1195" s="275"/>
    </row>
    <row r="1196" spans="1:35" ht="15" customHeight="1" outlineLevel="1" x14ac:dyDescent="0.45">
      <c r="A1196" s="369" t="s">
        <v>155</v>
      </c>
      <c r="B1196" s="370"/>
      <c r="C1196" s="371"/>
      <c r="D1196" s="24"/>
      <c r="E1196" s="97" t="s">
        <v>505</v>
      </c>
      <c r="F1196" s="97"/>
      <c r="G1196" s="97"/>
      <c r="H1196" s="97"/>
      <c r="I1196" s="97"/>
      <c r="J1196" s="97"/>
      <c r="K1196" s="97"/>
      <c r="L1196" s="97"/>
      <c r="M1196" s="97"/>
      <c r="N1196" s="97"/>
      <c r="O1196" s="97"/>
      <c r="P1196" s="97"/>
      <c r="Q1196" s="97"/>
      <c r="R1196" s="97"/>
      <c r="S1196" s="97"/>
      <c r="T1196" s="97"/>
      <c r="U1196" s="6"/>
      <c r="Y1196" s="569"/>
      <c r="Z1196" s="569"/>
      <c r="AA1196" s="569"/>
      <c r="AB1196" s="569"/>
      <c r="AC1196" s="290" t="s">
        <v>166</v>
      </c>
      <c r="AD1196" s="152"/>
      <c r="AE1196" s="153"/>
      <c r="AF1196" s="153"/>
      <c r="AG1196" s="153"/>
      <c r="AH1196" s="153"/>
      <c r="AI1196" s="275"/>
    </row>
    <row r="1197" spans="1:35" ht="15" customHeight="1" outlineLevel="1" x14ac:dyDescent="0.45">
      <c r="A1197" s="372" t="s">
        <v>155</v>
      </c>
      <c r="B1197" s="373"/>
      <c r="C1197" s="374"/>
      <c r="D1197" s="109"/>
      <c r="E1197" s="111" t="s">
        <v>506</v>
      </c>
      <c r="F1197" s="111"/>
      <c r="G1197" s="142"/>
      <c r="H1197" s="110"/>
      <c r="I1197" s="110"/>
      <c r="J1197" s="110"/>
      <c r="K1197" s="110"/>
      <c r="L1197" s="110"/>
      <c r="M1197" s="110"/>
      <c r="N1197" s="110"/>
      <c r="O1197" s="110"/>
      <c r="P1197" s="110"/>
      <c r="Q1197" s="110"/>
      <c r="R1197" s="110"/>
      <c r="S1197" s="110"/>
      <c r="T1197" s="110"/>
      <c r="U1197" s="110"/>
      <c r="V1197" s="110"/>
      <c r="W1197" s="110"/>
      <c r="X1197" s="110"/>
      <c r="Y1197" s="570" t="str">
        <f>IF(OR(Sightlines_Lookup_SSD_Minimum_N_or_E_Approach="No Value",Sightlines_Lookup_SSD_Minimum_S_or_W_Approach="No Value",ISBLANK(Design_Road_Design_Vehicle_Type),Design_Calculate_Vehicle_Travel_Distance="No Value",ISBLANK(General_Info_Road_Speed_Design)),"No Value",IF(Design_Road_Design_Vehicle_Type="Pedestrian Only","N/A",ROUNDUP((SUM(MAX(Sightlines_Lookup_SSD_Minimum_N_or_E_Approach,Sightlines_Lookup_SSD_Minimum_S_or_W_Approach),Design_Calculate_Vehicle_Travel_Distance)*3600)/(General_Info_Road_Speed_Design*10^3),0)))</f>
        <v>No Value</v>
      </c>
      <c r="Z1197" s="570"/>
      <c r="AA1197" s="570"/>
      <c r="AB1197" s="570"/>
      <c r="AC1197" s="172" t="s">
        <v>166</v>
      </c>
      <c r="AD1197" s="154"/>
      <c r="AE1197" s="155"/>
      <c r="AF1197" s="155"/>
      <c r="AG1197" s="155"/>
      <c r="AH1197" s="155"/>
      <c r="AI1197" s="194"/>
    </row>
    <row r="1198" spans="1:35" ht="15" customHeight="1" outlineLevel="1" x14ac:dyDescent="0.45">
      <c r="A1198" s="202" t="s">
        <v>155</v>
      </c>
      <c r="B1198" s="376"/>
      <c r="C1198" s="377"/>
      <c r="D1198" s="571"/>
      <c r="E1198" s="572" t="s">
        <v>507</v>
      </c>
      <c r="F1198" s="572"/>
      <c r="G1198" s="572"/>
      <c r="H1198" s="572"/>
      <c r="I1198" s="572"/>
      <c r="J1198" s="572"/>
      <c r="K1198" s="572"/>
      <c r="L1198" s="572"/>
      <c r="M1198" s="572"/>
      <c r="N1198" s="572"/>
      <c r="O1198" s="572"/>
      <c r="P1198" s="572"/>
      <c r="Q1198" s="572"/>
      <c r="R1198" s="572"/>
      <c r="S1198" s="572"/>
      <c r="T1198" s="572"/>
      <c r="U1198" s="572"/>
      <c r="V1198" s="572"/>
      <c r="W1198" s="572"/>
      <c r="X1198" s="572"/>
      <c r="Y1198" s="573" t="str">
        <f>Design_Calculate_Adjacent_Track_Clearance_Time</f>
        <v>No Value</v>
      </c>
      <c r="Z1198" s="573"/>
      <c r="AA1198" s="573"/>
      <c r="AB1198" s="573"/>
      <c r="AC1198" s="574"/>
      <c r="AD1198" s="575" t="s">
        <v>508</v>
      </c>
      <c r="AE1198" s="576"/>
      <c r="AF1198" s="576"/>
      <c r="AG1198" s="576"/>
      <c r="AH1198" s="576"/>
      <c r="AI1198" s="577"/>
    </row>
    <row r="1199" spans="1:35" ht="15" customHeight="1" outlineLevel="1" thickBot="1" x14ac:dyDescent="0.5">
      <c r="A1199" s="195" t="s">
        <v>101</v>
      </c>
      <c r="B1199" s="196"/>
      <c r="C1199" s="197"/>
      <c r="D1199" s="116" t="s">
        <v>509</v>
      </c>
      <c r="E1199" s="117"/>
      <c r="F1199" s="117"/>
      <c r="G1199" s="117"/>
      <c r="H1199" s="117"/>
      <c r="I1199" s="117"/>
      <c r="J1199" s="117"/>
      <c r="K1199" s="117"/>
      <c r="L1199" s="117"/>
      <c r="N1199" s="6"/>
      <c r="P1199" s="6"/>
      <c r="R1199" s="40"/>
      <c r="S1199" s="40"/>
      <c r="T1199" s="6"/>
      <c r="W1199" s="6"/>
      <c r="Y1199" s="578"/>
      <c r="Z1199" s="578"/>
      <c r="AA1199" s="578"/>
      <c r="AB1199" s="578"/>
      <c r="AC1199" s="290" t="s">
        <v>166</v>
      </c>
      <c r="AD1199" s="214" t="s">
        <v>510</v>
      </c>
      <c r="AE1199" s="215"/>
      <c r="AF1199" s="215"/>
      <c r="AG1199" s="215"/>
      <c r="AH1199" s="215"/>
      <c r="AI1199" s="216"/>
    </row>
    <row r="1200" spans="1:35" ht="15" customHeight="1" outlineLevel="1" thickTop="1" x14ac:dyDescent="0.45">
      <c r="A1200" s="579" t="s">
        <v>159</v>
      </c>
      <c r="B1200" s="580"/>
      <c r="C1200" s="581"/>
      <c r="D1200" s="307" t="s">
        <v>511</v>
      </c>
      <c r="E1200" s="308"/>
      <c r="F1200" s="308"/>
      <c r="G1200" s="308"/>
      <c r="H1200" s="308"/>
      <c r="I1200" s="308"/>
      <c r="J1200" s="308"/>
      <c r="K1200" s="308"/>
      <c r="L1200" s="308"/>
      <c r="M1200" s="308"/>
      <c r="N1200" s="308"/>
      <c r="O1200" s="308"/>
      <c r="P1200" s="308"/>
      <c r="Q1200" s="309"/>
      <c r="R1200" s="309"/>
      <c r="S1200" s="309"/>
      <c r="T1200" s="309"/>
      <c r="U1200" s="309"/>
      <c r="V1200" s="309"/>
      <c r="W1200" s="309"/>
      <c r="X1200" s="309"/>
      <c r="Y1200" s="309"/>
      <c r="Z1200" s="309"/>
      <c r="AA1200" s="309"/>
      <c r="AB1200" s="309"/>
      <c r="AC1200" s="310"/>
      <c r="AD1200" s="582" t="s">
        <v>508</v>
      </c>
      <c r="AE1200" s="583"/>
      <c r="AF1200" s="583"/>
      <c r="AG1200" s="583"/>
      <c r="AH1200" s="583"/>
      <c r="AI1200" s="584"/>
    </row>
    <row r="1201" spans="1:35" ht="15" customHeight="1" outlineLevel="1" x14ac:dyDescent="0.45">
      <c r="A1201" s="299"/>
      <c r="B1201" s="300"/>
      <c r="C1201" s="301"/>
      <c r="D1201" s="302"/>
      <c r="E1201" s="97" t="s">
        <v>512</v>
      </c>
      <c r="F1201" s="97"/>
      <c r="G1201" s="97"/>
      <c r="H1201" s="97"/>
      <c r="I1201" s="97"/>
      <c r="J1201" s="97"/>
      <c r="K1201" s="97"/>
      <c r="L1201" s="97"/>
      <c r="M1201" s="97"/>
      <c r="N1201" s="97"/>
      <c r="O1201" s="97"/>
      <c r="P1201" s="97"/>
      <c r="Q1201" s="97"/>
      <c r="R1201" s="97"/>
      <c r="S1201" s="97"/>
      <c r="T1201" s="97"/>
      <c r="U1201" s="97"/>
      <c r="V1201" s="97"/>
      <c r="W1201" s="97"/>
      <c r="X1201" s="97"/>
      <c r="Y1201" s="97"/>
      <c r="Z1201" s="97"/>
      <c r="AA1201" s="97"/>
      <c r="AB1201" s="97"/>
      <c r="AC1201" s="25"/>
      <c r="AD1201" s="333"/>
      <c r="AE1201" s="334"/>
      <c r="AF1201" s="334"/>
      <c r="AG1201" s="334"/>
      <c r="AH1201" s="334"/>
      <c r="AI1201" s="335"/>
    </row>
    <row r="1202" spans="1:35" ht="15" customHeight="1" outlineLevel="1" x14ac:dyDescent="0.45">
      <c r="A1202" s="159"/>
      <c r="B1202" s="160"/>
      <c r="C1202" s="161"/>
      <c r="D1202" s="279" t="str">
        <f>V$1 &amp; " Road Approach"</f>
        <v>N Road Approach</v>
      </c>
      <c r="E1202" s="111"/>
      <c r="F1202" s="111"/>
      <c r="G1202" s="111"/>
      <c r="H1202" s="111"/>
      <c r="I1202" s="303"/>
      <c r="J1202" s="303"/>
      <c r="K1202" s="142" t="s">
        <v>157</v>
      </c>
      <c r="L1202" s="110"/>
      <c r="N1202" s="111" t="str">
        <f>Z$1 &amp; " Road Approach"</f>
        <v>S Road Approach</v>
      </c>
      <c r="O1202" s="111"/>
      <c r="P1202" s="111"/>
      <c r="Q1202" s="111"/>
      <c r="R1202" s="111"/>
      <c r="S1202" s="303"/>
      <c r="T1202" s="303"/>
      <c r="U1202" s="142" t="s">
        <v>157</v>
      </c>
      <c r="V1202" s="110"/>
      <c r="W1202" s="110"/>
      <c r="X1202" s="110"/>
      <c r="Y1202" s="110"/>
      <c r="Z1202" s="110"/>
      <c r="AA1202" s="110"/>
      <c r="AB1202" s="110"/>
      <c r="AC1202" s="113"/>
      <c r="AD1202" s="340"/>
      <c r="AE1202" s="341"/>
      <c r="AF1202" s="341"/>
      <c r="AG1202" s="341"/>
      <c r="AH1202" s="341"/>
      <c r="AI1202" s="342"/>
    </row>
    <row r="1203" spans="1:35" ht="15" customHeight="1" outlineLevel="1" x14ac:dyDescent="0.45">
      <c r="A1203" s="164" t="s">
        <v>159</v>
      </c>
      <c r="B1203" s="165"/>
      <c r="C1203" s="166"/>
      <c r="D1203" s="86" t="s">
        <v>513</v>
      </c>
      <c r="E1203" s="87"/>
      <c r="F1203" s="87"/>
      <c r="G1203" s="87"/>
      <c r="H1203" s="87"/>
      <c r="I1203" s="87"/>
      <c r="J1203" s="87"/>
      <c r="K1203" s="87"/>
      <c r="L1203" s="87"/>
      <c r="M1203" s="87"/>
      <c r="N1203" s="87"/>
      <c r="O1203" s="87"/>
      <c r="P1203" s="87"/>
      <c r="Q1203" s="18"/>
      <c r="R1203" s="18"/>
      <c r="S1203" s="18"/>
      <c r="T1203" s="18"/>
      <c r="U1203" s="18"/>
      <c r="V1203" s="18"/>
      <c r="W1203" s="18"/>
      <c r="X1203" s="18"/>
      <c r="Y1203" s="18"/>
      <c r="Z1203" s="18"/>
      <c r="AA1203" s="18"/>
      <c r="AB1203" s="18"/>
      <c r="AC1203" s="19"/>
      <c r="AD1203" s="147" t="s">
        <v>514</v>
      </c>
      <c r="AE1203" s="148"/>
      <c r="AF1203" s="148"/>
      <c r="AG1203" s="148"/>
      <c r="AH1203" s="148"/>
      <c r="AI1203" s="201"/>
    </row>
    <row r="1204" spans="1:35" ht="15" customHeight="1" outlineLevel="1" x14ac:dyDescent="0.45">
      <c r="A1204" s="299"/>
      <c r="B1204" s="300"/>
      <c r="C1204" s="301"/>
      <c r="D1204" s="24"/>
      <c r="E1204" s="97" t="s">
        <v>515</v>
      </c>
      <c r="F1204" s="97"/>
      <c r="G1204" s="97"/>
      <c r="H1204" s="97"/>
      <c r="I1204" s="97"/>
      <c r="J1204" s="97"/>
      <c r="K1204" s="97"/>
      <c r="L1204" s="97"/>
      <c r="M1204" s="97"/>
      <c r="N1204" s="97"/>
      <c r="O1204" s="97"/>
      <c r="P1204" s="97"/>
      <c r="Q1204" s="97"/>
      <c r="R1204" s="97"/>
      <c r="S1204" s="97"/>
      <c r="T1204" s="97"/>
      <c r="U1204" s="97"/>
      <c r="V1204" s="97"/>
      <c r="W1204" s="97"/>
      <c r="X1204" s="97"/>
      <c r="Y1204" s="97"/>
      <c r="AC1204" s="25"/>
      <c r="AD1204" s="152"/>
      <c r="AE1204" s="153"/>
      <c r="AF1204" s="153"/>
      <c r="AG1204" s="153"/>
      <c r="AH1204" s="153"/>
      <c r="AI1204" s="275"/>
    </row>
    <row r="1205" spans="1:35" ht="15" customHeight="1" outlineLevel="1" x14ac:dyDescent="0.45">
      <c r="A1205" s="159"/>
      <c r="B1205" s="160"/>
      <c r="C1205" s="161"/>
      <c r="D1205" s="279" t="str">
        <f>V$1 &amp; " Road Approach"</f>
        <v>N Road Approach</v>
      </c>
      <c r="E1205" s="111"/>
      <c r="F1205" s="111"/>
      <c r="G1205" s="111"/>
      <c r="H1205" s="111"/>
      <c r="I1205" s="303"/>
      <c r="J1205" s="303"/>
      <c r="K1205" s="142" t="s">
        <v>157</v>
      </c>
      <c r="L1205" s="110"/>
      <c r="N1205" s="111" t="str">
        <f>Z$1 &amp; " Road Approach"</f>
        <v>S Road Approach</v>
      </c>
      <c r="O1205" s="111"/>
      <c r="P1205" s="111"/>
      <c r="Q1205" s="111"/>
      <c r="R1205" s="111"/>
      <c r="S1205" s="303"/>
      <c r="T1205" s="303"/>
      <c r="U1205" s="142" t="s">
        <v>157</v>
      </c>
      <c r="V1205" s="110"/>
      <c r="W1205" s="110"/>
      <c r="X1205" s="110"/>
      <c r="Y1205" s="110"/>
      <c r="Z1205" s="110"/>
      <c r="AA1205" s="110"/>
      <c r="AB1205" s="110"/>
      <c r="AC1205" s="113"/>
      <c r="AD1205" s="154"/>
      <c r="AE1205" s="155"/>
      <c r="AF1205" s="155"/>
      <c r="AG1205" s="155"/>
      <c r="AH1205" s="155"/>
      <c r="AI1205" s="194"/>
    </row>
    <row r="1206" spans="1:35" ht="15" customHeight="1" outlineLevel="1" x14ac:dyDescent="0.45">
      <c r="A1206" s="164" t="s">
        <v>159</v>
      </c>
      <c r="B1206" s="165"/>
      <c r="C1206" s="166"/>
      <c r="D1206" s="86" t="s">
        <v>516</v>
      </c>
      <c r="E1206" s="87"/>
      <c r="F1206" s="87"/>
      <c r="G1206" s="87"/>
      <c r="H1206" s="87"/>
      <c r="I1206" s="87"/>
      <c r="J1206" s="87"/>
      <c r="K1206" s="87"/>
      <c r="L1206" s="87"/>
      <c r="M1206" s="87"/>
      <c r="N1206" s="87"/>
      <c r="O1206" s="87"/>
      <c r="P1206" s="87"/>
      <c r="Q1206" s="87"/>
      <c r="R1206" s="87"/>
      <c r="S1206" s="87"/>
      <c r="T1206" s="87"/>
      <c r="U1206" s="87"/>
      <c r="V1206" s="87"/>
      <c r="W1206" s="87"/>
      <c r="X1206" s="87"/>
      <c r="Y1206" s="87"/>
      <c r="Z1206" s="18"/>
      <c r="AA1206" s="18"/>
      <c r="AB1206" s="18"/>
      <c r="AC1206" s="19"/>
      <c r="AD1206" s="147" t="s">
        <v>517</v>
      </c>
      <c r="AE1206" s="148"/>
      <c r="AF1206" s="148"/>
      <c r="AG1206" s="148"/>
      <c r="AH1206" s="148"/>
      <c r="AI1206" s="201"/>
    </row>
    <row r="1207" spans="1:35" ht="15" customHeight="1" outlineLevel="1" x14ac:dyDescent="0.45">
      <c r="A1207" s="159"/>
      <c r="B1207" s="160"/>
      <c r="C1207" s="161"/>
      <c r="D1207" s="279" t="str">
        <f>V$1 &amp; " Road Approach"</f>
        <v>N Road Approach</v>
      </c>
      <c r="E1207" s="111"/>
      <c r="F1207" s="111"/>
      <c r="G1207" s="111"/>
      <c r="H1207" s="111"/>
      <c r="I1207" s="585"/>
      <c r="J1207" s="585"/>
      <c r="K1207" s="111" t="s">
        <v>230</v>
      </c>
      <c r="L1207" s="111"/>
      <c r="N1207" s="111" t="str">
        <f>Z$1 &amp; " Road Approach"</f>
        <v>S Road Approach</v>
      </c>
      <c r="O1207" s="111"/>
      <c r="P1207" s="111"/>
      <c r="Q1207" s="111"/>
      <c r="R1207" s="111"/>
      <c r="S1207" s="585"/>
      <c r="T1207" s="585"/>
      <c r="U1207" s="111" t="s">
        <v>230</v>
      </c>
      <c r="V1207" s="111"/>
      <c r="W1207" s="110"/>
      <c r="X1207" s="110"/>
      <c r="Y1207" s="110"/>
      <c r="Z1207" s="110"/>
      <c r="AA1207" s="110"/>
      <c r="AB1207" s="110"/>
      <c r="AC1207" s="113"/>
      <c r="AD1207" s="154"/>
      <c r="AE1207" s="155"/>
      <c r="AF1207" s="155"/>
      <c r="AG1207" s="155"/>
      <c r="AH1207" s="155"/>
      <c r="AI1207" s="194"/>
    </row>
    <row r="1208" spans="1:35" ht="15" customHeight="1" outlineLevel="1" x14ac:dyDescent="0.45">
      <c r="A1208" s="164" t="s">
        <v>159</v>
      </c>
      <c r="B1208" s="165"/>
      <c r="C1208" s="166"/>
      <c r="D1208" s="86" t="s">
        <v>518</v>
      </c>
      <c r="E1208" s="87"/>
      <c r="F1208" s="87"/>
      <c r="G1208" s="87"/>
      <c r="H1208" s="87"/>
      <c r="I1208" s="87"/>
      <c r="J1208" s="87"/>
      <c r="K1208" s="87"/>
      <c r="L1208" s="87"/>
      <c r="M1208" s="87"/>
      <c r="N1208" s="87"/>
      <c r="O1208" s="87"/>
      <c r="P1208" s="87"/>
      <c r="Q1208" s="87"/>
      <c r="R1208" s="87"/>
      <c r="S1208" s="87"/>
      <c r="T1208" s="87"/>
      <c r="U1208" s="87"/>
      <c r="V1208" s="87"/>
      <c r="W1208" s="87"/>
      <c r="X1208" s="87"/>
      <c r="Y1208" s="87"/>
      <c r="Z1208" s="87"/>
      <c r="AA1208" s="87"/>
      <c r="AB1208" s="87"/>
      <c r="AC1208" s="19"/>
      <c r="AD1208" s="147" t="s">
        <v>517</v>
      </c>
      <c r="AE1208" s="148"/>
      <c r="AF1208" s="148"/>
      <c r="AG1208" s="148"/>
      <c r="AH1208" s="148"/>
      <c r="AI1208" s="201"/>
    </row>
    <row r="1209" spans="1:35" ht="15" customHeight="1" outlineLevel="1" x14ac:dyDescent="0.45">
      <c r="A1209" s="159"/>
      <c r="B1209" s="160"/>
      <c r="C1209" s="161"/>
      <c r="D1209" s="279" t="str">
        <f>V$1 &amp; " Road Approach"</f>
        <v>N Road Approach</v>
      </c>
      <c r="E1209" s="111"/>
      <c r="F1209" s="111"/>
      <c r="G1209" s="111"/>
      <c r="H1209" s="111"/>
      <c r="I1209" s="48"/>
      <c r="J1209" s="48"/>
      <c r="K1209" s="48"/>
      <c r="L1209" s="48"/>
      <c r="M1209" s="48"/>
      <c r="N1209" s="142"/>
      <c r="P1209" s="111" t="str">
        <f>Z$1 &amp; " Road Approach"</f>
        <v>S Road Approach</v>
      </c>
      <c r="Q1209" s="111"/>
      <c r="R1209" s="111"/>
      <c r="S1209" s="111"/>
      <c r="T1209" s="111"/>
      <c r="U1209" s="48"/>
      <c r="V1209" s="48"/>
      <c r="W1209" s="48"/>
      <c r="X1209" s="48"/>
      <c r="Y1209" s="48"/>
      <c r="Z1209" s="110"/>
      <c r="AA1209" s="110"/>
      <c r="AB1209" s="110"/>
      <c r="AC1209" s="113"/>
      <c r="AD1209" s="154"/>
      <c r="AE1209" s="155"/>
      <c r="AF1209" s="155"/>
      <c r="AG1209" s="155"/>
      <c r="AH1209" s="155"/>
      <c r="AI1209" s="194"/>
    </row>
    <row r="1210" spans="1:35" ht="15" customHeight="1" outlineLevel="1" x14ac:dyDescent="0.45">
      <c r="A1210" s="164" t="s">
        <v>180</v>
      </c>
      <c r="B1210" s="165"/>
      <c r="C1210" s="166"/>
      <c r="D1210" s="86" t="s">
        <v>519</v>
      </c>
      <c r="E1210" s="87"/>
      <c r="F1210" s="87"/>
      <c r="G1210" s="18"/>
      <c r="H1210" s="18"/>
      <c r="I1210" s="18"/>
      <c r="J1210" s="87" t="str">
        <f>V$1 &amp; " Road Approach"</f>
        <v>N Road Approach</v>
      </c>
      <c r="K1210" s="87"/>
      <c r="L1210" s="87"/>
      <c r="M1210" s="87"/>
      <c r="N1210" s="87"/>
      <c r="O1210" s="89"/>
      <c r="P1210" s="89"/>
      <c r="Q1210" s="89"/>
      <c r="R1210" s="89"/>
      <c r="S1210" s="18"/>
      <c r="T1210" s="90"/>
      <c r="U1210" s="87" t="str">
        <f>Z$1 &amp; " Road Approach"</f>
        <v>S Road Approach</v>
      </c>
      <c r="V1210" s="87"/>
      <c r="W1210" s="87"/>
      <c r="X1210" s="87"/>
      <c r="Y1210" s="87"/>
      <c r="Z1210" s="89"/>
      <c r="AA1210" s="89"/>
      <c r="AB1210" s="89"/>
      <c r="AC1210" s="291"/>
      <c r="AD1210" s="147" t="s">
        <v>520</v>
      </c>
      <c r="AE1210" s="148"/>
      <c r="AF1210" s="148"/>
      <c r="AG1210" s="148"/>
      <c r="AH1210" s="148"/>
      <c r="AI1210" s="201"/>
    </row>
    <row r="1211" spans="1:35" ht="15" customHeight="1" outlineLevel="1" x14ac:dyDescent="0.45">
      <c r="A1211" s="159"/>
      <c r="B1211" s="160"/>
      <c r="C1211" s="161"/>
      <c r="D1211" s="279" t="s">
        <v>521</v>
      </c>
      <c r="E1211" s="111"/>
      <c r="F1211" s="111"/>
      <c r="G1211" s="48"/>
      <c r="H1211" s="48"/>
      <c r="I1211" s="48"/>
      <c r="J1211" s="48"/>
      <c r="K1211" s="48"/>
      <c r="L1211" s="48"/>
      <c r="M1211" s="48"/>
      <c r="N1211" s="48"/>
      <c r="O1211" s="48"/>
      <c r="P1211" s="48"/>
      <c r="Q1211" s="48"/>
      <c r="R1211" s="48"/>
      <c r="S1211" s="48"/>
      <c r="T1211" s="48"/>
      <c r="U1211" s="48"/>
      <c r="V1211" s="48"/>
      <c r="W1211" s="48"/>
      <c r="X1211" s="48"/>
      <c r="Y1211" s="48"/>
      <c r="Z1211" s="48"/>
      <c r="AA1211" s="48"/>
      <c r="AB1211" s="48"/>
      <c r="AC1211" s="49"/>
      <c r="AD1211" s="154"/>
      <c r="AE1211" s="155"/>
      <c r="AF1211" s="155"/>
      <c r="AG1211" s="155"/>
      <c r="AH1211" s="155"/>
      <c r="AI1211" s="194"/>
    </row>
    <row r="1212" spans="1:35" ht="15" customHeight="1" outlineLevel="1" x14ac:dyDescent="0.45">
      <c r="A1212" s="164" t="s">
        <v>180</v>
      </c>
      <c r="B1212" s="165"/>
      <c r="C1212" s="166"/>
      <c r="D1212" s="86" t="s">
        <v>522</v>
      </c>
      <c r="E1212" s="87"/>
      <c r="F1212" s="18"/>
      <c r="G1212" s="18"/>
      <c r="H1212" s="18"/>
      <c r="I1212" s="18"/>
      <c r="J1212" s="87" t="str">
        <f>V$1 &amp; " Road Approach"</f>
        <v>N Road Approach</v>
      </c>
      <c r="K1212" s="87"/>
      <c r="L1212" s="87"/>
      <c r="M1212" s="87"/>
      <c r="N1212" s="87"/>
      <c r="O1212" s="89"/>
      <c r="P1212" s="89"/>
      <c r="Q1212" s="89"/>
      <c r="R1212" s="89"/>
      <c r="S1212" s="18"/>
      <c r="T1212" s="90"/>
      <c r="U1212" s="87" t="str">
        <f>Z$1 &amp; " Road Approach"</f>
        <v>S Road Approach</v>
      </c>
      <c r="V1212" s="87"/>
      <c r="W1212" s="87"/>
      <c r="X1212" s="87"/>
      <c r="Y1212" s="87"/>
      <c r="Z1212" s="89"/>
      <c r="AA1212" s="89"/>
      <c r="AB1212" s="89"/>
      <c r="AC1212" s="291"/>
      <c r="AD1212" s="147" t="s">
        <v>523</v>
      </c>
      <c r="AE1212" s="148"/>
      <c r="AF1212" s="148"/>
      <c r="AG1212" s="148"/>
      <c r="AH1212" s="148"/>
      <c r="AI1212" s="201"/>
    </row>
    <row r="1213" spans="1:35" ht="15" customHeight="1" outlineLevel="1" x14ac:dyDescent="0.45">
      <c r="A1213" s="159"/>
      <c r="B1213" s="160"/>
      <c r="C1213" s="161"/>
      <c r="D1213" s="279" t="s">
        <v>521</v>
      </c>
      <c r="E1213" s="111"/>
      <c r="F1213" s="111"/>
      <c r="G1213" s="48"/>
      <c r="H1213" s="48"/>
      <c r="I1213" s="48"/>
      <c r="J1213" s="48"/>
      <c r="K1213" s="48"/>
      <c r="L1213" s="48"/>
      <c r="M1213" s="48"/>
      <c r="N1213" s="48"/>
      <c r="O1213" s="48"/>
      <c r="P1213" s="48"/>
      <c r="Q1213" s="48"/>
      <c r="R1213" s="48"/>
      <c r="S1213" s="48"/>
      <c r="T1213" s="48"/>
      <c r="U1213" s="48"/>
      <c r="V1213" s="48"/>
      <c r="W1213" s="48"/>
      <c r="X1213" s="48"/>
      <c r="Y1213" s="48"/>
      <c r="Z1213" s="48"/>
      <c r="AA1213" s="48"/>
      <c r="AB1213" s="48"/>
      <c r="AC1213" s="49"/>
      <c r="AD1213" s="154"/>
      <c r="AE1213" s="155"/>
      <c r="AF1213" s="155"/>
      <c r="AG1213" s="155"/>
      <c r="AH1213" s="155"/>
      <c r="AI1213" s="194"/>
    </row>
    <row r="1214" spans="1:35" ht="15" customHeight="1" outlineLevel="1" x14ac:dyDescent="0.45">
      <c r="A1214" s="168" t="s">
        <v>180</v>
      </c>
      <c r="B1214" s="169"/>
      <c r="C1214" s="170"/>
      <c r="D1214" s="116" t="s">
        <v>524</v>
      </c>
      <c r="E1214" s="117"/>
      <c r="F1214" s="117"/>
      <c r="G1214" s="117"/>
      <c r="H1214" s="117"/>
      <c r="I1214" s="117"/>
      <c r="J1214" s="117"/>
      <c r="K1214" s="117"/>
      <c r="L1214" s="117"/>
      <c r="M1214" s="117"/>
      <c r="N1214" s="117"/>
      <c r="O1214" s="117"/>
      <c r="P1214" s="117"/>
      <c r="Q1214" s="117"/>
      <c r="R1214" s="117"/>
      <c r="S1214" s="117"/>
      <c r="T1214" s="117"/>
      <c r="U1214" s="117"/>
      <c r="V1214" s="117"/>
      <c r="W1214" s="117"/>
      <c r="X1214" s="117"/>
      <c r="Y1214" s="52"/>
      <c r="Z1214" s="52"/>
      <c r="AA1214" s="52"/>
      <c r="AB1214" s="52"/>
      <c r="AC1214" s="119"/>
      <c r="AD1214" s="214" t="s">
        <v>525</v>
      </c>
      <c r="AE1214" s="215"/>
      <c r="AF1214" s="215"/>
      <c r="AG1214" s="215"/>
      <c r="AH1214" s="215"/>
      <c r="AI1214" s="216"/>
    </row>
    <row r="1215" spans="1:35" ht="15" customHeight="1" outlineLevel="1" x14ac:dyDescent="0.45">
      <c r="A1215" s="164" t="s">
        <v>180</v>
      </c>
      <c r="B1215" s="165"/>
      <c r="C1215" s="166"/>
      <c r="D1215" s="86" t="s">
        <v>526</v>
      </c>
      <c r="E1215" s="87"/>
      <c r="F1215" s="18"/>
      <c r="G1215" s="18"/>
      <c r="H1215" s="18"/>
      <c r="I1215" s="18"/>
      <c r="J1215" s="87" t="str">
        <f>V$1 &amp; " Road Approach"</f>
        <v>N Road Approach</v>
      </c>
      <c r="K1215" s="87"/>
      <c r="L1215" s="87"/>
      <c r="M1215" s="87"/>
      <c r="N1215" s="87"/>
      <c r="O1215" s="89"/>
      <c r="P1215" s="89"/>
      <c r="Q1215" s="89"/>
      <c r="R1215" s="89"/>
      <c r="S1215" s="18"/>
      <c r="T1215" s="90"/>
      <c r="U1215" s="87" t="str">
        <f>Z$1 &amp; " Road Approach"</f>
        <v>S Road Approach</v>
      </c>
      <c r="V1215" s="87"/>
      <c r="W1215" s="87"/>
      <c r="X1215" s="87"/>
      <c r="Y1215" s="87"/>
      <c r="Z1215" s="89"/>
      <c r="AA1215" s="89"/>
      <c r="AB1215" s="89"/>
      <c r="AC1215" s="291"/>
      <c r="AD1215" s="147" t="s">
        <v>527</v>
      </c>
      <c r="AE1215" s="148"/>
      <c r="AF1215" s="148"/>
      <c r="AG1215" s="148"/>
      <c r="AH1215" s="148"/>
      <c r="AI1215" s="201"/>
    </row>
    <row r="1216" spans="1:35" ht="15" customHeight="1" outlineLevel="1" x14ac:dyDescent="0.45">
      <c r="A1216" s="159"/>
      <c r="B1216" s="160"/>
      <c r="C1216" s="161"/>
      <c r="D1216" s="171" t="s">
        <v>521</v>
      </c>
      <c r="E1216" s="110"/>
      <c r="F1216" s="110"/>
      <c r="G1216" s="48"/>
      <c r="H1216" s="48"/>
      <c r="I1216" s="48"/>
      <c r="J1216" s="48"/>
      <c r="K1216" s="48"/>
      <c r="L1216" s="48"/>
      <c r="M1216" s="48"/>
      <c r="N1216" s="48"/>
      <c r="O1216" s="48"/>
      <c r="P1216" s="48"/>
      <c r="Q1216" s="48"/>
      <c r="R1216" s="48"/>
      <c r="S1216" s="48"/>
      <c r="T1216" s="48"/>
      <c r="U1216" s="48"/>
      <c r="V1216" s="48"/>
      <c r="W1216" s="48"/>
      <c r="X1216" s="48"/>
      <c r="Y1216" s="48"/>
      <c r="Z1216" s="48"/>
      <c r="AA1216" s="48"/>
      <c r="AB1216" s="48"/>
      <c r="AC1216" s="49"/>
      <c r="AD1216" s="154"/>
      <c r="AE1216" s="155"/>
      <c r="AF1216" s="155"/>
      <c r="AG1216" s="155"/>
      <c r="AH1216" s="155"/>
      <c r="AI1216" s="194"/>
    </row>
    <row r="1217" spans="1:35" ht="15" customHeight="1" outlineLevel="1" x14ac:dyDescent="0.45">
      <c r="A1217" s="164" t="s">
        <v>180</v>
      </c>
      <c r="B1217" s="165"/>
      <c r="C1217" s="166"/>
      <c r="D1217" s="86" t="s">
        <v>528</v>
      </c>
      <c r="E1217" s="87"/>
      <c r="F1217" s="87"/>
      <c r="G1217" s="87"/>
      <c r="H1217" s="87"/>
      <c r="I1217" s="18"/>
      <c r="J1217" s="87" t="str">
        <f>V$1 &amp; " Road Approach"</f>
        <v>N Road Approach</v>
      </c>
      <c r="K1217" s="87"/>
      <c r="L1217" s="87"/>
      <c r="M1217" s="87"/>
      <c r="N1217" s="87"/>
      <c r="O1217" s="89"/>
      <c r="P1217" s="89"/>
      <c r="Q1217" s="89"/>
      <c r="R1217" s="89"/>
      <c r="S1217" s="18"/>
      <c r="T1217" s="90"/>
      <c r="U1217" s="87" t="str">
        <f>Z$1 &amp; " Road Approach"</f>
        <v>S Road Approach</v>
      </c>
      <c r="V1217" s="87"/>
      <c r="W1217" s="87"/>
      <c r="X1217" s="87"/>
      <c r="Y1217" s="87"/>
      <c r="Z1217" s="89"/>
      <c r="AA1217" s="89"/>
      <c r="AB1217" s="89"/>
      <c r="AC1217" s="291"/>
      <c r="AD1217" s="147" t="s">
        <v>529</v>
      </c>
      <c r="AE1217" s="148"/>
      <c r="AF1217" s="148"/>
      <c r="AG1217" s="148"/>
      <c r="AH1217" s="148"/>
      <c r="AI1217" s="201"/>
    </row>
    <row r="1218" spans="1:35" ht="15" customHeight="1" outlineLevel="1" x14ac:dyDescent="0.45">
      <c r="A1218" s="159"/>
      <c r="B1218" s="160"/>
      <c r="C1218" s="161"/>
      <c r="D1218" s="279" t="s">
        <v>521</v>
      </c>
      <c r="E1218" s="111"/>
      <c r="F1218" s="111"/>
      <c r="G1218" s="48"/>
      <c r="H1218" s="48"/>
      <c r="I1218" s="48"/>
      <c r="J1218" s="48"/>
      <c r="K1218" s="48"/>
      <c r="L1218" s="48"/>
      <c r="M1218" s="48"/>
      <c r="N1218" s="48"/>
      <c r="O1218" s="48"/>
      <c r="P1218" s="48"/>
      <c r="Q1218" s="48"/>
      <c r="R1218" s="48"/>
      <c r="S1218" s="48"/>
      <c r="T1218" s="48"/>
      <c r="U1218" s="48"/>
      <c r="V1218" s="48"/>
      <c r="W1218" s="48"/>
      <c r="X1218" s="48"/>
      <c r="Y1218" s="48"/>
      <c r="Z1218" s="48"/>
      <c r="AA1218" s="48"/>
      <c r="AB1218" s="48"/>
      <c r="AC1218" s="49"/>
      <c r="AD1218" s="154"/>
      <c r="AE1218" s="155"/>
      <c r="AF1218" s="155"/>
      <c r="AG1218" s="155"/>
      <c r="AH1218" s="155"/>
      <c r="AI1218" s="194"/>
    </row>
    <row r="1219" spans="1:35" ht="15" customHeight="1" outlineLevel="1" x14ac:dyDescent="0.45">
      <c r="A1219" s="586" t="s">
        <v>101</v>
      </c>
      <c r="B1219" s="512"/>
      <c r="C1219" s="513"/>
      <c r="D1219" s="283" t="s">
        <v>530</v>
      </c>
      <c r="E1219" s="284"/>
      <c r="F1219" s="284"/>
      <c r="G1219" s="284"/>
      <c r="H1219" s="284"/>
      <c r="I1219" s="284"/>
      <c r="J1219" s="284"/>
      <c r="K1219" s="284"/>
      <c r="L1219" s="284"/>
      <c r="M1219" s="284"/>
      <c r="N1219" s="284"/>
      <c r="O1219" s="284"/>
      <c r="P1219" s="284"/>
      <c r="Q1219" s="284"/>
      <c r="R1219" s="284"/>
      <c r="S1219" s="284"/>
      <c r="T1219" s="284"/>
      <c r="U1219" s="284"/>
      <c r="V1219" s="284"/>
      <c r="W1219" s="284"/>
      <c r="X1219" s="284"/>
      <c r="Y1219" s="587"/>
      <c r="Z1219" s="587"/>
      <c r="AA1219" s="587"/>
      <c r="AB1219" s="587"/>
      <c r="AC1219" s="452"/>
      <c r="AD1219" s="147" t="s">
        <v>531</v>
      </c>
      <c r="AE1219" s="148"/>
      <c r="AF1219" s="148"/>
      <c r="AG1219" s="148"/>
      <c r="AH1219" s="148"/>
      <c r="AI1219" s="201"/>
    </row>
    <row r="1220" spans="1:35" ht="15" customHeight="1" outlineLevel="1" x14ac:dyDescent="0.45">
      <c r="A1220" s="588"/>
      <c r="B1220" s="589"/>
      <c r="C1220" s="590"/>
      <c r="D1220" s="285"/>
      <c r="E1220" s="286"/>
      <c r="F1220" s="286"/>
      <c r="G1220" s="286"/>
      <c r="H1220" s="286"/>
      <c r="I1220" s="286"/>
      <c r="J1220" s="286"/>
      <c r="K1220" s="286"/>
      <c r="L1220" s="286"/>
      <c r="M1220" s="286"/>
      <c r="N1220" s="286"/>
      <c r="O1220" s="286"/>
      <c r="P1220" s="286"/>
      <c r="Q1220" s="286"/>
      <c r="R1220" s="286"/>
      <c r="S1220" s="286"/>
      <c r="T1220" s="286"/>
      <c r="U1220" s="286"/>
      <c r="V1220" s="286"/>
      <c r="W1220" s="286"/>
      <c r="X1220" s="286"/>
      <c r="Y1220" s="585"/>
      <c r="Z1220" s="585"/>
      <c r="AA1220" s="585"/>
      <c r="AB1220" s="585"/>
      <c r="AC1220" s="452"/>
      <c r="AD1220" s="154"/>
      <c r="AE1220" s="155"/>
      <c r="AF1220" s="155"/>
      <c r="AG1220" s="155"/>
      <c r="AH1220" s="155"/>
      <c r="AI1220" s="194"/>
    </row>
    <row r="1221" spans="1:35" ht="15" customHeight="1" outlineLevel="1" x14ac:dyDescent="0.45">
      <c r="A1221" s="164" t="s">
        <v>180</v>
      </c>
      <c r="B1221" s="165"/>
      <c r="C1221" s="166"/>
      <c r="D1221" s="283" t="s">
        <v>532</v>
      </c>
      <c r="E1221" s="284"/>
      <c r="F1221" s="284"/>
      <c r="G1221" s="284"/>
      <c r="H1221" s="284"/>
      <c r="I1221" s="284"/>
      <c r="J1221" s="284"/>
      <c r="K1221" s="284"/>
      <c r="L1221" s="284"/>
      <c r="M1221" s="284"/>
      <c r="N1221" s="284"/>
      <c r="O1221" s="284"/>
      <c r="P1221" s="284"/>
      <c r="Q1221" s="284"/>
      <c r="R1221" s="284"/>
      <c r="S1221" s="284"/>
      <c r="T1221" s="284"/>
      <c r="U1221" s="284"/>
      <c r="V1221" s="284"/>
      <c r="W1221" s="284"/>
      <c r="X1221" s="284"/>
      <c r="Y1221" s="587"/>
      <c r="Z1221" s="587"/>
      <c r="AA1221" s="587"/>
      <c r="AB1221" s="587"/>
      <c r="AC1221" s="349"/>
      <c r="AD1221" s="147" t="s">
        <v>533</v>
      </c>
      <c r="AE1221" s="148"/>
      <c r="AF1221" s="148"/>
      <c r="AG1221" s="148"/>
      <c r="AH1221" s="148"/>
      <c r="AI1221" s="201"/>
    </row>
    <row r="1222" spans="1:35" ht="15" customHeight="1" outlineLevel="1" x14ac:dyDescent="0.45">
      <c r="A1222" s="159"/>
      <c r="B1222" s="160"/>
      <c r="C1222" s="161"/>
      <c r="D1222" s="285"/>
      <c r="E1222" s="286"/>
      <c r="F1222" s="286"/>
      <c r="G1222" s="286"/>
      <c r="H1222" s="286"/>
      <c r="I1222" s="286"/>
      <c r="J1222" s="286"/>
      <c r="K1222" s="286"/>
      <c r="L1222" s="286"/>
      <c r="M1222" s="286"/>
      <c r="N1222" s="286"/>
      <c r="O1222" s="286"/>
      <c r="P1222" s="286"/>
      <c r="Q1222" s="286"/>
      <c r="R1222" s="286"/>
      <c r="S1222" s="286"/>
      <c r="T1222" s="286"/>
      <c r="U1222" s="286"/>
      <c r="V1222" s="286"/>
      <c r="W1222" s="286"/>
      <c r="X1222" s="286"/>
      <c r="Y1222" s="585"/>
      <c r="Z1222" s="585"/>
      <c r="AA1222" s="585"/>
      <c r="AB1222" s="585"/>
      <c r="AC1222" s="172"/>
      <c r="AD1222" s="154"/>
      <c r="AE1222" s="155"/>
      <c r="AF1222" s="155"/>
      <c r="AG1222" s="155"/>
      <c r="AH1222" s="155"/>
      <c r="AI1222" s="194"/>
    </row>
    <row r="1223" spans="1:35" ht="15" customHeight="1" outlineLevel="1" x14ac:dyDescent="0.45">
      <c r="A1223" s="164" t="s">
        <v>180</v>
      </c>
      <c r="B1223" s="165"/>
      <c r="C1223" s="166"/>
      <c r="D1223" s="283" t="s">
        <v>534</v>
      </c>
      <c r="E1223" s="284"/>
      <c r="F1223" s="284"/>
      <c r="G1223" s="284"/>
      <c r="H1223" s="284"/>
      <c r="I1223" s="284"/>
      <c r="J1223" s="284"/>
      <c r="K1223" s="284"/>
      <c r="L1223" s="284"/>
      <c r="M1223" s="284"/>
      <c r="N1223" s="284"/>
      <c r="O1223" s="284"/>
      <c r="P1223" s="284"/>
      <c r="Q1223" s="284"/>
      <c r="R1223" s="284"/>
      <c r="S1223" s="284"/>
      <c r="T1223" s="284"/>
      <c r="U1223" s="284"/>
      <c r="V1223" s="284"/>
      <c r="W1223" s="284"/>
      <c r="X1223" s="284"/>
      <c r="Y1223" s="591"/>
      <c r="Z1223" s="591"/>
      <c r="AA1223" s="591"/>
      <c r="AB1223" s="591"/>
      <c r="AC1223" s="349"/>
      <c r="AD1223" s="147" t="s">
        <v>535</v>
      </c>
      <c r="AE1223" s="148"/>
      <c r="AF1223" s="148"/>
      <c r="AG1223" s="148"/>
      <c r="AH1223" s="148"/>
      <c r="AI1223" s="201"/>
    </row>
    <row r="1224" spans="1:35" ht="15" customHeight="1" outlineLevel="1" x14ac:dyDescent="0.45">
      <c r="A1224" s="159"/>
      <c r="B1224" s="160"/>
      <c r="C1224" s="161"/>
      <c r="D1224" s="285"/>
      <c r="E1224" s="286"/>
      <c r="F1224" s="286"/>
      <c r="G1224" s="286"/>
      <c r="H1224" s="286"/>
      <c r="I1224" s="286"/>
      <c r="J1224" s="286"/>
      <c r="K1224" s="286"/>
      <c r="L1224" s="286"/>
      <c r="M1224" s="286"/>
      <c r="N1224" s="286"/>
      <c r="O1224" s="286"/>
      <c r="P1224" s="286"/>
      <c r="Q1224" s="286"/>
      <c r="R1224" s="286"/>
      <c r="S1224" s="286"/>
      <c r="T1224" s="286"/>
      <c r="U1224" s="286"/>
      <c r="V1224" s="286"/>
      <c r="W1224" s="286"/>
      <c r="X1224" s="286"/>
      <c r="Y1224" s="592"/>
      <c r="Z1224" s="592"/>
      <c r="AA1224" s="592"/>
      <c r="AB1224" s="592"/>
      <c r="AC1224" s="290"/>
      <c r="AD1224" s="154"/>
      <c r="AE1224" s="155"/>
      <c r="AF1224" s="155"/>
      <c r="AG1224" s="155"/>
      <c r="AH1224" s="155"/>
      <c r="AI1224" s="194"/>
    </row>
    <row r="1225" spans="1:35" ht="15" customHeight="1" outlineLevel="1" x14ac:dyDescent="0.45">
      <c r="A1225" s="164" t="s">
        <v>180</v>
      </c>
      <c r="B1225" s="165"/>
      <c r="C1225" s="166"/>
      <c r="D1225" s="283" t="s">
        <v>536</v>
      </c>
      <c r="E1225" s="284"/>
      <c r="F1225" s="284"/>
      <c r="G1225" s="284"/>
      <c r="H1225" s="284"/>
      <c r="I1225" s="284"/>
      <c r="J1225" s="284"/>
      <c r="K1225" s="284"/>
      <c r="L1225" s="284"/>
      <c r="M1225" s="284"/>
      <c r="N1225" s="284"/>
      <c r="O1225" s="284"/>
      <c r="P1225" s="284"/>
      <c r="Q1225" s="284"/>
      <c r="R1225" s="284"/>
      <c r="S1225" s="284"/>
      <c r="T1225" s="284"/>
      <c r="U1225" s="284"/>
      <c r="V1225" s="284"/>
      <c r="W1225" s="284"/>
      <c r="X1225" s="284"/>
      <c r="Y1225" s="587"/>
      <c r="Z1225" s="587"/>
      <c r="AA1225" s="587"/>
      <c r="AB1225" s="587"/>
      <c r="AC1225" s="349"/>
      <c r="AD1225" s="147" t="s">
        <v>537</v>
      </c>
      <c r="AE1225" s="148"/>
      <c r="AF1225" s="148"/>
      <c r="AG1225" s="148"/>
      <c r="AH1225" s="148"/>
      <c r="AI1225" s="201"/>
    </row>
    <row r="1226" spans="1:35" ht="15" customHeight="1" outlineLevel="1" x14ac:dyDescent="0.45">
      <c r="A1226" s="159"/>
      <c r="B1226" s="160"/>
      <c r="C1226" s="161"/>
      <c r="D1226" s="285"/>
      <c r="E1226" s="286"/>
      <c r="F1226" s="286"/>
      <c r="G1226" s="286"/>
      <c r="H1226" s="286"/>
      <c r="I1226" s="286"/>
      <c r="J1226" s="286"/>
      <c r="K1226" s="286"/>
      <c r="L1226" s="286"/>
      <c r="M1226" s="286"/>
      <c r="N1226" s="286"/>
      <c r="O1226" s="286"/>
      <c r="P1226" s="286"/>
      <c r="Q1226" s="286"/>
      <c r="R1226" s="286"/>
      <c r="S1226" s="286"/>
      <c r="T1226" s="286"/>
      <c r="U1226" s="286"/>
      <c r="V1226" s="286"/>
      <c r="W1226" s="286"/>
      <c r="X1226" s="286"/>
      <c r="Y1226" s="585"/>
      <c r="Z1226" s="585"/>
      <c r="AA1226" s="585"/>
      <c r="AB1226" s="585"/>
      <c r="AC1226" s="172"/>
      <c r="AD1226" s="154"/>
      <c r="AE1226" s="155"/>
      <c r="AF1226" s="155"/>
      <c r="AG1226" s="155"/>
      <c r="AH1226" s="155"/>
      <c r="AI1226" s="194"/>
    </row>
    <row r="1227" spans="1:35" ht="15" customHeight="1" outlineLevel="1" x14ac:dyDescent="0.45">
      <c r="A1227" s="168" t="s">
        <v>180</v>
      </c>
      <c r="B1227" s="169"/>
      <c r="C1227" s="170"/>
      <c r="D1227" s="86" t="s">
        <v>538</v>
      </c>
      <c r="E1227" s="87"/>
      <c r="F1227" s="87"/>
      <c r="G1227" s="87"/>
      <c r="H1227" s="87"/>
      <c r="I1227" s="87"/>
      <c r="J1227" s="87"/>
      <c r="K1227" s="87"/>
      <c r="L1227" s="87"/>
      <c r="M1227" s="87"/>
      <c r="N1227" s="87"/>
      <c r="O1227" s="87"/>
      <c r="P1227" s="87"/>
      <c r="Q1227" s="87"/>
      <c r="R1227" s="87"/>
      <c r="S1227" s="87"/>
      <c r="T1227" s="87"/>
      <c r="U1227" s="87"/>
      <c r="V1227" s="87"/>
      <c r="W1227" s="87"/>
      <c r="X1227" s="87"/>
      <c r="Y1227" s="578"/>
      <c r="Z1227" s="578"/>
      <c r="AA1227" s="578"/>
      <c r="AB1227" s="578"/>
      <c r="AC1227" s="290"/>
      <c r="AD1227" s="214" t="s">
        <v>539</v>
      </c>
      <c r="AE1227" s="215"/>
      <c r="AF1227" s="215"/>
      <c r="AG1227" s="215"/>
      <c r="AH1227" s="215"/>
      <c r="AI1227" s="216"/>
    </row>
    <row r="1228" spans="1:35" ht="15" customHeight="1" outlineLevel="1" x14ac:dyDescent="0.45">
      <c r="A1228" s="593" t="s">
        <v>180</v>
      </c>
      <c r="B1228" s="593"/>
      <c r="C1228" s="593"/>
      <c r="D1228" s="284" t="s">
        <v>540</v>
      </c>
      <c r="E1228" s="284"/>
      <c r="F1228" s="284"/>
      <c r="G1228" s="284"/>
      <c r="H1228" s="284"/>
      <c r="I1228" s="284"/>
      <c r="J1228" s="284"/>
      <c r="K1228" s="284"/>
      <c r="L1228" s="284"/>
      <c r="M1228" s="284"/>
      <c r="N1228" s="284"/>
      <c r="O1228" s="284"/>
      <c r="P1228" s="284"/>
      <c r="Q1228" s="284"/>
      <c r="R1228" s="284"/>
      <c r="S1228" s="284"/>
      <c r="T1228" s="284"/>
      <c r="U1228" s="284"/>
      <c r="V1228" s="284"/>
      <c r="W1228" s="284"/>
      <c r="X1228" s="284"/>
      <c r="Y1228" s="594"/>
      <c r="Z1228" s="595"/>
      <c r="AA1228" s="595"/>
      <c r="AB1228" s="596"/>
      <c r="AC1228" s="90"/>
      <c r="AD1228" s="597" t="s">
        <v>541</v>
      </c>
      <c r="AE1228" s="597"/>
      <c r="AF1228" s="597"/>
      <c r="AG1228" s="597"/>
      <c r="AH1228" s="597"/>
      <c r="AI1228" s="597"/>
    </row>
    <row r="1229" spans="1:35" ht="15" customHeight="1" outlineLevel="1" x14ac:dyDescent="0.45">
      <c r="A1229" s="593"/>
      <c r="B1229" s="593"/>
      <c r="C1229" s="593"/>
      <c r="D1229" s="175"/>
      <c r="E1229" s="175"/>
      <c r="F1229" s="175"/>
      <c r="G1229" s="175"/>
      <c r="H1229" s="175"/>
      <c r="I1229" s="175"/>
      <c r="J1229" s="175"/>
      <c r="K1229" s="175"/>
      <c r="L1229" s="175"/>
      <c r="M1229" s="175"/>
      <c r="N1229" s="175"/>
      <c r="O1229" s="175"/>
      <c r="P1229" s="175"/>
      <c r="Q1229" s="175"/>
      <c r="R1229" s="175"/>
      <c r="S1229" s="175"/>
      <c r="T1229" s="175"/>
      <c r="U1229" s="175"/>
      <c r="V1229" s="175"/>
      <c r="W1229" s="175"/>
      <c r="X1229" s="175"/>
      <c r="Y1229" s="598"/>
      <c r="Z1229" s="599"/>
      <c r="AA1229" s="599"/>
      <c r="AB1229" s="600"/>
      <c r="AC1229" s="6"/>
      <c r="AD1229" s="597"/>
      <c r="AE1229" s="597"/>
      <c r="AF1229" s="597"/>
      <c r="AG1229" s="597"/>
      <c r="AH1229" s="597"/>
      <c r="AI1229" s="597"/>
    </row>
    <row r="1230" spans="1:35" ht="15" customHeight="1" outlineLevel="1" x14ac:dyDescent="0.45">
      <c r="A1230" s="593" t="s">
        <v>180</v>
      </c>
      <c r="B1230" s="593"/>
      <c r="C1230" s="593"/>
      <c r="D1230" s="284" t="s">
        <v>542</v>
      </c>
      <c r="E1230" s="284"/>
      <c r="F1230" s="284"/>
      <c r="G1230" s="284"/>
      <c r="H1230" s="284"/>
      <c r="I1230" s="284"/>
      <c r="J1230" s="284"/>
      <c r="K1230" s="284"/>
      <c r="L1230" s="284"/>
      <c r="M1230" s="284"/>
      <c r="N1230" s="284"/>
      <c r="O1230" s="284"/>
      <c r="P1230" s="284"/>
      <c r="Q1230" s="284"/>
      <c r="R1230" s="284"/>
      <c r="S1230" s="284"/>
      <c r="T1230" s="284"/>
      <c r="U1230" s="284"/>
      <c r="V1230" s="284"/>
      <c r="W1230" s="284"/>
      <c r="X1230" s="284"/>
      <c r="Y1230" s="587"/>
      <c r="Z1230" s="587"/>
      <c r="AA1230" s="587"/>
      <c r="AB1230" s="587"/>
      <c r="AC1230" s="90"/>
      <c r="AD1230" s="147" t="s">
        <v>543</v>
      </c>
      <c r="AE1230" s="148"/>
      <c r="AF1230" s="148"/>
      <c r="AG1230" s="148"/>
      <c r="AH1230" s="148"/>
      <c r="AI1230" s="201"/>
    </row>
    <row r="1231" spans="1:35" ht="15" customHeight="1" outlineLevel="1" x14ac:dyDescent="0.45">
      <c r="A1231" s="593"/>
      <c r="B1231" s="593"/>
      <c r="C1231" s="593"/>
      <c r="D1231" s="286"/>
      <c r="E1231" s="286"/>
      <c r="F1231" s="286"/>
      <c r="G1231" s="286"/>
      <c r="H1231" s="286"/>
      <c r="I1231" s="286"/>
      <c r="J1231" s="286"/>
      <c r="K1231" s="286"/>
      <c r="L1231" s="286"/>
      <c r="M1231" s="286"/>
      <c r="N1231" s="286"/>
      <c r="O1231" s="286"/>
      <c r="P1231" s="286"/>
      <c r="Q1231" s="286"/>
      <c r="R1231" s="286"/>
      <c r="S1231" s="286"/>
      <c r="T1231" s="286"/>
      <c r="U1231" s="286"/>
      <c r="V1231" s="286"/>
      <c r="W1231" s="286"/>
      <c r="X1231" s="286"/>
      <c r="Y1231" s="585"/>
      <c r="Z1231" s="585"/>
      <c r="AA1231" s="585"/>
      <c r="AB1231" s="585"/>
      <c r="AC1231" s="142"/>
      <c r="AD1231" s="154"/>
      <c r="AE1231" s="155"/>
      <c r="AF1231" s="155"/>
      <c r="AG1231" s="155"/>
      <c r="AH1231" s="155"/>
      <c r="AI1231" s="194"/>
    </row>
    <row r="1232" spans="1:35" ht="15" customHeight="1" outlineLevel="1" x14ac:dyDescent="0.45"/>
    <row r="1233" spans="1:37" ht="15" customHeight="1" outlineLevel="1" x14ac:dyDescent="0.45">
      <c r="A1233" s="176" t="s">
        <v>208</v>
      </c>
      <c r="B1233" s="177"/>
      <c r="C1233" s="177"/>
      <c r="D1233" s="177"/>
      <c r="E1233" s="177"/>
      <c r="F1233" s="177"/>
      <c r="G1233" s="177"/>
      <c r="H1233" s="177"/>
      <c r="I1233" s="177"/>
      <c r="J1233" s="177"/>
      <c r="K1233" s="177"/>
      <c r="L1233" s="177"/>
      <c r="M1233" s="177"/>
      <c r="N1233" s="177"/>
      <c r="O1233" s="177"/>
      <c r="P1233" s="177"/>
      <c r="Q1233" s="177"/>
      <c r="R1233" s="177"/>
      <c r="S1233" s="177"/>
      <c r="T1233" s="177"/>
      <c r="U1233" s="177"/>
      <c r="V1233" s="177"/>
      <c r="W1233" s="177"/>
      <c r="X1233" s="177"/>
      <c r="Y1233" s="177"/>
      <c r="Z1233" s="177"/>
      <c r="AA1233" s="177"/>
      <c r="AB1233" s="177"/>
      <c r="AC1233" s="177"/>
      <c r="AD1233" s="177"/>
      <c r="AE1233" s="177"/>
      <c r="AF1233" s="177"/>
      <c r="AG1233" s="177"/>
      <c r="AH1233" s="177"/>
      <c r="AI1233" s="178"/>
    </row>
    <row r="1234" spans="1:37" ht="15" customHeight="1" outlineLevel="1" x14ac:dyDescent="0.45">
      <c r="A1234" s="57"/>
      <c r="B1234" s="58"/>
      <c r="C1234" s="58"/>
      <c r="D1234" s="58"/>
      <c r="E1234" s="58"/>
      <c r="F1234" s="58"/>
      <c r="G1234" s="58"/>
      <c r="H1234" s="58"/>
      <c r="I1234" s="58"/>
      <c r="J1234" s="58"/>
      <c r="K1234" s="58"/>
      <c r="L1234" s="58"/>
      <c r="M1234" s="58"/>
      <c r="N1234" s="58"/>
      <c r="O1234" s="58"/>
      <c r="P1234" s="58"/>
      <c r="Q1234" s="58"/>
      <c r="R1234" s="58"/>
      <c r="S1234" s="58"/>
      <c r="T1234" s="58"/>
      <c r="U1234" s="58"/>
      <c r="V1234" s="58"/>
      <c r="W1234" s="58"/>
      <c r="X1234" s="58"/>
      <c r="Y1234" s="58"/>
      <c r="Z1234" s="58"/>
      <c r="AA1234" s="58"/>
      <c r="AB1234" s="58"/>
      <c r="AC1234" s="58"/>
      <c r="AD1234" s="58"/>
      <c r="AE1234" s="58"/>
      <c r="AF1234" s="58"/>
      <c r="AG1234" s="58"/>
      <c r="AH1234" s="58"/>
      <c r="AI1234" s="59"/>
    </row>
    <row r="1235" spans="1:37" ht="15" customHeight="1" outlineLevel="1" x14ac:dyDescent="0.45">
      <c r="A1235" s="60"/>
      <c r="B1235" s="61"/>
      <c r="C1235" s="61"/>
      <c r="D1235" s="61"/>
      <c r="E1235" s="61"/>
      <c r="F1235" s="61"/>
      <c r="G1235" s="61"/>
      <c r="H1235" s="61"/>
      <c r="I1235" s="61"/>
      <c r="J1235" s="61"/>
      <c r="K1235" s="61"/>
      <c r="L1235" s="61"/>
      <c r="M1235" s="61"/>
      <c r="N1235" s="61"/>
      <c r="O1235" s="61"/>
      <c r="P1235" s="61"/>
      <c r="Q1235" s="61"/>
      <c r="R1235" s="61"/>
      <c r="S1235" s="61"/>
      <c r="T1235" s="61"/>
      <c r="U1235" s="61"/>
      <c r="V1235" s="61"/>
      <c r="W1235" s="61"/>
      <c r="X1235" s="61"/>
      <c r="Y1235" s="61"/>
      <c r="Z1235" s="61"/>
      <c r="AA1235" s="61"/>
      <c r="AB1235" s="61"/>
      <c r="AC1235" s="61"/>
      <c r="AD1235" s="61"/>
      <c r="AE1235" s="61"/>
      <c r="AF1235" s="61"/>
      <c r="AG1235" s="61"/>
      <c r="AH1235" s="61"/>
      <c r="AI1235" s="62"/>
    </row>
    <row r="1236" spans="1:37" ht="15" customHeight="1" outlineLevel="1" x14ac:dyDescent="0.45">
      <c r="A1236" s="60"/>
      <c r="B1236" s="61"/>
      <c r="C1236" s="61"/>
      <c r="D1236" s="61"/>
      <c r="E1236" s="61"/>
      <c r="F1236" s="61"/>
      <c r="G1236" s="61"/>
      <c r="H1236" s="61"/>
      <c r="I1236" s="61"/>
      <c r="J1236" s="61"/>
      <c r="K1236" s="61"/>
      <c r="L1236" s="61"/>
      <c r="M1236" s="61"/>
      <c r="N1236" s="61"/>
      <c r="O1236" s="61"/>
      <c r="P1236" s="61"/>
      <c r="Q1236" s="61"/>
      <c r="R1236" s="61"/>
      <c r="S1236" s="61"/>
      <c r="T1236" s="61"/>
      <c r="U1236" s="61"/>
      <c r="V1236" s="61"/>
      <c r="W1236" s="61"/>
      <c r="X1236" s="61"/>
      <c r="Y1236" s="61"/>
      <c r="Z1236" s="61"/>
      <c r="AA1236" s="61"/>
      <c r="AB1236" s="61"/>
      <c r="AC1236" s="61"/>
      <c r="AD1236" s="61"/>
      <c r="AE1236" s="61"/>
      <c r="AF1236" s="61"/>
      <c r="AG1236" s="61"/>
      <c r="AH1236" s="61"/>
      <c r="AI1236" s="62"/>
    </row>
    <row r="1237" spans="1:37" ht="15" customHeight="1" outlineLevel="1" x14ac:dyDescent="0.45">
      <c r="A1237" s="60"/>
      <c r="B1237" s="61"/>
      <c r="C1237" s="61"/>
      <c r="D1237" s="61"/>
      <c r="E1237" s="61"/>
      <c r="F1237" s="61"/>
      <c r="G1237" s="61"/>
      <c r="H1237" s="61"/>
      <c r="I1237" s="61"/>
      <c r="J1237" s="61"/>
      <c r="K1237" s="61"/>
      <c r="L1237" s="61"/>
      <c r="M1237" s="61"/>
      <c r="N1237" s="61"/>
      <c r="O1237" s="61"/>
      <c r="P1237" s="61"/>
      <c r="Q1237" s="61"/>
      <c r="R1237" s="61"/>
      <c r="S1237" s="61"/>
      <c r="T1237" s="61"/>
      <c r="U1237" s="61"/>
      <c r="V1237" s="61"/>
      <c r="W1237" s="61"/>
      <c r="X1237" s="61"/>
      <c r="Y1237" s="61"/>
      <c r="Z1237" s="61"/>
      <c r="AA1237" s="61"/>
      <c r="AB1237" s="61"/>
      <c r="AC1237" s="61"/>
      <c r="AD1237" s="61"/>
      <c r="AE1237" s="61"/>
      <c r="AF1237" s="61"/>
      <c r="AG1237" s="61"/>
      <c r="AH1237" s="61"/>
      <c r="AI1237" s="62"/>
    </row>
    <row r="1238" spans="1:37" ht="15" customHeight="1" outlineLevel="1" x14ac:dyDescent="0.45">
      <c r="A1238" s="60"/>
      <c r="B1238" s="61"/>
      <c r="C1238" s="61"/>
      <c r="D1238" s="61"/>
      <c r="E1238" s="61"/>
      <c r="F1238" s="61"/>
      <c r="G1238" s="61"/>
      <c r="H1238" s="61"/>
      <c r="I1238" s="61"/>
      <c r="J1238" s="61"/>
      <c r="K1238" s="61"/>
      <c r="L1238" s="61"/>
      <c r="M1238" s="61"/>
      <c r="N1238" s="61"/>
      <c r="O1238" s="61"/>
      <c r="P1238" s="61"/>
      <c r="Q1238" s="61"/>
      <c r="R1238" s="61"/>
      <c r="S1238" s="61"/>
      <c r="T1238" s="61"/>
      <c r="U1238" s="61"/>
      <c r="V1238" s="61"/>
      <c r="W1238" s="61"/>
      <c r="X1238" s="61"/>
      <c r="Y1238" s="61"/>
      <c r="Z1238" s="61"/>
      <c r="AA1238" s="61"/>
      <c r="AB1238" s="61"/>
      <c r="AC1238" s="61"/>
      <c r="AD1238" s="61"/>
      <c r="AE1238" s="61"/>
      <c r="AF1238" s="61"/>
      <c r="AG1238" s="61"/>
      <c r="AH1238" s="61"/>
      <c r="AI1238" s="62"/>
    </row>
    <row r="1239" spans="1:37" ht="15" customHeight="1" outlineLevel="1" x14ac:dyDescent="0.45">
      <c r="A1239" s="60"/>
      <c r="B1239" s="61"/>
      <c r="C1239" s="61"/>
      <c r="D1239" s="61"/>
      <c r="E1239" s="61"/>
      <c r="F1239" s="61"/>
      <c r="G1239" s="61"/>
      <c r="H1239" s="61"/>
      <c r="I1239" s="61"/>
      <c r="J1239" s="61"/>
      <c r="K1239" s="61"/>
      <c r="L1239" s="61"/>
      <c r="M1239" s="61"/>
      <c r="N1239" s="61"/>
      <c r="O1239" s="61"/>
      <c r="P1239" s="61"/>
      <c r="Q1239" s="61"/>
      <c r="R1239" s="61"/>
      <c r="S1239" s="61"/>
      <c r="T1239" s="61"/>
      <c r="U1239" s="61"/>
      <c r="V1239" s="61"/>
      <c r="W1239" s="61"/>
      <c r="X1239" s="61"/>
      <c r="Y1239" s="61"/>
      <c r="Z1239" s="61"/>
      <c r="AA1239" s="61"/>
      <c r="AB1239" s="61"/>
      <c r="AC1239" s="61"/>
      <c r="AD1239" s="61"/>
      <c r="AE1239" s="61"/>
      <c r="AF1239" s="61"/>
      <c r="AG1239" s="61"/>
      <c r="AH1239" s="61"/>
      <c r="AI1239" s="62"/>
    </row>
    <row r="1240" spans="1:37" ht="15" customHeight="1" outlineLevel="1" x14ac:dyDescent="0.45">
      <c r="A1240" s="60"/>
      <c r="B1240" s="61"/>
      <c r="C1240" s="61"/>
      <c r="D1240" s="61"/>
      <c r="E1240" s="61"/>
      <c r="F1240" s="61"/>
      <c r="G1240" s="61"/>
      <c r="H1240" s="61"/>
      <c r="I1240" s="61"/>
      <c r="J1240" s="61"/>
      <c r="K1240" s="61"/>
      <c r="L1240" s="61"/>
      <c r="M1240" s="61"/>
      <c r="N1240" s="61"/>
      <c r="O1240" s="61"/>
      <c r="P1240" s="61"/>
      <c r="Q1240" s="61"/>
      <c r="R1240" s="61"/>
      <c r="S1240" s="61"/>
      <c r="T1240" s="61"/>
      <c r="U1240" s="61"/>
      <c r="V1240" s="61"/>
      <c r="W1240" s="61"/>
      <c r="X1240" s="61"/>
      <c r="Y1240" s="61"/>
      <c r="Z1240" s="61"/>
      <c r="AA1240" s="61"/>
      <c r="AB1240" s="61"/>
      <c r="AC1240" s="61"/>
      <c r="AD1240" s="61"/>
      <c r="AE1240" s="61"/>
      <c r="AF1240" s="61"/>
      <c r="AG1240" s="61"/>
      <c r="AH1240" s="61"/>
      <c r="AI1240" s="62"/>
    </row>
    <row r="1241" spans="1:37" ht="15" customHeight="1" outlineLevel="1" x14ac:dyDescent="0.45">
      <c r="A1241" s="60"/>
      <c r="B1241" s="61"/>
      <c r="C1241" s="61"/>
      <c r="D1241" s="61"/>
      <c r="E1241" s="61"/>
      <c r="F1241" s="61"/>
      <c r="G1241" s="61"/>
      <c r="H1241" s="61"/>
      <c r="I1241" s="61"/>
      <c r="J1241" s="61"/>
      <c r="K1241" s="61"/>
      <c r="L1241" s="61"/>
      <c r="M1241" s="61"/>
      <c r="N1241" s="61"/>
      <c r="O1241" s="61"/>
      <c r="P1241" s="61"/>
      <c r="Q1241" s="61"/>
      <c r="R1241" s="61"/>
      <c r="S1241" s="61"/>
      <c r="T1241" s="61"/>
      <c r="U1241" s="61"/>
      <c r="V1241" s="61"/>
      <c r="W1241" s="61"/>
      <c r="X1241" s="61"/>
      <c r="Y1241" s="61"/>
      <c r="Z1241" s="61"/>
      <c r="AA1241" s="61"/>
      <c r="AB1241" s="61"/>
      <c r="AC1241" s="61"/>
      <c r="AD1241" s="61"/>
      <c r="AE1241" s="61"/>
      <c r="AF1241" s="61"/>
      <c r="AG1241" s="61"/>
      <c r="AH1241" s="61"/>
      <c r="AI1241" s="62"/>
    </row>
    <row r="1242" spans="1:37" ht="15" customHeight="1" outlineLevel="1" x14ac:dyDescent="0.45">
      <c r="A1242" s="60"/>
      <c r="B1242" s="61"/>
      <c r="C1242" s="61"/>
      <c r="D1242" s="61"/>
      <c r="E1242" s="61"/>
      <c r="F1242" s="61"/>
      <c r="G1242" s="61"/>
      <c r="H1242" s="61"/>
      <c r="I1242" s="61"/>
      <c r="J1242" s="61"/>
      <c r="K1242" s="61"/>
      <c r="L1242" s="61"/>
      <c r="M1242" s="61"/>
      <c r="N1242" s="61"/>
      <c r="O1242" s="61"/>
      <c r="P1242" s="61"/>
      <c r="Q1242" s="61"/>
      <c r="R1242" s="61"/>
      <c r="S1242" s="61"/>
      <c r="T1242" s="61"/>
      <c r="U1242" s="61"/>
      <c r="V1242" s="61"/>
      <c r="W1242" s="61"/>
      <c r="X1242" s="61"/>
      <c r="Y1242" s="61"/>
      <c r="Z1242" s="61"/>
      <c r="AA1242" s="61"/>
      <c r="AB1242" s="61"/>
      <c r="AC1242" s="61"/>
      <c r="AD1242" s="61"/>
      <c r="AE1242" s="61"/>
      <c r="AF1242" s="61"/>
      <c r="AG1242" s="61"/>
      <c r="AH1242" s="61"/>
      <c r="AI1242" s="62"/>
    </row>
    <row r="1243" spans="1:37" ht="15" customHeight="1" outlineLevel="1" x14ac:dyDescent="0.45">
      <c r="A1243" s="60"/>
      <c r="B1243" s="61"/>
      <c r="C1243" s="61"/>
      <c r="D1243" s="61"/>
      <c r="E1243" s="61"/>
      <c r="F1243" s="61"/>
      <c r="G1243" s="61"/>
      <c r="H1243" s="61"/>
      <c r="I1243" s="61"/>
      <c r="J1243" s="61"/>
      <c r="K1243" s="61"/>
      <c r="L1243" s="61"/>
      <c r="M1243" s="61"/>
      <c r="N1243" s="61"/>
      <c r="O1243" s="61"/>
      <c r="P1243" s="61"/>
      <c r="Q1243" s="61"/>
      <c r="R1243" s="61"/>
      <c r="S1243" s="61"/>
      <c r="T1243" s="61"/>
      <c r="U1243" s="61"/>
      <c r="V1243" s="61"/>
      <c r="W1243" s="61"/>
      <c r="X1243" s="61"/>
      <c r="Y1243" s="61"/>
      <c r="Z1243" s="61"/>
      <c r="AA1243" s="61"/>
      <c r="AB1243" s="61"/>
      <c r="AC1243" s="61"/>
      <c r="AD1243" s="61"/>
      <c r="AE1243" s="61"/>
      <c r="AF1243" s="61"/>
      <c r="AG1243" s="61"/>
      <c r="AH1243" s="61"/>
      <c r="AI1243" s="62"/>
      <c r="AK1243" s="6" t="s">
        <v>544</v>
      </c>
    </row>
    <row r="1244" spans="1:37" ht="15" customHeight="1" outlineLevel="1" x14ac:dyDescent="0.45">
      <c r="A1244" s="60"/>
      <c r="B1244" s="61"/>
      <c r="C1244" s="61"/>
      <c r="D1244" s="61"/>
      <c r="E1244" s="61"/>
      <c r="F1244" s="61"/>
      <c r="G1244" s="61"/>
      <c r="H1244" s="61"/>
      <c r="I1244" s="61"/>
      <c r="J1244" s="61"/>
      <c r="K1244" s="61"/>
      <c r="L1244" s="61"/>
      <c r="M1244" s="61"/>
      <c r="N1244" s="61"/>
      <c r="O1244" s="61"/>
      <c r="P1244" s="61"/>
      <c r="Q1244" s="61"/>
      <c r="R1244" s="61"/>
      <c r="S1244" s="61"/>
      <c r="T1244" s="61"/>
      <c r="U1244" s="61"/>
      <c r="V1244" s="61"/>
      <c r="W1244" s="61"/>
      <c r="X1244" s="61"/>
      <c r="Y1244" s="61"/>
      <c r="Z1244" s="61"/>
      <c r="AA1244" s="61"/>
      <c r="AB1244" s="61"/>
      <c r="AC1244" s="61"/>
      <c r="AD1244" s="61"/>
      <c r="AE1244" s="61"/>
      <c r="AF1244" s="61"/>
      <c r="AG1244" s="61"/>
      <c r="AH1244" s="61"/>
      <c r="AI1244" s="62"/>
      <c r="AK1244" s="6" t="s">
        <v>545</v>
      </c>
    </row>
    <row r="1245" spans="1:37" ht="15" customHeight="1" outlineLevel="1" x14ac:dyDescent="0.45">
      <c r="A1245" s="60"/>
      <c r="B1245" s="61"/>
      <c r="C1245" s="61"/>
      <c r="D1245" s="61"/>
      <c r="E1245" s="61"/>
      <c r="F1245" s="61"/>
      <c r="G1245" s="61"/>
      <c r="H1245" s="61"/>
      <c r="I1245" s="61"/>
      <c r="J1245" s="61"/>
      <c r="K1245" s="61"/>
      <c r="L1245" s="61"/>
      <c r="M1245" s="61"/>
      <c r="N1245" s="61"/>
      <c r="O1245" s="61"/>
      <c r="P1245" s="61"/>
      <c r="Q1245" s="61"/>
      <c r="R1245" s="61"/>
      <c r="S1245" s="61"/>
      <c r="T1245" s="61"/>
      <c r="U1245" s="61"/>
      <c r="V1245" s="61"/>
      <c r="W1245" s="61"/>
      <c r="X1245" s="61"/>
      <c r="Y1245" s="61"/>
      <c r="Z1245" s="61"/>
      <c r="AA1245" s="61"/>
      <c r="AB1245" s="61"/>
      <c r="AC1245" s="61"/>
      <c r="AD1245" s="61"/>
      <c r="AE1245" s="61"/>
      <c r="AF1245" s="61"/>
      <c r="AG1245" s="61"/>
      <c r="AH1245" s="61"/>
      <c r="AI1245" s="62"/>
    </row>
    <row r="1246" spans="1:37" ht="15" customHeight="1" outlineLevel="1" x14ac:dyDescent="0.45">
      <c r="A1246" s="60"/>
      <c r="B1246" s="61"/>
      <c r="C1246" s="61"/>
      <c r="D1246" s="61"/>
      <c r="E1246" s="61"/>
      <c r="F1246" s="61"/>
      <c r="G1246" s="61"/>
      <c r="H1246" s="61"/>
      <c r="I1246" s="61"/>
      <c r="J1246" s="61"/>
      <c r="K1246" s="61"/>
      <c r="L1246" s="61"/>
      <c r="M1246" s="61"/>
      <c r="N1246" s="61"/>
      <c r="O1246" s="61"/>
      <c r="P1246" s="61"/>
      <c r="Q1246" s="61"/>
      <c r="R1246" s="61"/>
      <c r="S1246" s="61"/>
      <c r="T1246" s="61"/>
      <c r="U1246" s="61"/>
      <c r="V1246" s="61"/>
      <c r="W1246" s="61"/>
      <c r="X1246" s="61"/>
      <c r="Y1246" s="61"/>
      <c r="Z1246" s="61"/>
      <c r="AA1246" s="61"/>
      <c r="AB1246" s="61"/>
      <c r="AC1246" s="61"/>
      <c r="AD1246" s="61"/>
      <c r="AE1246" s="61"/>
      <c r="AF1246" s="61"/>
      <c r="AG1246" s="61"/>
      <c r="AH1246" s="61"/>
      <c r="AI1246" s="62"/>
      <c r="AK1246" s="6" t="s">
        <v>546</v>
      </c>
    </row>
    <row r="1247" spans="1:37" ht="15" customHeight="1" outlineLevel="1" x14ac:dyDescent="0.45">
      <c r="A1247" s="60"/>
      <c r="B1247" s="61"/>
      <c r="C1247" s="61"/>
      <c r="D1247" s="61"/>
      <c r="E1247" s="61"/>
      <c r="F1247" s="61"/>
      <c r="G1247" s="61"/>
      <c r="H1247" s="61"/>
      <c r="I1247" s="61"/>
      <c r="J1247" s="61"/>
      <c r="K1247" s="61"/>
      <c r="L1247" s="61"/>
      <c r="M1247" s="61"/>
      <c r="N1247" s="61"/>
      <c r="O1247" s="61"/>
      <c r="P1247" s="61"/>
      <c r="Q1247" s="61"/>
      <c r="R1247" s="61"/>
      <c r="S1247" s="61"/>
      <c r="T1247" s="61"/>
      <c r="U1247" s="61"/>
      <c r="V1247" s="61"/>
      <c r="W1247" s="61"/>
      <c r="X1247" s="61"/>
      <c r="Y1247" s="61"/>
      <c r="Z1247" s="61"/>
      <c r="AA1247" s="61"/>
      <c r="AB1247" s="61"/>
      <c r="AC1247" s="61"/>
      <c r="AD1247" s="61"/>
      <c r="AE1247" s="61"/>
      <c r="AF1247" s="61"/>
      <c r="AG1247" s="61"/>
      <c r="AH1247" s="61"/>
      <c r="AI1247" s="62"/>
      <c r="AK1247" s="6" t="s">
        <v>547</v>
      </c>
    </row>
    <row r="1248" spans="1:37" ht="15" customHeight="1" outlineLevel="1" x14ac:dyDescent="0.45">
      <c r="A1248" s="63"/>
      <c r="B1248" s="64"/>
      <c r="C1248" s="64"/>
      <c r="D1248" s="64"/>
      <c r="E1248" s="64"/>
      <c r="F1248" s="64"/>
      <c r="G1248" s="64"/>
      <c r="H1248" s="64"/>
      <c r="I1248" s="64"/>
      <c r="J1248" s="64"/>
      <c r="K1248" s="64"/>
      <c r="L1248" s="64"/>
      <c r="M1248" s="64"/>
      <c r="N1248" s="64"/>
      <c r="O1248" s="64"/>
      <c r="P1248" s="64"/>
      <c r="Q1248" s="64"/>
      <c r="R1248" s="64"/>
      <c r="S1248" s="64"/>
      <c r="T1248" s="64"/>
      <c r="U1248" s="64"/>
      <c r="V1248" s="64"/>
      <c r="W1248" s="64"/>
      <c r="X1248" s="64"/>
      <c r="Y1248" s="64"/>
      <c r="Z1248" s="64"/>
      <c r="AA1248" s="64"/>
      <c r="AB1248" s="64"/>
      <c r="AC1248" s="64"/>
      <c r="AD1248" s="64"/>
      <c r="AE1248" s="64"/>
      <c r="AF1248" s="64"/>
      <c r="AG1248" s="64"/>
      <c r="AH1248" s="64"/>
      <c r="AI1248" s="65"/>
    </row>
    <row r="1249" spans="1:37" ht="15" customHeight="1" outlineLevel="1" x14ac:dyDescent="0.45">
      <c r="AK1249" s="6" t="s">
        <v>548</v>
      </c>
    </row>
    <row r="1250" spans="1:37" ht="15" customHeight="1" outlineLevel="1" x14ac:dyDescent="0.45">
      <c r="A1250" s="14" t="s">
        <v>549</v>
      </c>
      <c r="B1250" s="14"/>
      <c r="C1250" s="14"/>
      <c r="D1250" s="14"/>
      <c r="E1250" s="14"/>
      <c r="F1250" s="15"/>
      <c r="G1250" s="15"/>
      <c r="H1250" s="15"/>
      <c r="I1250" s="15"/>
      <c r="J1250" s="15"/>
      <c r="K1250" s="15"/>
      <c r="L1250" s="15"/>
      <c r="M1250" s="15"/>
      <c r="N1250" s="15"/>
      <c r="O1250" s="15"/>
      <c r="P1250" s="15"/>
      <c r="Q1250" s="15"/>
      <c r="R1250" s="15"/>
      <c r="S1250" s="15"/>
      <c r="T1250" s="15"/>
      <c r="U1250" s="15"/>
      <c r="V1250" s="15"/>
      <c r="W1250" s="15"/>
      <c r="X1250" s="15"/>
      <c r="Y1250" s="15"/>
      <c r="Z1250" s="15"/>
      <c r="AA1250" s="15"/>
      <c r="AB1250" s="15"/>
      <c r="AC1250" s="66"/>
      <c r="AD1250" s="66"/>
      <c r="AE1250" s="66"/>
      <c r="AF1250" s="66"/>
      <c r="AG1250" s="66"/>
      <c r="AH1250" s="66"/>
      <c r="AI1250" s="66"/>
      <c r="AK1250" s="6" t="s">
        <v>550</v>
      </c>
    </row>
    <row r="1251" spans="1:37" ht="15" customHeight="1" outlineLevel="1" x14ac:dyDescent="0.45"/>
    <row r="1252" spans="1:37" ht="15" customHeight="1" outlineLevel="1" x14ac:dyDescent="0.45">
      <c r="AK1252" s="6" t="s">
        <v>551</v>
      </c>
    </row>
    <row r="1253" spans="1:37" ht="15" customHeight="1" outlineLevel="1" x14ac:dyDescent="0.45">
      <c r="AK1253" s="6" t="s">
        <v>551</v>
      </c>
    </row>
    <row r="1254" spans="1:37" ht="15" customHeight="1" outlineLevel="1" x14ac:dyDescent="0.45"/>
    <row r="1255" spans="1:37" ht="15" customHeight="1" outlineLevel="1" x14ac:dyDescent="0.45">
      <c r="AK1255" s="6" t="s">
        <v>552</v>
      </c>
    </row>
    <row r="1256" spans="1:37" ht="15" customHeight="1" outlineLevel="1" x14ac:dyDescent="0.45">
      <c r="AK1256" s="6" t="s">
        <v>553</v>
      </c>
    </row>
    <row r="1257" spans="1:37" ht="15" customHeight="1" outlineLevel="1" x14ac:dyDescent="0.45"/>
    <row r="1258" spans="1:37" ht="15" customHeight="1" outlineLevel="1" x14ac:dyDescent="0.45"/>
    <row r="1259" spans="1:37" ht="15" customHeight="1" outlineLevel="1" x14ac:dyDescent="0.45"/>
    <row r="1260" spans="1:37" ht="15" customHeight="1" outlineLevel="1" x14ac:dyDescent="0.45"/>
    <row r="1261" spans="1:37" ht="15" customHeight="1" outlineLevel="1" x14ac:dyDescent="0.45"/>
    <row r="1262" spans="1:37" ht="15" customHeight="1" outlineLevel="1" x14ac:dyDescent="0.45"/>
    <row r="1263" spans="1:37" ht="15" customHeight="1" outlineLevel="1" x14ac:dyDescent="0.45"/>
    <row r="1264" spans="1:37" ht="15" customHeight="1" outlineLevel="1" x14ac:dyDescent="0.45"/>
    <row r="1265" ht="15" customHeight="1" outlineLevel="1" x14ac:dyDescent="0.45"/>
    <row r="1266" ht="15" customHeight="1" outlineLevel="1" x14ac:dyDescent="0.45"/>
    <row r="1267" ht="15" customHeight="1" outlineLevel="1" x14ac:dyDescent="0.45"/>
    <row r="1268" ht="15" customHeight="1" outlineLevel="1" x14ac:dyDescent="0.45"/>
    <row r="1269" ht="15" customHeight="1" outlineLevel="1" x14ac:dyDescent="0.45"/>
    <row r="1270" ht="15" customHeight="1" outlineLevel="1" x14ac:dyDescent="0.45"/>
    <row r="1271" ht="15" customHeight="1" outlineLevel="1" x14ac:dyDescent="0.45"/>
    <row r="1272" ht="15" customHeight="1" outlineLevel="1" x14ac:dyDescent="0.45"/>
    <row r="1273" ht="15" customHeight="1" outlineLevel="1" x14ac:dyDescent="0.45"/>
    <row r="1274" ht="15" customHeight="1" outlineLevel="1" x14ac:dyDescent="0.45"/>
    <row r="1275" ht="15" customHeight="1" outlineLevel="1" x14ac:dyDescent="0.45"/>
    <row r="1276" ht="15" customHeight="1" outlineLevel="1" x14ac:dyDescent="0.45"/>
    <row r="1277" ht="15" customHeight="1" outlineLevel="1" x14ac:dyDescent="0.45"/>
    <row r="1278" ht="15" customHeight="1" outlineLevel="1" x14ac:dyDescent="0.45"/>
    <row r="1279" ht="15" customHeight="1" outlineLevel="1" x14ac:dyDescent="0.45"/>
    <row r="1280" ht="15" customHeight="1" outlineLevel="1" x14ac:dyDescent="0.45"/>
    <row r="1281" ht="15" customHeight="1" outlineLevel="1" x14ac:dyDescent="0.45"/>
    <row r="1282" ht="15" customHeight="1" outlineLevel="1" x14ac:dyDescent="0.45"/>
    <row r="1283" ht="15" customHeight="1" outlineLevel="1" x14ac:dyDescent="0.45"/>
    <row r="1284" ht="15" customHeight="1" outlineLevel="1" x14ac:dyDescent="0.45"/>
    <row r="1285" ht="15" customHeight="1" outlineLevel="1" x14ac:dyDescent="0.45"/>
    <row r="1286" ht="15" customHeight="1" outlineLevel="1" x14ac:dyDescent="0.45"/>
    <row r="1287" ht="15" customHeight="1" outlineLevel="1" x14ac:dyDescent="0.45"/>
    <row r="1288" ht="15" customHeight="1" outlineLevel="1" x14ac:dyDescent="0.45"/>
    <row r="1289" ht="15" customHeight="1" outlineLevel="1" x14ac:dyDescent="0.45"/>
    <row r="1290" ht="15" customHeight="1" outlineLevel="1" x14ac:dyDescent="0.45"/>
    <row r="1291" ht="15" customHeight="1" outlineLevel="1" x14ac:dyDescent="0.45"/>
    <row r="1292" ht="15" customHeight="1" outlineLevel="1" x14ac:dyDescent="0.45"/>
    <row r="1293" ht="15" customHeight="1" outlineLevel="1" x14ac:dyDescent="0.45"/>
    <row r="1294" ht="15" customHeight="1" outlineLevel="1" x14ac:dyDescent="0.45"/>
    <row r="1295" ht="15" customHeight="1" outlineLevel="1" x14ac:dyDescent="0.45"/>
    <row r="1296" ht="15" customHeight="1" outlineLevel="1" x14ac:dyDescent="0.45"/>
    <row r="1297" spans="1:35" ht="15" customHeight="1" outlineLevel="1" x14ac:dyDescent="0.45"/>
    <row r="1298" spans="1:35" ht="15" customHeight="1" outlineLevel="1" x14ac:dyDescent="0.45"/>
    <row r="1299" spans="1:35" ht="15" customHeight="1" outlineLevel="1" x14ac:dyDescent="0.45">
      <c r="A1299" s="14" t="s">
        <v>554</v>
      </c>
      <c r="B1299" s="14"/>
      <c r="C1299" s="14"/>
      <c r="D1299" s="14"/>
      <c r="E1299" s="14"/>
      <c r="F1299" s="15" t="s">
        <v>555</v>
      </c>
      <c r="G1299" s="15"/>
      <c r="H1299" s="15"/>
      <c r="I1299" s="15"/>
      <c r="J1299" s="15"/>
      <c r="K1299" s="15"/>
      <c r="L1299" s="15"/>
      <c r="M1299" s="15"/>
      <c r="N1299" s="15"/>
      <c r="O1299" s="15"/>
      <c r="P1299" s="15"/>
      <c r="Q1299" s="15"/>
      <c r="R1299" s="15"/>
      <c r="S1299" s="15"/>
      <c r="T1299" s="15"/>
      <c r="U1299" s="15"/>
      <c r="V1299" s="15"/>
      <c r="W1299" s="15"/>
      <c r="X1299" s="15"/>
      <c r="Y1299" s="15"/>
      <c r="Z1299" s="15"/>
      <c r="AA1299" s="15"/>
      <c r="AB1299" s="15"/>
      <c r="AC1299" s="66" t="s">
        <v>556</v>
      </c>
      <c r="AD1299" s="66"/>
      <c r="AE1299" s="66"/>
      <c r="AF1299" s="66"/>
      <c r="AG1299" s="66"/>
      <c r="AH1299" s="66"/>
      <c r="AI1299" s="66"/>
    </row>
    <row r="1300" spans="1:35" ht="15" customHeight="1" outlineLevel="1" x14ac:dyDescent="0.45"/>
    <row r="1301" spans="1:35" ht="15" customHeight="1" outlineLevel="1" thickBot="1" x14ac:dyDescent="0.5">
      <c r="A1301" s="78" t="s">
        <v>98</v>
      </c>
      <c r="B1301" s="79"/>
      <c r="C1301" s="80"/>
      <c r="D1301" s="78" t="s">
        <v>99</v>
      </c>
      <c r="E1301" s="79"/>
      <c r="F1301" s="79"/>
      <c r="G1301" s="79"/>
      <c r="H1301" s="79"/>
      <c r="I1301" s="79"/>
      <c r="J1301" s="79"/>
      <c r="K1301" s="79"/>
      <c r="L1301" s="79"/>
      <c r="M1301" s="79"/>
      <c r="N1301" s="79"/>
      <c r="O1301" s="79"/>
      <c r="P1301" s="79"/>
      <c r="Q1301" s="79"/>
      <c r="R1301" s="79"/>
      <c r="S1301" s="79"/>
      <c r="T1301" s="79"/>
      <c r="U1301" s="79"/>
      <c r="V1301" s="79"/>
      <c r="W1301" s="79"/>
      <c r="X1301" s="79"/>
      <c r="Y1301" s="79"/>
      <c r="Z1301" s="79"/>
      <c r="AA1301" s="79"/>
      <c r="AB1301" s="79"/>
      <c r="AC1301" s="80"/>
      <c r="AD1301" s="78" t="s">
        <v>100</v>
      </c>
      <c r="AE1301" s="79"/>
      <c r="AF1301" s="79"/>
      <c r="AG1301" s="79"/>
      <c r="AH1301" s="79"/>
      <c r="AI1301" s="80"/>
    </row>
    <row r="1302" spans="1:35" ht="15" customHeight="1" outlineLevel="1" thickTop="1" x14ac:dyDescent="0.45">
      <c r="A1302" s="191"/>
      <c r="B1302" s="192"/>
      <c r="C1302" s="193"/>
      <c r="D1302" s="191" t="s">
        <v>557</v>
      </c>
      <c r="E1302" s="192"/>
      <c r="F1302" s="192"/>
      <c r="G1302" s="192"/>
      <c r="H1302" s="192"/>
      <c r="I1302" s="192"/>
      <c r="J1302" s="192"/>
      <c r="K1302" s="192"/>
      <c r="L1302" s="192"/>
      <c r="M1302" s="192"/>
      <c r="N1302" s="382"/>
      <c r="O1302" s="382"/>
      <c r="P1302" s="382"/>
      <c r="Q1302" s="18"/>
      <c r="R1302" s="18"/>
      <c r="S1302" s="18"/>
      <c r="T1302" s="18"/>
      <c r="U1302" s="18"/>
      <c r="V1302" s="18"/>
      <c r="W1302" s="18"/>
      <c r="X1302" s="18"/>
      <c r="Y1302" s="18"/>
      <c r="Z1302" s="18"/>
      <c r="AA1302" s="18"/>
      <c r="AB1302" s="18"/>
      <c r="AC1302" s="19"/>
      <c r="AD1302" s="601"/>
      <c r="AE1302" s="602"/>
      <c r="AF1302" s="602"/>
      <c r="AG1302" s="602"/>
      <c r="AH1302" s="602"/>
      <c r="AI1302" s="603"/>
    </row>
    <row r="1303" spans="1:35" ht="15" customHeight="1" outlineLevel="1" x14ac:dyDescent="0.45">
      <c r="A1303" s="168" t="s">
        <v>180</v>
      </c>
      <c r="B1303" s="169"/>
      <c r="C1303" s="170"/>
      <c r="D1303" s="116" t="s">
        <v>558</v>
      </c>
      <c r="E1303" s="117"/>
      <c r="F1303" s="117"/>
      <c r="G1303" s="117"/>
      <c r="H1303" s="117"/>
      <c r="I1303" s="117"/>
      <c r="J1303" s="117"/>
      <c r="K1303" s="117"/>
      <c r="L1303" s="117"/>
      <c r="M1303" s="117"/>
      <c r="N1303" s="117"/>
      <c r="O1303" s="117"/>
      <c r="P1303" s="118"/>
      <c r="Q1303" s="52"/>
      <c r="R1303" s="52"/>
      <c r="S1303" s="52"/>
      <c r="T1303" s="52"/>
      <c r="U1303" s="52"/>
      <c r="V1303" s="118"/>
      <c r="W1303" s="118"/>
      <c r="X1303" s="118"/>
      <c r="Y1303" s="118"/>
      <c r="Z1303" s="118"/>
      <c r="AA1303" s="118"/>
      <c r="AB1303" s="118"/>
      <c r="AC1303" s="119"/>
      <c r="AD1303" s="214" t="s">
        <v>559</v>
      </c>
      <c r="AE1303" s="215"/>
      <c r="AF1303" s="215"/>
      <c r="AG1303" s="215"/>
      <c r="AH1303" s="215"/>
      <c r="AI1303" s="216"/>
    </row>
    <row r="1304" spans="1:35" ht="15" customHeight="1" outlineLevel="1" x14ac:dyDescent="0.45">
      <c r="A1304" s="168" t="s">
        <v>159</v>
      </c>
      <c r="B1304" s="169"/>
      <c r="C1304" s="170"/>
      <c r="D1304" s="116" t="s">
        <v>560</v>
      </c>
      <c r="E1304" s="117"/>
      <c r="F1304" s="117"/>
      <c r="G1304" s="117"/>
      <c r="H1304" s="117"/>
      <c r="I1304" s="118"/>
      <c r="J1304" s="117" t="str">
        <f>V$1 &amp; " Road Approach"</f>
        <v>N Road Approach</v>
      </c>
      <c r="K1304" s="117"/>
      <c r="L1304" s="117"/>
      <c r="M1304" s="117"/>
      <c r="N1304" s="117"/>
      <c r="O1304" s="604"/>
      <c r="P1304" s="604"/>
      <c r="Q1304" s="124" t="s">
        <v>157</v>
      </c>
      <c r="R1304" s="118"/>
      <c r="S1304" s="117" t="str">
        <f>Z$1 &amp; " Road Approach"</f>
        <v>S Road Approach</v>
      </c>
      <c r="T1304" s="117"/>
      <c r="U1304" s="117"/>
      <c r="V1304" s="117"/>
      <c r="W1304" s="117"/>
      <c r="X1304" s="604"/>
      <c r="Y1304" s="604"/>
      <c r="Z1304" s="124" t="s">
        <v>157</v>
      </c>
      <c r="AA1304" s="124"/>
      <c r="AB1304" s="124"/>
      <c r="AC1304" s="212"/>
      <c r="AD1304" s="214" t="s">
        <v>561</v>
      </c>
      <c r="AE1304" s="215"/>
      <c r="AF1304" s="215"/>
      <c r="AG1304" s="215"/>
      <c r="AH1304" s="215"/>
      <c r="AI1304" s="216"/>
    </row>
    <row r="1305" spans="1:35" ht="15" customHeight="1" outlineLevel="1" x14ac:dyDescent="0.45">
      <c r="A1305" s="164" t="s">
        <v>180</v>
      </c>
      <c r="B1305" s="165"/>
      <c r="C1305" s="166"/>
      <c r="D1305" s="86" t="s">
        <v>562</v>
      </c>
      <c r="E1305" s="87"/>
      <c r="F1305" s="87"/>
      <c r="G1305" s="87"/>
      <c r="H1305" s="87"/>
      <c r="I1305" s="87"/>
      <c r="J1305" s="87"/>
      <c r="K1305" s="87"/>
      <c r="L1305" s="87"/>
      <c r="M1305" s="87"/>
      <c r="N1305" s="87"/>
      <c r="O1305" s="87"/>
      <c r="P1305" s="87"/>
      <c r="Q1305" s="87"/>
      <c r="R1305" s="87"/>
      <c r="S1305" s="18"/>
      <c r="T1305" s="18"/>
      <c r="U1305" s="18"/>
      <c r="V1305" s="18"/>
      <c r="W1305" s="18"/>
      <c r="X1305" s="18"/>
      <c r="Y1305" s="18"/>
      <c r="Z1305" s="18"/>
      <c r="AA1305" s="18"/>
      <c r="AB1305" s="18"/>
      <c r="AC1305" s="19"/>
      <c r="AD1305" s="147" t="s">
        <v>563</v>
      </c>
      <c r="AE1305" s="148"/>
      <c r="AF1305" s="148"/>
      <c r="AG1305" s="148"/>
      <c r="AH1305" s="148"/>
      <c r="AI1305" s="201"/>
    </row>
    <row r="1306" spans="1:35" ht="15" customHeight="1" outlineLevel="1" x14ac:dyDescent="0.45">
      <c r="A1306" s="159"/>
      <c r="B1306" s="160"/>
      <c r="C1306" s="161"/>
      <c r="D1306" s="279" t="str">
        <f>V$1 &amp; " Road Approach"</f>
        <v>N Road Approach</v>
      </c>
      <c r="E1306" s="111"/>
      <c r="F1306" s="111"/>
      <c r="G1306" s="111"/>
      <c r="H1306" s="111"/>
      <c r="I1306" s="48"/>
      <c r="J1306" s="48"/>
      <c r="K1306" s="48"/>
      <c r="L1306" s="48"/>
      <c r="M1306" s="48"/>
      <c r="N1306" s="142"/>
      <c r="O1306" s="111" t="str">
        <f>Z$1 &amp; " Road Approach"</f>
        <v>S Road Approach</v>
      </c>
      <c r="P1306" s="111"/>
      <c r="Q1306" s="111"/>
      <c r="R1306" s="111"/>
      <c r="S1306" s="111"/>
      <c r="T1306" s="48"/>
      <c r="U1306" s="48"/>
      <c r="V1306" s="48"/>
      <c r="W1306" s="48"/>
      <c r="X1306" s="48"/>
      <c r="Y1306" s="110"/>
      <c r="Z1306" s="110"/>
      <c r="AA1306" s="110"/>
      <c r="AB1306" s="110"/>
      <c r="AC1306" s="113"/>
      <c r="AD1306" s="154"/>
      <c r="AE1306" s="155"/>
      <c r="AF1306" s="155"/>
      <c r="AG1306" s="155"/>
      <c r="AH1306" s="155"/>
      <c r="AI1306" s="194"/>
    </row>
    <row r="1307" spans="1:35" ht="15" customHeight="1" outlineLevel="1" x14ac:dyDescent="0.45">
      <c r="A1307" s="164" t="s">
        <v>180</v>
      </c>
      <c r="B1307" s="165"/>
      <c r="C1307" s="166"/>
      <c r="D1307" s="86" t="s">
        <v>564</v>
      </c>
      <c r="E1307" s="87"/>
      <c r="F1307" s="87"/>
      <c r="G1307" s="87"/>
      <c r="H1307" s="87"/>
      <c r="I1307" s="87"/>
      <c r="J1307" s="87"/>
      <c r="K1307" s="87"/>
      <c r="L1307" s="87"/>
      <c r="M1307" s="87"/>
      <c r="N1307" s="87"/>
      <c r="O1307" s="87"/>
      <c r="P1307" s="87"/>
      <c r="Q1307" s="87"/>
      <c r="R1307" s="87"/>
      <c r="S1307" s="87"/>
      <c r="T1307" s="87"/>
      <c r="U1307" s="87"/>
      <c r="V1307" s="87"/>
      <c r="W1307" s="87"/>
      <c r="X1307" s="87"/>
      <c r="Y1307" s="87"/>
      <c r="Z1307" s="18"/>
      <c r="AA1307" s="18"/>
      <c r="AB1307" s="18"/>
      <c r="AC1307" s="19"/>
      <c r="AD1307" s="147" t="s">
        <v>565</v>
      </c>
      <c r="AE1307" s="148"/>
      <c r="AF1307" s="148"/>
      <c r="AG1307" s="148"/>
      <c r="AH1307" s="148"/>
      <c r="AI1307" s="201"/>
    </row>
    <row r="1308" spans="1:35" ht="15" customHeight="1" outlineLevel="1" x14ac:dyDescent="0.45">
      <c r="A1308" s="159"/>
      <c r="B1308" s="160"/>
      <c r="C1308" s="161"/>
      <c r="D1308" s="279" t="str">
        <f>V$1 &amp; " Road Approach"</f>
        <v>N Road Approach</v>
      </c>
      <c r="E1308" s="111"/>
      <c r="F1308" s="111"/>
      <c r="G1308" s="111"/>
      <c r="H1308" s="111"/>
      <c r="I1308" s="48"/>
      <c r="J1308" s="48"/>
      <c r="K1308" s="48"/>
      <c r="L1308" s="48"/>
      <c r="M1308" s="48"/>
      <c r="N1308" s="142"/>
      <c r="O1308" s="111" t="str">
        <f>Z$1 &amp; " Road Approach"</f>
        <v>S Road Approach</v>
      </c>
      <c r="P1308" s="111"/>
      <c r="Q1308" s="111"/>
      <c r="R1308" s="111"/>
      <c r="S1308" s="111"/>
      <c r="T1308" s="48"/>
      <c r="U1308" s="48"/>
      <c r="V1308" s="48"/>
      <c r="W1308" s="48"/>
      <c r="X1308" s="48"/>
      <c r="Y1308" s="110"/>
      <c r="Z1308" s="110"/>
      <c r="AA1308" s="110"/>
      <c r="AB1308" s="110"/>
      <c r="AC1308" s="113"/>
      <c r="AD1308" s="154"/>
      <c r="AE1308" s="155"/>
      <c r="AF1308" s="155"/>
      <c r="AG1308" s="155"/>
      <c r="AH1308" s="155"/>
      <c r="AI1308" s="194"/>
    </row>
    <row r="1309" spans="1:35" ht="15" customHeight="1" outlineLevel="1" x14ac:dyDescent="0.45">
      <c r="A1309" s="164" t="s">
        <v>180</v>
      </c>
      <c r="B1309" s="165"/>
      <c r="C1309" s="166"/>
      <c r="D1309" s="86" t="s">
        <v>566</v>
      </c>
      <c r="E1309" s="87"/>
      <c r="F1309" s="87"/>
      <c r="G1309" s="87"/>
      <c r="H1309" s="87"/>
      <c r="I1309" s="87"/>
      <c r="J1309" s="87"/>
      <c r="K1309" s="87"/>
      <c r="L1309" s="87"/>
      <c r="M1309" s="87"/>
      <c r="N1309" s="87"/>
      <c r="O1309" s="87"/>
      <c r="P1309" s="87"/>
      <c r="Q1309" s="87"/>
      <c r="R1309" s="87"/>
      <c r="S1309" s="87"/>
      <c r="T1309" s="18"/>
      <c r="U1309" s="18"/>
      <c r="V1309" s="18"/>
      <c r="W1309" s="18"/>
      <c r="X1309" s="18"/>
      <c r="Y1309" s="18"/>
      <c r="Z1309" s="18"/>
      <c r="AA1309" s="18"/>
      <c r="AB1309" s="18"/>
      <c r="AC1309" s="19"/>
      <c r="AD1309" s="147" t="s">
        <v>567</v>
      </c>
      <c r="AE1309" s="148"/>
      <c r="AF1309" s="148"/>
      <c r="AG1309" s="148"/>
      <c r="AH1309" s="148"/>
      <c r="AI1309" s="201"/>
    </row>
    <row r="1310" spans="1:35" ht="15" customHeight="1" outlineLevel="1" x14ac:dyDescent="0.45">
      <c r="A1310" s="159"/>
      <c r="B1310" s="160"/>
      <c r="C1310" s="161"/>
      <c r="D1310" s="279" t="str">
        <f>V$1 &amp; " Road Approach"</f>
        <v>N Road Approach</v>
      </c>
      <c r="E1310" s="111"/>
      <c r="F1310" s="111"/>
      <c r="G1310" s="111"/>
      <c r="H1310" s="111"/>
      <c r="I1310" s="48"/>
      <c r="J1310" s="48"/>
      <c r="K1310" s="48"/>
      <c r="L1310" s="48"/>
      <c r="M1310" s="48"/>
      <c r="N1310" s="142"/>
      <c r="O1310" s="111" t="str">
        <f>Z$1 &amp; " Road Approach"</f>
        <v>S Road Approach</v>
      </c>
      <c r="P1310" s="111"/>
      <c r="Q1310" s="111"/>
      <c r="R1310" s="111"/>
      <c r="S1310" s="111"/>
      <c r="T1310" s="48"/>
      <c r="U1310" s="48"/>
      <c r="V1310" s="48"/>
      <c r="W1310" s="48"/>
      <c r="X1310" s="48"/>
      <c r="Y1310" s="110"/>
      <c r="Z1310" s="110"/>
      <c r="AA1310" s="110"/>
      <c r="AB1310" s="110"/>
      <c r="AC1310" s="113"/>
      <c r="AD1310" s="154"/>
      <c r="AE1310" s="155"/>
      <c r="AF1310" s="155"/>
      <c r="AG1310" s="155"/>
      <c r="AH1310" s="155"/>
      <c r="AI1310" s="194"/>
    </row>
    <row r="1311" spans="1:35" ht="15" customHeight="1" outlineLevel="1" x14ac:dyDescent="0.45">
      <c r="A1311" s="164" t="s">
        <v>180</v>
      </c>
      <c r="B1311" s="165"/>
      <c r="C1311" s="166"/>
      <c r="D1311" s="86" t="s">
        <v>568</v>
      </c>
      <c r="E1311" s="87"/>
      <c r="F1311" s="87"/>
      <c r="G1311" s="87"/>
      <c r="H1311" s="87"/>
      <c r="I1311" s="87"/>
      <c r="J1311" s="87"/>
      <c r="K1311" s="87"/>
      <c r="L1311" s="87"/>
      <c r="M1311" s="87"/>
      <c r="N1311" s="87"/>
      <c r="O1311" s="87"/>
      <c r="P1311" s="87"/>
      <c r="Q1311" s="87"/>
      <c r="R1311" s="87"/>
      <c r="S1311" s="87"/>
      <c r="T1311" s="87"/>
      <c r="U1311" s="87"/>
      <c r="V1311" s="87"/>
      <c r="W1311" s="87"/>
      <c r="X1311" s="87"/>
      <c r="Y1311" s="18"/>
      <c r="Z1311" s="18"/>
      <c r="AA1311" s="18"/>
      <c r="AB1311" s="18"/>
      <c r="AC1311" s="19"/>
      <c r="AD1311" s="147" t="s">
        <v>569</v>
      </c>
      <c r="AE1311" s="148"/>
      <c r="AF1311" s="148"/>
      <c r="AG1311" s="148"/>
      <c r="AH1311" s="148"/>
      <c r="AI1311" s="201"/>
    </row>
    <row r="1312" spans="1:35" ht="15" customHeight="1" outlineLevel="1" thickBot="1" x14ac:dyDescent="0.5">
      <c r="A1312" s="605"/>
      <c r="B1312" s="606"/>
      <c r="C1312" s="607"/>
      <c r="D1312" s="311" t="str">
        <f>N$1 &amp; " Rail Approach"</f>
        <v>E Rail Approach</v>
      </c>
      <c r="E1312" s="312"/>
      <c r="F1312" s="312"/>
      <c r="G1312" s="312"/>
      <c r="H1312" s="312"/>
      <c r="I1312" s="313"/>
      <c r="J1312" s="313"/>
      <c r="K1312" s="313"/>
      <c r="L1312" s="313"/>
      <c r="M1312" s="313"/>
      <c r="N1312" s="6"/>
      <c r="O1312" s="608" t="str">
        <f>R$1 &amp; " Rail Approach"</f>
        <v>W Rail Approach</v>
      </c>
      <c r="P1312" s="608"/>
      <c r="Q1312" s="608"/>
      <c r="R1312" s="608"/>
      <c r="S1312" s="608"/>
      <c r="T1312" s="313"/>
      <c r="U1312" s="313"/>
      <c r="V1312" s="313"/>
      <c r="W1312" s="313"/>
      <c r="X1312" s="313"/>
      <c r="AC1312" s="25"/>
      <c r="AD1312" s="609"/>
      <c r="AE1312" s="608"/>
      <c r="AF1312" s="608"/>
      <c r="AG1312" s="608"/>
      <c r="AH1312" s="608"/>
      <c r="AI1312" s="610"/>
    </row>
    <row r="1313" spans="1:35" ht="15" customHeight="1" outlineLevel="1" thickTop="1" x14ac:dyDescent="0.45">
      <c r="A1313" s="191"/>
      <c r="B1313" s="192"/>
      <c r="C1313" s="193"/>
      <c r="D1313" s="191" t="s">
        <v>570</v>
      </c>
      <c r="E1313" s="192"/>
      <c r="F1313" s="192"/>
      <c r="G1313" s="192"/>
      <c r="H1313" s="192"/>
      <c r="I1313" s="192"/>
      <c r="J1313" s="192"/>
      <c r="K1313" s="192"/>
      <c r="L1313" s="192"/>
      <c r="M1313" s="192"/>
      <c r="N1313" s="192"/>
      <c r="O1313" s="192"/>
      <c r="P1313" s="192"/>
      <c r="Q1313" s="192"/>
      <c r="R1313" s="611"/>
      <c r="S1313" s="611"/>
      <c r="T1313" s="611"/>
      <c r="U1313" s="611"/>
      <c r="V1313" s="611"/>
      <c r="W1313" s="611"/>
      <c r="X1313" s="611"/>
      <c r="Y1313" s="611"/>
      <c r="Z1313" s="611"/>
      <c r="AA1313" s="611"/>
      <c r="AB1313" s="611"/>
      <c r="AC1313" s="612"/>
      <c r="AD1313" s="320"/>
      <c r="AE1313" s="321"/>
      <c r="AF1313" s="321"/>
      <c r="AG1313" s="321"/>
      <c r="AH1313" s="321"/>
      <c r="AI1313" s="322"/>
    </row>
    <row r="1314" spans="1:35" ht="15" customHeight="1" outlineLevel="1" x14ac:dyDescent="0.45">
      <c r="A1314" s="31" t="s">
        <v>162</v>
      </c>
      <c r="B1314" s="32"/>
      <c r="C1314" s="381"/>
      <c r="D1314" s="86" t="s">
        <v>571</v>
      </c>
      <c r="E1314" s="87"/>
      <c r="F1314" s="87"/>
      <c r="G1314" s="87"/>
      <c r="H1314" s="87"/>
      <c r="I1314" s="87"/>
      <c r="J1314" s="87"/>
      <c r="K1314" s="87"/>
      <c r="L1314" s="87"/>
      <c r="M1314" s="87"/>
      <c r="N1314" s="87"/>
      <c r="O1314" s="87"/>
      <c r="P1314" s="87"/>
      <c r="Q1314" s="87"/>
      <c r="R1314" s="18"/>
      <c r="S1314" s="18"/>
      <c r="T1314" s="18"/>
      <c r="U1314" s="18"/>
      <c r="V1314" s="18"/>
      <c r="W1314" s="18"/>
      <c r="X1314" s="18"/>
      <c r="Y1314" s="18"/>
      <c r="Z1314" s="18"/>
      <c r="AA1314" s="18"/>
      <c r="AB1314" s="18"/>
      <c r="AC1314" s="19"/>
      <c r="AD1314" s="147" t="s">
        <v>572</v>
      </c>
      <c r="AE1314" s="148"/>
      <c r="AF1314" s="148"/>
      <c r="AG1314" s="148"/>
      <c r="AH1314" s="148"/>
      <c r="AI1314" s="201"/>
    </row>
    <row r="1315" spans="1:35" ht="15" customHeight="1" outlineLevel="1" x14ac:dyDescent="0.45">
      <c r="A1315" s="46"/>
      <c r="B1315" s="47"/>
      <c r="C1315" s="384"/>
      <c r="D1315" s="279" t="str">
        <f>N$1 &amp; " Rail Approach"</f>
        <v>E Rail Approach</v>
      </c>
      <c r="E1315" s="111"/>
      <c r="F1315" s="111"/>
      <c r="G1315" s="111"/>
      <c r="H1315" s="111"/>
      <c r="I1315" s="303"/>
      <c r="J1315" s="303"/>
      <c r="K1315" s="303"/>
      <c r="L1315" s="303"/>
      <c r="M1315" s="142" t="s">
        <v>157</v>
      </c>
      <c r="N1315" s="142"/>
      <c r="O1315" s="111" t="str">
        <f>R$1 &amp; " Rail Approach"</f>
        <v>W Rail Approach</v>
      </c>
      <c r="P1315" s="111"/>
      <c r="Q1315" s="111"/>
      <c r="R1315" s="111"/>
      <c r="S1315" s="111"/>
      <c r="T1315" s="303"/>
      <c r="U1315" s="303"/>
      <c r="V1315" s="303"/>
      <c r="W1315" s="303"/>
      <c r="X1315" s="142" t="s">
        <v>157</v>
      </c>
      <c r="Y1315" s="110"/>
      <c r="Z1315" s="110"/>
      <c r="AA1315" s="110"/>
      <c r="AB1315" s="110"/>
      <c r="AC1315" s="113"/>
      <c r="AD1315" s="154"/>
      <c r="AE1315" s="155"/>
      <c r="AF1315" s="155"/>
      <c r="AG1315" s="155"/>
      <c r="AH1315" s="155"/>
      <c r="AI1315" s="194"/>
    </row>
    <row r="1316" spans="1:35" ht="15" customHeight="1" outlineLevel="1" x14ac:dyDescent="0.45">
      <c r="A1316" s="326" t="s">
        <v>155</v>
      </c>
      <c r="B1316" s="327"/>
      <c r="C1316" s="328"/>
      <c r="D1316" s="86" t="s">
        <v>573</v>
      </c>
      <c r="E1316" s="87"/>
      <c r="F1316" s="87"/>
      <c r="G1316" s="87"/>
      <c r="H1316" s="87"/>
      <c r="I1316" s="87"/>
      <c r="J1316" s="87"/>
      <c r="K1316" s="87"/>
      <c r="L1316" s="87"/>
      <c r="M1316" s="87"/>
      <c r="N1316" s="87"/>
      <c r="O1316" s="87"/>
      <c r="P1316" s="87"/>
      <c r="Q1316" s="87"/>
      <c r="R1316" s="87"/>
      <c r="S1316" s="18"/>
      <c r="T1316" s="18"/>
      <c r="U1316" s="18"/>
      <c r="V1316" s="18"/>
      <c r="W1316" s="18"/>
      <c r="X1316" s="18"/>
      <c r="Y1316" s="18"/>
      <c r="Z1316" s="18"/>
      <c r="AA1316" s="18"/>
      <c r="AB1316" s="18"/>
      <c r="AC1316" s="19"/>
      <c r="AD1316" s="147" t="s">
        <v>574</v>
      </c>
      <c r="AE1316" s="148"/>
      <c r="AF1316" s="148"/>
      <c r="AG1316" s="148"/>
      <c r="AH1316" s="148"/>
      <c r="AI1316" s="201"/>
    </row>
    <row r="1317" spans="1:35" ht="15" customHeight="1" outlineLevel="1" thickBot="1" x14ac:dyDescent="0.5">
      <c r="A1317" s="613"/>
      <c r="B1317" s="614"/>
      <c r="C1317" s="615"/>
      <c r="D1317" s="311" t="str">
        <f>N$1 &amp; " Rail Approach"</f>
        <v>E Rail Approach</v>
      </c>
      <c r="E1317" s="312"/>
      <c r="F1317" s="312"/>
      <c r="G1317" s="312"/>
      <c r="H1317" s="312"/>
      <c r="I1317" s="616" t="str">
        <f>IF(ISBLANK(Grade_Crossing_Surface_Measure_Distance_Between_Signal_Mast_and_Sidewalk_N_or_E_Approach),"No Value",IF(ABS(Grade_Crossing_Surface_Measure_Distance_Between_Signal_Mast_and_Sidewalk_N_or_E_Approach)&gt;=3.6,"Yes","No"))</f>
        <v>No Value</v>
      </c>
      <c r="J1317" s="616"/>
      <c r="K1317" s="616"/>
      <c r="L1317" s="616"/>
      <c r="N1317" s="6"/>
      <c r="O1317" s="608" t="str">
        <f>R$1 &amp; " Rail Approach"</f>
        <v>W Rail Approach</v>
      </c>
      <c r="P1317" s="608"/>
      <c r="Q1317" s="608"/>
      <c r="R1317" s="608"/>
      <c r="S1317" s="608"/>
      <c r="T1317" s="616" t="str">
        <f>IF(ISBLANK(Grade_Crossing_Surface_Measure_Distance_Between_Signal_Mast_and_Sidewalk_S_or_W_Approach),"No Value",IF(ABS(Grade_Crossing_Surface_Measure_Distance_Between_Signal_Mast_and_Sidewalk_S_or_W_Approach)&gt;=3.6,"Yes","No"))</f>
        <v>No Value</v>
      </c>
      <c r="U1317" s="616"/>
      <c r="V1317" s="616"/>
      <c r="W1317" s="616"/>
      <c r="AC1317" s="25"/>
      <c r="AD1317" s="609"/>
      <c r="AE1317" s="608"/>
      <c r="AF1317" s="608"/>
      <c r="AG1317" s="608"/>
      <c r="AH1317" s="608"/>
      <c r="AI1317" s="610"/>
    </row>
    <row r="1318" spans="1:35" ht="15" customHeight="1" outlineLevel="1" thickTop="1" x14ac:dyDescent="0.45">
      <c r="A1318" s="191"/>
      <c r="B1318" s="192"/>
      <c r="C1318" s="193"/>
      <c r="D1318" s="191" t="s">
        <v>575</v>
      </c>
      <c r="E1318" s="192"/>
      <c r="F1318" s="192"/>
      <c r="G1318" s="192"/>
      <c r="H1318" s="192"/>
      <c r="I1318" s="192"/>
      <c r="J1318" s="192"/>
      <c r="K1318" s="617"/>
      <c r="L1318" s="617"/>
      <c r="M1318" s="617"/>
      <c r="N1318" s="617"/>
      <c r="O1318" s="617"/>
      <c r="P1318" s="617"/>
      <c r="Q1318" s="611"/>
      <c r="R1318" s="611"/>
      <c r="S1318" s="611"/>
      <c r="T1318" s="611"/>
      <c r="U1318" s="611"/>
      <c r="V1318" s="611"/>
      <c r="W1318" s="611"/>
      <c r="X1318" s="611"/>
      <c r="Y1318" s="611"/>
      <c r="Z1318" s="611"/>
      <c r="AA1318" s="611"/>
      <c r="AB1318" s="611"/>
      <c r="AC1318" s="612"/>
      <c r="AD1318" s="320"/>
      <c r="AE1318" s="321"/>
      <c r="AF1318" s="321"/>
      <c r="AG1318" s="321"/>
      <c r="AH1318" s="321"/>
      <c r="AI1318" s="322"/>
    </row>
    <row r="1319" spans="1:35" ht="15" customHeight="1" outlineLevel="1" x14ac:dyDescent="0.45">
      <c r="A1319" s="168" t="s">
        <v>180</v>
      </c>
      <c r="B1319" s="169"/>
      <c r="C1319" s="170"/>
      <c r="D1319" s="116" t="s">
        <v>576</v>
      </c>
      <c r="E1319" s="117"/>
      <c r="F1319" s="117"/>
      <c r="G1319" s="117"/>
      <c r="H1319" s="117"/>
      <c r="I1319" s="117"/>
      <c r="J1319" s="117"/>
      <c r="K1319" s="117"/>
      <c r="L1319" s="117"/>
      <c r="M1319" s="117"/>
      <c r="N1319" s="117"/>
      <c r="O1319" s="118"/>
      <c r="P1319" s="118"/>
      <c r="Q1319" s="52"/>
      <c r="R1319" s="52"/>
      <c r="S1319" s="52"/>
      <c r="T1319" s="52"/>
      <c r="U1319" s="52"/>
      <c r="V1319" s="118"/>
      <c r="W1319" s="118"/>
      <c r="X1319" s="118"/>
      <c r="Y1319" s="118"/>
      <c r="Z1319" s="118"/>
      <c r="AA1319" s="118"/>
      <c r="AB1319" s="118"/>
      <c r="AC1319" s="119"/>
      <c r="AD1319" s="214" t="s">
        <v>559</v>
      </c>
      <c r="AE1319" s="215"/>
      <c r="AF1319" s="215"/>
      <c r="AG1319" s="215"/>
      <c r="AH1319" s="215"/>
      <c r="AI1319" s="216"/>
    </row>
    <row r="1320" spans="1:35" ht="15" customHeight="1" outlineLevel="1" x14ac:dyDescent="0.45">
      <c r="A1320" s="168" t="s">
        <v>159</v>
      </c>
      <c r="B1320" s="169"/>
      <c r="C1320" s="170"/>
      <c r="D1320" s="116" t="s">
        <v>577</v>
      </c>
      <c r="E1320" s="117"/>
      <c r="F1320" s="117"/>
      <c r="G1320" s="117"/>
      <c r="H1320" s="117"/>
      <c r="I1320" s="117"/>
      <c r="J1320" s="117"/>
      <c r="K1320" s="117"/>
      <c r="L1320" s="117" t="str">
        <f>V$1 &amp; " Road Approach"</f>
        <v>N Road Approach</v>
      </c>
      <c r="M1320" s="117"/>
      <c r="N1320" s="117"/>
      <c r="O1320" s="117"/>
      <c r="P1320" s="117"/>
      <c r="Q1320" s="604"/>
      <c r="R1320" s="604"/>
      <c r="S1320" s="124" t="s">
        <v>157</v>
      </c>
      <c r="T1320" s="118"/>
      <c r="U1320" s="117" t="str">
        <f>Z$1 &amp; " Road Approach"</f>
        <v>S Road Approach</v>
      </c>
      <c r="V1320" s="117"/>
      <c r="W1320" s="117"/>
      <c r="X1320" s="117"/>
      <c r="Y1320" s="117"/>
      <c r="Z1320" s="604"/>
      <c r="AA1320" s="604"/>
      <c r="AB1320" s="124" t="s">
        <v>157</v>
      </c>
      <c r="AC1320" s="119"/>
      <c r="AD1320" s="214"/>
      <c r="AE1320" s="215"/>
      <c r="AF1320" s="215"/>
      <c r="AG1320" s="215"/>
      <c r="AH1320" s="215"/>
      <c r="AI1320" s="216"/>
    </row>
    <row r="1321" spans="1:35" ht="15" customHeight="1" outlineLevel="1" x14ac:dyDescent="0.45">
      <c r="A1321" s="168" t="s">
        <v>159</v>
      </c>
      <c r="B1321" s="169"/>
      <c r="C1321" s="170"/>
      <c r="D1321" s="116" t="s">
        <v>578</v>
      </c>
      <c r="E1321" s="117"/>
      <c r="F1321" s="117"/>
      <c r="G1321" s="117"/>
      <c r="H1321" s="117"/>
      <c r="I1321" s="117"/>
      <c r="J1321" s="117"/>
      <c r="K1321" s="117"/>
      <c r="L1321" s="117" t="str">
        <f>V$1 &amp; " Road Approach"</f>
        <v>N Road Approach</v>
      </c>
      <c r="M1321" s="117"/>
      <c r="N1321" s="117"/>
      <c r="O1321" s="117"/>
      <c r="P1321" s="117"/>
      <c r="Q1321" s="604"/>
      <c r="R1321" s="604"/>
      <c r="S1321" s="124" t="s">
        <v>157</v>
      </c>
      <c r="T1321" s="118"/>
      <c r="U1321" s="117" t="str">
        <f>Z$1 &amp; " Road Approach"</f>
        <v>S Road Approach</v>
      </c>
      <c r="V1321" s="117"/>
      <c r="W1321" s="117"/>
      <c r="X1321" s="117"/>
      <c r="Y1321" s="117"/>
      <c r="Z1321" s="604"/>
      <c r="AA1321" s="604"/>
      <c r="AB1321" s="124" t="s">
        <v>157</v>
      </c>
      <c r="AC1321" s="119"/>
      <c r="AD1321" s="214"/>
      <c r="AE1321" s="215"/>
      <c r="AF1321" s="215"/>
      <c r="AG1321" s="215"/>
      <c r="AH1321" s="215"/>
      <c r="AI1321" s="216"/>
    </row>
    <row r="1322" spans="1:35" ht="15" customHeight="1" outlineLevel="1" x14ac:dyDescent="0.45">
      <c r="A1322" s="168" t="s">
        <v>159</v>
      </c>
      <c r="B1322" s="169"/>
      <c r="C1322" s="170"/>
      <c r="D1322" s="116" t="s">
        <v>361</v>
      </c>
      <c r="E1322" s="117"/>
      <c r="F1322" s="118"/>
      <c r="G1322" s="118"/>
      <c r="H1322" s="118"/>
      <c r="I1322" s="118"/>
      <c r="J1322" s="118"/>
      <c r="K1322" s="118"/>
      <c r="L1322" s="117" t="str">
        <f>V$1 &amp; " Road Approach"</f>
        <v>N Road Approach</v>
      </c>
      <c r="M1322" s="117"/>
      <c r="N1322" s="117"/>
      <c r="O1322" s="117"/>
      <c r="P1322" s="117"/>
      <c r="Q1322" s="604"/>
      <c r="R1322" s="604"/>
      <c r="S1322" s="124" t="s">
        <v>157</v>
      </c>
      <c r="T1322" s="118"/>
      <c r="U1322" s="117" t="str">
        <f>Z$1 &amp; " Road Approach"</f>
        <v>S Road Approach</v>
      </c>
      <c r="V1322" s="117"/>
      <c r="W1322" s="117"/>
      <c r="X1322" s="117"/>
      <c r="Y1322" s="117"/>
      <c r="Z1322" s="604"/>
      <c r="AA1322" s="604"/>
      <c r="AB1322" s="124" t="s">
        <v>157</v>
      </c>
      <c r="AC1322" s="119"/>
      <c r="AD1322" s="214" t="s">
        <v>579</v>
      </c>
      <c r="AE1322" s="215"/>
      <c r="AF1322" s="215"/>
      <c r="AG1322" s="215"/>
      <c r="AH1322" s="215"/>
      <c r="AI1322" s="216"/>
    </row>
    <row r="1323" spans="1:35" ht="15" customHeight="1" outlineLevel="1" x14ac:dyDescent="0.45">
      <c r="A1323" s="168" t="s">
        <v>159</v>
      </c>
      <c r="B1323" s="169"/>
      <c r="C1323" s="170"/>
      <c r="D1323" s="116" t="s">
        <v>580</v>
      </c>
      <c r="E1323" s="117"/>
      <c r="F1323" s="118"/>
      <c r="G1323" s="118"/>
      <c r="H1323" s="118"/>
      <c r="I1323" s="118"/>
      <c r="J1323" s="118"/>
      <c r="K1323" s="118"/>
      <c r="L1323" s="117" t="str">
        <f>V$1 &amp; " Road Approach"</f>
        <v>N Road Approach</v>
      </c>
      <c r="M1323" s="117"/>
      <c r="N1323" s="117"/>
      <c r="O1323" s="117"/>
      <c r="P1323" s="117"/>
      <c r="Q1323" s="604"/>
      <c r="R1323" s="604"/>
      <c r="S1323" s="124" t="s">
        <v>157</v>
      </c>
      <c r="T1323" s="118"/>
      <c r="U1323" s="117" t="str">
        <f>Z$1 &amp; " Road Approach"</f>
        <v>S Road Approach</v>
      </c>
      <c r="V1323" s="117"/>
      <c r="W1323" s="117"/>
      <c r="X1323" s="117"/>
      <c r="Y1323" s="117"/>
      <c r="Z1323" s="604"/>
      <c r="AA1323" s="604"/>
      <c r="AB1323" s="124" t="s">
        <v>157</v>
      </c>
      <c r="AC1323" s="119"/>
      <c r="AD1323" s="214" t="s">
        <v>581</v>
      </c>
      <c r="AE1323" s="215"/>
      <c r="AF1323" s="215"/>
      <c r="AG1323" s="215"/>
      <c r="AH1323" s="215"/>
      <c r="AI1323" s="216"/>
    </row>
    <row r="1324" spans="1:35" ht="15" customHeight="1" outlineLevel="1" x14ac:dyDescent="0.45">
      <c r="A1324" s="168" t="s">
        <v>159</v>
      </c>
      <c r="B1324" s="169"/>
      <c r="C1324" s="170"/>
      <c r="D1324" s="116" t="s">
        <v>582</v>
      </c>
      <c r="E1324" s="117"/>
      <c r="F1324" s="118"/>
      <c r="G1324" s="118"/>
      <c r="H1324" s="118"/>
      <c r="I1324" s="118"/>
      <c r="J1324" s="118"/>
      <c r="K1324" s="118"/>
      <c r="L1324" s="117" t="str">
        <f>V$1 &amp; " Road Approach"</f>
        <v>N Road Approach</v>
      </c>
      <c r="M1324" s="117"/>
      <c r="N1324" s="117"/>
      <c r="O1324" s="117"/>
      <c r="P1324" s="117"/>
      <c r="Q1324" s="604"/>
      <c r="R1324" s="604"/>
      <c r="S1324" s="124" t="s">
        <v>157</v>
      </c>
      <c r="T1324" s="118"/>
      <c r="U1324" s="117" t="str">
        <f>Z$1 &amp; " Road Approach"</f>
        <v>S Road Approach</v>
      </c>
      <c r="V1324" s="117"/>
      <c r="W1324" s="117"/>
      <c r="X1324" s="117"/>
      <c r="Y1324" s="117"/>
      <c r="Z1324" s="604"/>
      <c r="AA1324" s="604"/>
      <c r="AB1324" s="124" t="s">
        <v>157</v>
      </c>
      <c r="AC1324" s="119"/>
      <c r="AD1324" s="214" t="s">
        <v>583</v>
      </c>
      <c r="AE1324" s="215"/>
      <c r="AF1324" s="215"/>
      <c r="AG1324" s="215"/>
      <c r="AH1324" s="215"/>
      <c r="AI1324" s="216"/>
    </row>
    <row r="1325" spans="1:35" ht="15" customHeight="1" outlineLevel="1" x14ac:dyDescent="0.45">
      <c r="A1325" s="326" t="s">
        <v>155</v>
      </c>
      <c r="B1325" s="327"/>
      <c r="C1325" s="328"/>
      <c r="D1325" s="86" t="s">
        <v>584</v>
      </c>
      <c r="E1325" s="87"/>
      <c r="F1325" s="87"/>
      <c r="G1325" s="87"/>
      <c r="H1325" s="87"/>
      <c r="I1325" s="87"/>
      <c r="J1325" s="87"/>
      <c r="K1325" s="87"/>
      <c r="L1325" s="18"/>
      <c r="M1325" s="18"/>
      <c r="N1325" s="18"/>
      <c r="O1325" s="18"/>
      <c r="P1325" s="18"/>
      <c r="Q1325" s="18"/>
      <c r="R1325" s="18"/>
      <c r="S1325" s="18"/>
      <c r="T1325" s="18"/>
      <c r="U1325" s="18"/>
      <c r="V1325" s="18"/>
      <c r="W1325" s="18"/>
      <c r="X1325" s="18"/>
      <c r="Y1325" s="18"/>
      <c r="Z1325" s="18"/>
      <c r="AA1325" s="18"/>
      <c r="AB1325" s="18"/>
      <c r="AC1325" s="19"/>
      <c r="AD1325" s="147" t="s">
        <v>585</v>
      </c>
      <c r="AE1325" s="148"/>
      <c r="AF1325" s="148"/>
      <c r="AG1325" s="148"/>
      <c r="AH1325" s="148"/>
      <c r="AI1325" s="201"/>
    </row>
    <row r="1326" spans="1:35" ht="15" customHeight="1" outlineLevel="1" x14ac:dyDescent="0.45">
      <c r="A1326" s="372"/>
      <c r="B1326" s="373"/>
      <c r="C1326" s="374"/>
      <c r="D1326" s="279" t="str">
        <f>V$1 &amp; " Road Approach"</f>
        <v>N Road Approach</v>
      </c>
      <c r="E1326" s="111"/>
      <c r="F1326" s="111"/>
      <c r="G1326" s="111"/>
      <c r="H1326" s="111"/>
      <c r="I1326" s="112" t="str">
        <f>IF(AND(ISBLANK(Light_Units_Measure_Cantilevers_N_or_E_Approach_DR),ISBLANK(Light_Units_Measure_Cantilevers_N_or_E_Approach_DL)),"No Value",IF(OR(AND(ISNUMBER(Light_Units_Measure_Cantilevers_N_or_E_Approach_DR),Light_Units_Measure_Cantilevers_N_or_E_Approach_DR&gt;7.7),AND(ISNUMBER(Light_Units_Measure_Cantilevers_N_or_E_Approach_DL),Light_Units_Measure_Cantilevers_N_or_E_Approach_DL&gt;8.7)),"Yes","No"))</f>
        <v>No Value</v>
      </c>
      <c r="J1326" s="112"/>
      <c r="K1326" s="112"/>
      <c r="L1326" s="112"/>
      <c r="M1326" s="110"/>
      <c r="N1326" s="142"/>
      <c r="O1326" s="111" t="str">
        <f>Z$1 &amp; " Road Approach"</f>
        <v>S Road Approach</v>
      </c>
      <c r="P1326" s="111"/>
      <c r="Q1326" s="111"/>
      <c r="R1326" s="111"/>
      <c r="S1326" s="111"/>
      <c r="T1326" s="112" t="str">
        <f>IF(AND(ISBLANK(Light_Units_Measure_Cantilevers_S_or_W_Approach_DR),ISBLANK(Light_Units_Measure_Cantilevers_S_or_W_Approach_DL)),"No Value",IF(OR(AND(ISNUMBER(Light_Units_Measure_Cantilevers_S_or_W_Approach_DR),Light_Units_Measure_Cantilevers_S_or_W_Approach_DR&gt;7.7),AND(ISNUMBER(Light_Units_Measure_Cantilevers_S_or_W_Approach_DL),Light_Units_Measure_Cantilevers_S_or_W_Approach_DL&gt;8.7)),"Yes","No"))</f>
        <v>No Value</v>
      </c>
      <c r="U1326" s="112"/>
      <c r="V1326" s="112"/>
      <c r="W1326" s="112"/>
      <c r="X1326" s="110"/>
      <c r="Y1326" s="110"/>
      <c r="Z1326" s="110"/>
      <c r="AA1326" s="110"/>
      <c r="AB1326" s="110"/>
      <c r="AC1326" s="113"/>
      <c r="AD1326" s="154"/>
      <c r="AE1326" s="155"/>
      <c r="AF1326" s="155"/>
      <c r="AG1326" s="155"/>
      <c r="AH1326" s="155"/>
      <c r="AI1326" s="194"/>
    </row>
    <row r="1327" spans="1:35" ht="15" customHeight="1" outlineLevel="1" x14ac:dyDescent="0.45"/>
    <row r="1328" spans="1:35" ht="15" customHeight="1" outlineLevel="1" x14ac:dyDescent="0.45">
      <c r="A1328" s="176" t="s">
        <v>208</v>
      </c>
      <c r="B1328" s="177"/>
      <c r="C1328" s="177"/>
      <c r="D1328" s="177"/>
      <c r="E1328" s="177"/>
      <c r="F1328" s="177"/>
      <c r="G1328" s="177"/>
      <c r="H1328" s="177"/>
      <c r="I1328" s="177"/>
      <c r="J1328" s="177"/>
      <c r="K1328" s="177"/>
      <c r="L1328" s="177"/>
      <c r="M1328" s="177"/>
      <c r="N1328" s="177"/>
      <c r="O1328" s="177"/>
      <c r="P1328" s="177"/>
      <c r="Q1328" s="177"/>
      <c r="R1328" s="177"/>
      <c r="S1328" s="177"/>
      <c r="T1328" s="177"/>
      <c r="U1328" s="177"/>
      <c r="V1328" s="177"/>
      <c r="W1328" s="177"/>
      <c r="X1328" s="177"/>
      <c r="Y1328" s="177"/>
      <c r="Z1328" s="177"/>
      <c r="AA1328" s="177"/>
      <c r="AB1328" s="177"/>
      <c r="AC1328" s="177"/>
      <c r="AD1328" s="177"/>
      <c r="AE1328" s="177"/>
      <c r="AF1328" s="177"/>
      <c r="AG1328" s="177"/>
      <c r="AH1328" s="177"/>
      <c r="AI1328" s="178"/>
    </row>
    <row r="1329" spans="1:35" ht="15" customHeight="1" outlineLevel="1" x14ac:dyDescent="0.45">
      <c r="A1329" s="256"/>
      <c r="B1329" s="257"/>
      <c r="C1329" s="257"/>
      <c r="D1329" s="257"/>
      <c r="E1329" s="257"/>
      <c r="F1329" s="257"/>
      <c r="G1329" s="257"/>
      <c r="H1329" s="257"/>
      <c r="I1329" s="257"/>
      <c r="J1329" s="257"/>
      <c r="K1329" s="257"/>
      <c r="L1329" s="257"/>
      <c r="M1329" s="257"/>
      <c r="N1329" s="257"/>
      <c r="O1329" s="257"/>
      <c r="P1329" s="257"/>
      <c r="Q1329" s="257"/>
      <c r="R1329" s="257"/>
      <c r="S1329" s="257"/>
      <c r="T1329" s="257"/>
      <c r="U1329" s="257"/>
      <c r="V1329" s="257"/>
      <c r="W1329" s="257"/>
      <c r="X1329" s="257"/>
      <c r="Y1329" s="257"/>
      <c r="Z1329" s="257"/>
      <c r="AA1329" s="257"/>
      <c r="AB1329" s="257"/>
      <c r="AC1329" s="257"/>
      <c r="AD1329" s="257"/>
      <c r="AE1329" s="257"/>
      <c r="AF1329" s="257"/>
      <c r="AG1329" s="257"/>
      <c r="AH1329" s="257"/>
      <c r="AI1329" s="258"/>
    </row>
    <row r="1330" spans="1:35" ht="15" customHeight="1" outlineLevel="1" x14ac:dyDescent="0.45">
      <c r="A1330" s="259"/>
      <c r="B1330" s="260"/>
      <c r="C1330" s="260"/>
      <c r="D1330" s="260"/>
      <c r="E1330" s="260"/>
      <c r="F1330" s="260"/>
      <c r="G1330" s="260"/>
      <c r="H1330" s="260"/>
      <c r="I1330" s="260"/>
      <c r="J1330" s="260"/>
      <c r="K1330" s="260"/>
      <c r="L1330" s="260"/>
      <c r="M1330" s="260"/>
      <c r="N1330" s="260"/>
      <c r="O1330" s="260"/>
      <c r="P1330" s="260"/>
      <c r="Q1330" s="260"/>
      <c r="R1330" s="260"/>
      <c r="S1330" s="260"/>
      <c r="T1330" s="260"/>
      <c r="U1330" s="260"/>
      <c r="V1330" s="260"/>
      <c r="W1330" s="260"/>
      <c r="X1330" s="260"/>
      <c r="Y1330" s="260"/>
      <c r="Z1330" s="260"/>
      <c r="AA1330" s="260"/>
      <c r="AB1330" s="260"/>
      <c r="AC1330" s="260"/>
      <c r="AD1330" s="260"/>
      <c r="AE1330" s="260"/>
      <c r="AF1330" s="260"/>
      <c r="AG1330" s="260"/>
      <c r="AH1330" s="260"/>
      <c r="AI1330" s="261"/>
    </row>
    <row r="1331" spans="1:35" ht="15" customHeight="1" outlineLevel="1" x14ac:dyDescent="0.45">
      <c r="A1331" s="259"/>
      <c r="B1331" s="260"/>
      <c r="C1331" s="260"/>
      <c r="D1331" s="260"/>
      <c r="E1331" s="260"/>
      <c r="F1331" s="260"/>
      <c r="G1331" s="260"/>
      <c r="H1331" s="260"/>
      <c r="I1331" s="260"/>
      <c r="J1331" s="260"/>
      <c r="K1331" s="260"/>
      <c r="L1331" s="260"/>
      <c r="M1331" s="260"/>
      <c r="N1331" s="260"/>
      <c r="O1331" s="260"/>
      <c r="P1331" s="260"/>
      <c r="Q1331" s="260"/>
      <c r="R1331" s="260"/>
      <c r="S1331" s="260"/>
      <c r="T1331" s="260"/>
      <c r="U1331" s="260"/>
      <c r="V1331" s="260"/>
      <c r="W1331" s="260"/>
      <c r="X1331" s="260"/>
      <c r="Y1331" s="260"/>
      <c r="Z1331" s="260"/>
      <c r="AA1331" s="260"/>
      <c r="AB1331" s="260"/>
      <c r="AC1331" s="260"/>
      <c r="AD1331" s="260"/>
      <c r="AE1331" s="260"/>
      <c r="AF1331" s="260"/>
      <c r="AG1331" s="260"/>
      <c r="AH1331" s="260"/>
      <c r="AI1331" s="261"/>
    </row>
    <row r="1332" spans="1:35" ht="15" customHeight="1" outlineLevel="1" x14ac:dyDescent="0.45">
      <c r="A1332" s="259"/>
      <c r="B1332" s="260"/>
      <c r="C1332" s="260"/>
      <c r="D1332" s="260"/>
      <c r="E1332" s="260"/>
      <c r="F1332" s="260"/>
      <c r="G1332" s="260"/>
      <c r="H1332" s="260"/>
      <c r="I1332" s="260"/>
      <c r="J1332" s="260"/>
      <c r="K1332" s="260"/>
      <c r="L1332" s="260"/>
      <c r="M1332" s="260"/>
      <c r="N1332" s="260"/>
      <c r="O1332" s="260"/>
      <c r="P1332" s="260"/>
      <c r="Q1332" s="260"/>
      <c r="R1332" s="260"/>
      <c r="S1332" s="260"/>
      <c r="T1332" s="260"/>
      <c r="U1332" s="260"/>
      <c r="V1332" s="260"/>
      <c r="W1332" s="260"/>
      <c r="X1332" s="260"/>
      <c r="Y1332" s="260"/>
      <c r="Z1332" s="260"/>
      <c r="AA1332" s="260"/>
      <c r="AB1332" s="260"/>
      <c r="AC1332" s="260"/>
      <c r="AD1332" s="260"/>
      <c r="AE1332" s="260"/>
      <c r="AF1332" s="260"/>
      <c r="AG1332" s="260"/>
      <c r="AH1332" s="260"/>
      <c r="AI1332" s="261"/>
    </row>
    <row r="1333" spans="1:35" ht="15" customHeight="1" outlineLevel="1" x14ac:dyDescent="0.45">
      <c r="A1333" s="259"/>
      <c r="B1333" s="260"/>
      <c r="C1333" s="260"/>
      <c r="D1333" s="260"/>
      <c r="E1333" s="260"/>
      <c r="F1333" s="260"/>
      <c r="G1333" s="260"/>
      <c r="H1333" s="260"/>
      <c r="I1333" s="260"/>
      <c r="J1333" s="260"/>
      <c r="K1333" s="260"/>
      <c r="L1333" s="260"/>
      <c r="M1333" s="260"/>
      <c r="N1333" s="260"/>
      <c r="O1333" s="260"/>
      <c r="P1333" s="260"/>
      <c r="Q1333" s="260"/>
      <c r="R1333" s="260"/>
      <c r="S1333" s="260"/>
      <c r="T1333" s="260"/>
      <c r="U1333" s="260"/>
      <c r="V1333" s="260"/>
      <c r="W1333" s="260"/>
      <c r="X1333" s="260"/>
      <c r="Y1333" s="260"/>
      <c r="Z1333" s="260"/>
      <c r="AA1333" s="260"/>
      <c r="AB1333" s="260"/>
      <c r="AC1333" s="260"/>
      <c r="AD1333" s="260"/>
      <c r="AE1333" s="260"/>
      <c r="AF1333" s="260"/>
      <c r="AG1333" s="260"/>
      <c r="AH1333" s="260"/>
      <c r="AI1333" s="261"/>
    </row>
    <row r="1334" spans="1:35" ht="15" customHeight="1" outlineLevel="1" x14ac:dyDescent="0.45">
      <c r="A1334" s="259"/>
      <c r="B1334" s="260"/>
      <c r="C1334" s="260"/>
      <c r="D1334" s="260"/>
      <c r="E1334" s="260"/>
      <c r="F1334" s="260"/>
      <c r="G1334" s="260"/>
      <c r="H1334" s="260"/>
      <c r="I1334" s="260"/>
      <c r="J1334" s="260"/>
      <c r="K1334" s="260"/>
      <c r="L1334" s="260"/>
      <c r="M1334" s="260"/>
      <c r="N1334" s="260"/>
      <c r="O1334" s="260"/>
      <c r="P1334" s="260"/>
      <c r="Q1334" s="260"/>
      <c r="R1334" s="260"/>
      <c r="S1334" s="260"/>
      <c r="T1334" s="260"/>
      <c r="U1334" s="260"/>
      <c r="V1334" s="260"/>
      <c r="W1334" s="260"/>
      <c r="X1334" s="260"/>
      <c r="Y1334" s="260"/>
      <c r="Z1334" s="260"/>
      <c r="AA1334" s="260"/>
      <c r="AB1334" s="260"/>
      <c r="AC1334" s="260"/>
      <c r="AD1334" s="260"/>
      <c r="AE1334" s="260"/>
      <c r="AF1334" s="260"/>
      <c r="AG1334" s="260"/>
      <c r="AH1334" s="260"/>
      <c r="AI1334" s="261"/>
    </row>
    <row r="1335" spans="1:35" ht="15" customHeight="1" outlineLevel="1" x14ac:dyDescent="0.45">
      <c r="A1335" s="259"/>
      <c r="B1335" s="260"/>
      <c r="C1335" s="260"/>
      <c r="D1335" s="260"/>
      <c r="E1335" s="260"/>
      <c r="F1335" s="260"/>
      <c r="G1335" s="260"/>
      <c r="H1335" s="260"/>
      <c r="I1335" s="260"/>
      <c r="J1335" s="260"/>
      <c r="K1335" s="260"/>
      <c r="L1335" s="260"/>
      <c r="M1335" s="260"/>
      <c r="N1335" s="260"/>
      <c r="O1335" s="260"/>
      <c r="P1335" s="260"/>
      <c r="Q1335" s="260"/>
      <c r="R1335" s="260"/>
      <c r="S1335" s="260"/>
      <c r="T1335" s="260"/>
      <c r="U1335" s="260"/>
      <c r="V1335" s="260"/>
      <c r="W1335" s="260"/>
      <c r="X1335" s="260"/>
      <c r="Y1335" s="260"/>
      <c r="Z1335" s="260"/>
      <c r="AA1335" s="260"/>
      <c r="AB1335" s="260"/>
      <c r="AC1335" s="260"/>
      <c r="AD1335" s="260"/>
      <c r="AE1335" s="260"/>
      <c r="AF1335" s="260"/>
      <c r="AG1335" s="260"/>
      <c r="AH1335" s="260"/>
      <c r="AI1335" s="261"/>
    </row>
    <row r="1336" spans="1:35" ht="15" customHeight="1" outlineLevel="1" x14ac:dyDescent="0.45">
      <c r="A1336" s="259"/>
      <c r="B1336" s="260"/>
      <c r="C1336" s="260"/>
      <c r="D1336" s="260"/>
      <c r="E1336" s="260"/>
      <c r="F1336" s="260"/>
      <c r="G1336" s="260"/>
      <c r="H1336" s="260"/>
      <c r="I1336" s="260"/>
      <c r="J1336" s="260"/>
      <c r="K1336" s="260"/>
      <c r="L1336" s="260"/>
      <c r="M1336" s="260"/>
      <c r="N1336" s="260"/>
      <c r="O1336" s="260"/>
      <c r="P1336" s="260"/>
      <c r="Q1336" s="260"/>
      <c r="R1336" s="260"/>
      <c r="S1336" s="260"/>
      <c r="T1336" s="260"/>
      <c r="U1336" s="260"/>
      <c r="V1336" s="260"/>
      <c r="W1336" s="260"/>
      <c r="X1336" s="260"/>
      <c r="Y1336" s="260"/>
      <c r="Z1336" s="260"/>
      <c r="AA1336" s="260"/>
      <c r="AB1336" s="260"/>
      <c r="AC1336" s="260"/>
      <c r="AD1336" s="260"/>
      <c r="AE1336" s="260"/>
      <c r="AF1336" s="260"/>
      <c r="AG1336" s="260"/>
      <c r="AH1336" s="260"/>
      <c r="AI1336" s="261"/>
    </row>
    <row r="1337" spans="1:35" ht="15" customHeight="1" outlineLevel="1" x14ac:dyDescent="0.45">
      <c r="A1337" s="259"/>
      <c r="B1337" s="260"/>
      <c r="C1337" s="260"/>
      <c r="D1337" s="260"/>
      <c r="E1337" s="260"/>
      <c r="F1337" s="260"/>
      <c r="G1337" s="260"/>
      <c r="H1337" s="260"/>
      <c r="I1337" s="260"/>
      <c r="J1337" s="260"/>
      <c r="K1337" s="260"/>
      <c r="L1337" s="260"/>
      <c r="M1337" s="260"/>
      <c r="N1337" s="260"/>
      <c r="O1337" s="260"/>
      <c r="P1337" s="260"/>
      <c r="Q1337" s="260"/>
      <c r="R1337" s="260"/>
      <c r="S1337" s="260"/>
      <c r="T1337" s="260"/>
      <c r="U1337" s="260"/>
      <c r="V1337" s="260"/>
      <c r="W1337" s="260"/>
      <c r="X1337" s="260"/>
      <c r="Y1337" s="260"/>
      <c r="Z1337" s="260"/>
      <c r="AA1337" s="260"/>
      <c r="AB1337" s="260"/>
      <c r="AC1337" s="260"/>
      <c r="AD1337" s="260"/>
      <c r="AE1337" s="260"/>
      <c r="AF1337" s="260"/>
      <c r="AG1337" s="260"/>
      <c r="AH1337" s="260"/>
      <c r="AI1337" s="261"/>
    </row>
    <row r="1338" spans="1:35" ht="15" customHeight="1" outlineLevel="1" x14ac:dyDescent="0.45">
      <c r="A1338" s="259"/>
      <c r="B1338" s="260"/>
      <c r="C1338" s="260"/>
      <c r="D1338" s="260"/>
      <c r="E1338" s="260"/>
      <c r="F1338" s="260"/>
      <c r="G1338" s="260"/>
      <c r="H1338" s="260"/>
      <c r="I1338" s="260"/>
      <c r="J1338" s="260"/>
      <c r="K1338" s="260"/>
      <c r="L1338" s="260"/>
      <c r="M1338" s="260"/>
      <c r="N1338" s="260"/>
      <c r="O1338" s="260"/>
      <c r="P1338" s="260"/>
      <c r="Q1338" s="260"/>
      <c r="R1338" s="260"/>
      <c r="S1338" s="260"/>
      <c r="T1338" s="260"/>
      <c r="U1338" s="260"/>
      <c r="V1338" s="260"/>
      <c r="W1338" s="260"/>
      <c r="X1338" s="260"/>
      <c r="Y1338" s="260"/>
      <c r="Z1338" s="260"/>
      <c r="AA1338" s="260"/>
      <c r="AB1338" s="260"/>
      <c r="AC1338" s="260"/>
      <c r="AD1338" s="260"/>
      <c r="AE1338" s="260"/>
      <c r="AF1338" s="260"/>
      <c r="AG1338" s="260"/>
      <c r="AH1338" s="260"/>
      <c r="AI1338" s="261"/>
    </row>
    <row r="1339" spans="1:35" ht="15" customHeight="1" outlineLevel="1" x14ac:dyDescent="0.45">
      <c r="A1339" s="259"/>
      <c r="B1339" s="260"/>
      <c r="C1339" s="260"/>
      <c r="D1339" s="260"/>
      <c r="E1339" s="260"/>
      <c r="F1339" s="260"/>
      <c r="G1339" s="260"/>
      <c r="H1339" s="260"/>
      <c r="I1339" s="260"/>
      <c r="J1339" s="260"/>
      <c r="K1339" s="260"/>
      <c r="L1339" s="260"/>
      <c r="M1339" s="260"/>
      <c r="N1339" s="260"/>
      <c r="O1339" s="260"/>
      <c r="P1339" s="260"/>
      <c r="Q1339" s="260"/>
      <c r="R1339" s="260"/>
      <c r="S1339" s="260"/>
      <c r="T1339" s="260"/>
      <c r="U1339" s="260"/>
      <c r="V1339" s="260"/>
      <c r="W1339" s="260"/>
      <c r="X1339" s="260"/>
      <c r="Y1339" s="260"/>
      <c r="Z1339" s="260"/>
      <c r="AA1339" s="260"/>
      <c r="AB1339" s="260"/>
      <c r="AC1339" s="260"/>
      <c r="AD1339" s="260"/>
      <c r="AE1339" s="260"/>
      <c r="AF1339" s="260"/>
      <c r="AG1339" s="260"/>
      <c r="AH1339" s="260"/>
      <c r="AI1339" s="261"/>
    </row>
    <row r="1340" spans="1:35" ht="15" customHeight="1" outlineLevel="1" x14ac:dyDescent="0.45">
      <c r="A1340" s="259"/>
      <c r="B1340" s="260"/>
      <c r="C1340" s="260"/>
      <c r="D1340" s="260"/>
      <c r="E1340" s="260"/>
      <c r="F1340" s="260"/>
      <c r="G1340" s="260"/>
      <c r="H1340" s="260"/>
      <c r="I1340" s="260"/>
      <c r="J1340" s="260"/>
      <c r="K1340" s="260"/>
      <c r="L1340" s="260"/>
      <c r="M1340" s="260"/>
      <c r="N1340" s="260"/>
      <c r="O1340" s="260"/>
      <c r="P1340" s="260"/>
      <c r="Q1340" s="260"/>
      <c r="R1340" s="260"/>
      <c r="S1340" s="260"/>
      <c r="T1340" s="260"/>
      <c r="U1340" s="260"/>
      <c r="V1340" s="260"/>
      <c r="W1340" s="260"/>
      <c r="X1340" s="260"/>
      <c r="Y1340" s="260"/>
      <c r="Z1340" s="260"/>
      <c r="AA1340" s="260"/>
      <c r="AB1340" s="260"/>
      <c r="AC1340" s="260"/>
      <c r="AD1340" s="260"/>
      <c r="AE1340" s="260"/>
      <c r="AF1340" s="260"/>
      <c r="AG1340" s="260"/>
      <c r="AH1340" s="260"/>
      <c r="AI1340" s="261"/>
    </row>
    <row r="1341" spans="1:35" ht="15" customHeight="1" outlineLevel="1" x14ac:dyDescent="0.45">
      <c r="A1341" s="259"/>
      <c r="B1341" s="260"/>
      <c r="C1341" s="260"/>
      <c r="D1341" s="260"/>
      <c r="E1341" s="260"/>
      <c r="F1341" s="260"/>
      <c r="G1341" s="260"/>
      <c r="H1341" s="260"/>
      <c r="I1341" s="260"/>
      <c r="J1341" s="260"/>
      <c r="K1341" s="260"/>
      <c r="L1341" s="260"/>
      <c r="M1341" s="260"/>
      <c r="N1341" s="260"/>
      <c r="O1341" s="260"/>
      <c r="P1341" s="260"/>
      <c r="Q1341" s="260"/>
      <c r="R1341" s="260"/>
      <c r="S1341" s="260"/>
      <c r="T1341" s="260"/>
      <c r="U1341" s="260"/>
      <c r="V1341" s="260"/>
      <c r="W1341" s="260"/>
      <c r="X1341" s="260"/>
      <c r="Y1341" s="260"/>
      <c r="Z1341" s="260"/>
      <c r="AA1341" s="260"/>
      <c r="AB1341" s="260"/>
      <c r="AC1341" s="260"/>
      <c r="AD1341" s="260"/>
      <c r="AE1341" s="260"/>
      <c r="AF1341" s="260"/>
      <c r="AG1341" s="260"/>
      <c r="AH1341" s="260"/>
      <c r="AI1341" s="261"/>
    </row>
    <row r="1342" spans="1:35" ht="15" customHeight="1" outlineLevel="1" x14ac:dyDescent="0.45">
      <c r="A1342" s="259"/>
      <c r="B1342" s="260"/>
      <c r="C1342" s="260"/>
      <c r="D1342" s="260"/>
      <c r="E1342" s="260"/>
      <c r="F1342" s="260"/>
      <c r="G1342" s="260"/>
      <c r="H1342" s="260"/>
      <c r="I1342" s="260"/>
      <c r="J1342" s="260"/>
      <c r="K1342" s="260"/>
      <c r="L1342" s="260"/>
      <c r="M1342" s="260"/>
      <c r="N1342" s="260"/>
      <c r="O1342" s="260"/>
      <c r="P1342" s="260"/>
      <c r="Q1342" s="260"/>
      <c r="R1342" s="260"/>
      <c r="S1342" s="260"/>
      <c r="T1342" s="260"/>
      <c r="U1342" s="260"/>
      <c r="V1342" s="260"/>
      <c r="W1342" s="260"/>
      <c r="X1342" s="260"/>
      <c r="Y1342" s="260"/>
      <c r="Z1342" s="260"/>
      <c r="AA1342" s="260"/>
      <c r="AB1342" s="260"/>
      <c r="AC1342" s="260"/>
      <c r="AD1342" s="260"/>
      <c r="AE1342" s="260"/>
      <c r="AF1342" s="260"/>
      <c r="AG1342" s="260"/>
      <c r="AH1342" s="260"/>
      <c r="AI1342" s="261"/>
    </row>
    <row r="1343" spans="1:35" ht="15" customHeight="1" outlineLevel="1" x14ac:dyDescent="0.45">
      <c r="A1343" s="259"/>
      <c r="B1343" s="260"/>
      <c r="C1343" s="260"/>
      <c r="D1343" s="260"/>
      <c r="E1343" s="260"/>
      <c r="F1343" s="260"/>
      <c r="G1343" s="260"/>
      <c r="H1343" s="260"/>
      <c r="I1343" s="260"/>
      <c r="J1343" s="260"/>
      <c r="K1343" s="260"/>
      <c r="L1343" s="260"/>
      <c r="M1343" s="260"/>
      <c r="N1343" s="260"/>
      <c r="O1343" s="260"/>
      <c r="P1343" s="260"/>
      <c r="Q1343" s="260"/>
      <c r="R1343" s="260"/>
      <c r="S1343" s="260"/>
      <c r="T1343" s="260"/>
      <c r="U1343" s="260"/>
      <c r="V1343" s="260"/>
      <c r="W1343" s="260"/>
      <c r="X1343" s="260"/>
      <c r="Y1343" s="260"/>
      <c r="Z1343" s="260"/>
      <c r="AA1343" s="260"/>
      <c r="AB1343" s="260"/>
      <c r="AC1343" s="260"/>
      <c r="AD1343" s="260"/>
      <c r="AE1343" s="260"/>
      <c r="AF1343" s="260"/>
      <c r="AG1343" s="260"/>
      <c r="AH1343" s="260"/>
      <c r="AI1343" s="261"/>
    </row>
    <row r="1344" spans="1:35" ht="15" customHeight="1" outlineLevel="1" x14ac:dyDescent="0.45">
      <c r="A1344" s="259"/>
      <c r="B1344" s="260"/>
      <c r="C1344" s="260"/>
      <c r="D1344" s="260"/>
      <c r="E1344" s="260"/>
      <c r="F1344" s="260"/>
      <c r="G1344" s="260"/>
      <c r="H1344" s="260"/>
      <c r="I1344" s="260"/>
      <c r="J1344" s="260"/>
      <c r="K1344" s="260"/>
      <c r="L1344" s="260"/>
      <c r="M1344" s="260"/>
      <c r="N1344" s="260"/>
      <c r="O1344" s="260"/>
      <c r="P1344" s="260"/>
      <c r="Q1344" s="260"/>
      <c r="R1344" s="260"/>
      <c r="S1344" s="260"/>
      <c r="T1344" s="260"/>
      <c r="U1344" s="260"/>
      <c r="V1344" s="260"/>
      <c r="W1344" s="260"/>
      <c r="X1344" s="260"/>
      <c r="Y1344" s="260"/>
      <c r="Z1344" s="260"/>
      <c r="AA1344" s="260"/>
      <c r="AB1344" s="260"/>
      <c r="AC1344" s="260"/>
      <c r="AD1344" s="260"/>
      <c r="AE1344" s="260"/>
      <c r="AF1344" s="260"/>
      <c r="AG1344" s="260"/>
      <c r="AH1344" s="260"/>
      <c r="AI1344" s="261"/>
    </row>
    <row r="1345" spans="1:35" ht="15" customHeight="1" outlineLevel="1" x14ac:dyDescent="0.45">
      <c r="A1345" s="259"/>
      <c r="B1345" s="260"/>
      <c r="C1345" s="260"/>
      <c r="D1345" s="260"/>
      <c r="E1345" s="260"/>
      <c r="F1345" s="260"/>
      <c r="G1345" s="260"/>
      <c r="H1345" s="260"/>
      <c r="I1345" s="260"/>
      <c r="J1345" s="260"/>
      <c r="K1345" s="260"/>
      <c r="L1345" s="260"/>
      <c r="M1345" s="260"/>
      <c r="N1345" s="260"/>
      <c r="O1345" s="260"/>
      <c r="P1345" s="260"/>
      <c r="Q1345" s="260"/>
      <c r="R1345" s="260"/>
      <c r="S1345" s="260"/>
      <c r="T1345" s="260"/>
      <c r="U1345" s="260"/>
      <c r="V1345" s="260"/>
      <c r="W1345" s="260"/>
      <c r="X1345" s="260"/>
      <c r="Y1345" s="260"/>
      <c r="Z1345" s="260"/>
      <c r="AA1345" s="260"/>
      <c r="AB1345" s="260"/>
      <c r="AC1345" s="260"/>
      <c r="AD1345" s="260"/>
      <c r="AE1345" s="260"/>
      <c r="AF1345" s="260"/>
      <c r="AG1345" s="260"/>
      <c r="AH1345" s="260"/>
      <c r="AI1345" s="261"/>
    </row>
    <row r="1346" spans="1:35" ht="15" customHeight="1" outlineLevel="1" x14ac:dyDescent="0.45">
      <c r="A1346" s="259"/>
      <c r="B1346" s="260"/>
      <c r="C1346" s="260"/>
      <c r="D1346" s="260"/>
      <c r="E1346" s="260"/>
      <c r="F1346" s="260"/>
      <c r="G1346" s="260"/>
      <c r="H1346" s="260"/>
      <c r="I1346" s="260"/>
      <c r="J1346" s="260"/>
      <c r="K1346" s="260"/>
      <c r="L1346" s="260"/>
      <c r="M1346" s="260"/>
      <c r="N1346" s="260"/>
      <c r="O1346" s="260"/>
      <c r="P1346" s="260"/>
      <c r="Q1346" s="260"/>
      <c r="R1346" s="260"/>
      <c r="S1346" s="260"/>
      <c r="T1346" s="260"/>
      <c r="U1346" s="260"/>
      <c r="V1346" s="260"/>
      <c r="W1346" s="260"/>
      <c r="X1346" s="260"/>
      <c r="Y1346" s="260"/>
      <c r="Z1346" s="260"/>
      <c r="AA1346" s="260"/>
      <c r="AB1346" s="260"/>
      <c r="AC1346" s="260"/>
      <c r="AD1346" s="260"/>
      <c r="AE1346" s="260"/>
      <c r="AF1346" s="260"/>
      <c r="AG1346" s="260"/>
      <c r="AH1346" s="260"/>
      <c r="AI1346" s="261"/>
    </row>
    <row r="1347" spans="1:35" ht="15" customHeight="1" outlineLevel="1" x14ac:dyDescent="0.45">
      <c r="A1347" s="259"/>
      <c r="B1347" s="260"/>
      <c r="C1347" s="260"/>
      <c r="D1347" s="260"/>
      <c r="E1347" s="260"/>
      <c r="F1347" s="260"/>
      <c r="G1347" s="260"/>
      <c r="H1347" s="260"/>
      <c r="I1347" s="260"/>
      <c r="J1347" s="260"/>
      <c r="K1347" s="260"/>
      <c r="L1347" s="260"/>
      <c r="M1347" s="260"/>
      <c r="N1347" s="260"/>
      <c r="O1347" s="260"/>
      <c r="P1347" s="260"/>
      <c r="Q1347" s="260"/>
      <c r="R1347" s="260"/>
      <c r="S1347" s="260"/>
      <c r="T1347" s="260"/>
      <c r="U1347" s="260"/>
      <c r="V1347" s="260"/>
      <c r="W1347" s="260"/>
      <c r="X1347" s="260"/>
      <c r="Y1347" s="260"/>
      <c r="Z1347" s="260"/>
      <c r="AA1347" s="260"/>
      <c r="AB1347" s="260"/>
      <c r="AC1347" s="260"/>
      <c r="AD1347" s="260"/>
      <c r="AE1347" s="260"/>
      <c r="AF1347" s="260"/>
      <c r="AG1347" s="260"/>
      <c r="AH1347" s="260"/>
      <c r="AI1347" s="261"/>
    </row>
    <row r="1348" spans="1:35" ht="15" customHeight="1" outlineLevel="1" x14ac:dyDescent="0.45">
      <c r="A1348" s="259"/>
      <c r="B1348" s="260"/>
      <c r="C1348" s="260"/>
      <c r="D1348" s="260"/>
      <c r="E1348" s="260"/>
      <c r="F1348" s="260"/>
      <c r="G1348" s="260"/>
      <c r="H1348" s="260"/>
      <c r="I1348" s="260"/>
      <c r="J1348" s="260"/>
      <c r="K1348" s="260"/>
      <c r="L1348" s="260"/>
      <c r="M1348" s="260"/>
      <c r="N1348" s="260"/>
      <c r="O1348" s="260"/>
      <c r="P1348" s="260"/>
      <c r="Q1348" s="260"/>
      <c r="R1348" s="260"/>
      <c r="S1348" s="260"/>
      <c r="T1348" s="260"/>
      <c r="U1348" s="260"/>
      <c r="V1348" s="260"/>
      <c r="W1348" s="260"/>
      <c r="X1348" s="260"/>
      <c r="Y1348" s="260"/>
      <c r="Z1348" s="260"/>
      <c r="AA1348" s="260"/>
      <c r="AB1348" s="260"/>
      <c r="AC1348" s="260"/>
      <c r="AD1348" s="260"/>
      <c r="AE1348" s="260"/>
      <c r="AF1348" s="260"/>
      <c r="AG1348" s="260"/>
      <c r="AH1348" s="260"/>
      <c r="AI1348" s="261"/>
    </row>
    <row r="1349" spans="1:35" ht="15" customHeight="1" outlineLevel="1" x14ac:dyDescent="0.45">
      <c r="A1349" s="259"/>
      <c r="B1349" s="260"/>
      <c r="C1349" s="260"/>
      <c r="D1349" s="260"/>
      <c r="E1349" s="260"/>
      <c r="F1349" s="260"/>
      <c r="G1349" s="260"/>
      <c r="H1349" s="260"/>
      <c r="I1349" s="260"/>
      <c r="J1349" s="260"/>
      <c r="K1349" s="260"/>
      <c r="L1349" s="260"/>
      <c r="M1349" s="260"/>
      <c r="N1349" s="260"/>
      <c r="O1349" s="260"/>
      <c r="P1349" s="260"/>
      <c r="Q1349" s="260"/>
      <c r="R1349" s="260"/>
      <c r="S1349" s="260"/>
      <c r="T1349" s="260"/>
      <c r="U1349" s="260"/>
      <c r="V1349" s="260"/>
      <c r="W1349" s="260"/>
      <c r="X1349" s="260"/>
      <c r="Y1349" s="260"/>
      <c r="Z1349" s="260"/>
      <c r="AA1349" s="260"/>
      <c r="AB1349" s="260"/>
      <c r="AC1349" s="260"/>
      <c r="AD1349" s="260"/>
      <c r="AE1349" s="260"/>
      <c r="AF1349" s="260"/>
      <c r="AG1349" s="260"/>
      <c r="AH1349" s="260"/>
      <c r="AI1349" s="261"/>
    </row>
    <row r="1350" spans="1:35" ht="15" customHeight="1" outlineLevel="1" x14ac:dyDescent="0.45">
      <c r="A1350" s="259"/>
      <c r="B1350" s="260"/>
      <c r="C1350" s="260"/>
      <c r="D1350" s="260"/>
      <c r="E1350" s="260"/>
      <c r="F1350" s="260"/>
      <c r="G1350" s="260"/>
      <c r="H1350" s="260"/>
      <c r="I1350" s="260"/>
      <c r="J1350" s="260"/>
      <c r="K1350" s="260"/>
      <c r="L1350" s="260"/>
      <c r="M1350" s="260"/>
      <c r="N1350" s="260"/>
      <c r="O1350" s="260"/>
      <c r="P1350" s="260"/>
      <c r="Q1350" s="260"/>
      <c r="R1350" s="260"/>
      <c r="S1350" s="260"/>
      <c r="T1350" s="260"/>
      <c r="U1350" s="260"/>
      <c r="V1350" s="260"/>
      <c r="W1350" s="260"/>
      <c r="X1350" s="260"/>
      <c r="Y1350" s="260"/>
      <c r="Z1350" s="260"/>
      <c r="AA1350" s="260"/>
      <c r="AB1350" s="260"/>
      <c r="AC1350" s="260"/>
      <c r="AD1350" s="260"/>
      <c r="AE1350" s="260"/>
      <c r="AF1350" s="260"/>
      <c r="AG1350" s="260"/>
      <c r="AH1350" s="260"/>
      <c r="AI1350" s="261"/>
    </row>
    <row r="1351" spans="1:35" ht="15" customHeight="1" outlineLevel="1" x14ac:dyDescent="0.45">
      <c r="A1351" s="259"/>
      <c r="B1351" s="260"/>
      <c r="C1351" s="260"/>
      <c r="D1351" s="260"/>
      <c r="E1351" s="260"/>
      <c r="F1351" s="260"/>
      <c r="G1351" s="260"/>
      <c r="H1351" s="260"/>
      <c r="I1351" s="260"/>
      <c r="J1351" s="260"/>
      <c r="K1351" s="260"/>
      <c r="L1351" s="260"/>
      <c r="M1351" s="260"/>
      <c r="N1351" s="260"/>
      <c r="O1351" s="260"/>
      <c r="P1351" s="260"/>
      <c r="Q1351" s="260"/>
      <c r="R1351" s="260"/>
      <c r="S1351" s="260"/>
      <c r="T1351" s="260"/>
      <c r="U1351" s="260"/>
      <c r="V1351" s="260"/>
      <c r="W1351" s="260"/>
      <c r="X1351" s="260"/>
      <c r="Y1351" s="260"/>
      <c r="Z1351" s="260"/>
      <c r="AA1351" s="260"/>
      <c r="AB1351" s="260"/>
      <c r="AC1351" s="260"/>
      <c r="AD1351" s="260"/>
      <c r="AE1351" s="260"/>
      <c r="AF1351" s="260"/>
      <c r="AG1351" s="260"/>
      <c r="AH1351" s="260"/>
      <c r="AI1351" s="261"/>
    </row>
    <row r="1352" spans="1:35" ht="15" customHeight="1" outlineLevel="1" x14ac:dyDescent="0.45">
      <c r="A1352" s="262"/>
      <c r="B1352" s="263"/>
      <c r="C1352" s="263"/>
      <c r="D1352" s="263"/>
      <c r="E1352" s="263"/>
      <c r="F1352" s="263"/>
      <c r="G1352" s="263"/>
      <c r="H1352" s="263"/>
      <c r="I1352" s="263"/>
      <c r="J1352" s="263"/>
      <c r="K1352" s="263"/>
      <c r="L1352" s="263"/>
      <c r="M1352" s="263"/>
      <c r="N1352" s="263"/>
      <c r="O1352" s="263"/>
      <c r="P1352" s="263"/>
      <c r="Q1352" s="263"/>
      <c r="R1352" s="263"/>
      <c r="S1352" s="263"/>
      <c r="T1352" s="263"/>
      <c r="U1352" s="263"/>
      <c r="V1352" s="263"/>
      <c r="W1352" s="263"/>
      <c r="X1352" s="263"/>
      <c r="Y1352" s="263"/>
      <c r="Z1352" s="263"/>
      <c r="AA1352" s="263"/>
      <c r="AB1352" s="263"/>
      <c r="AC1352" s="263"/>
      <c r="AD1352" s="263"/>
      <c r="AE1352" s="263"/>
      <c r="AF1352" s="263"/>
      <c r="AG1352" s="263"/>
      <c r="AH1352" s="263"/>
      <c r="AI1352" s="264"/>
    </row>
    <row r="1353" spans="1:35" ht="15" customHeight="1" outlineLevel="1" x14ac:dyDescent="0.45">
      <c r="A1353" s="618"/>
      <c r="B1353" s="618"/>
      <c r="C1353" s="618"/>
      <c r="D1353" s="618"/>
      <c r="E1353" s="618"/>
      <c r="F1353" s="618"/>
      <c r="G1353" s="618"/>
      <c r="H1353" s="618"/>
      <c r="I1353" s="618"/>
      <c r="J1353" s="618"/>
      <c r="K1353" s="618"/>
      <c r="L1353" s="618"/>
      <c r="M1353" s="618"/>
      <c r="N1353" s="618"/>
      <c r="O1353" s="618"/>
      <c r="P1353" s="618"/>
      <c r="Q1353" s="618"/>
      <c r="R1353" s="618"/>
      <c r="S1353" s="618"/>
      <c r="T1353" s="618"/>
      <c r="U1353" s="618"/>
      <c r="V1353" s="618"/>
      <c r="W1353" s="618"/>
      <c r="X1353" s="618"/>
      <c r="Y1353" s="618"/>
      <c r="Z1353" s="618"/>
      <c r="AA1353" s="618"/>
      <c r="AB1353" s="618"/>
      <c r="AC1353" s="619"/>
      <c r="AD1353" s="619"/>
      <c r="AE1353" s="619"/>
      <c r="AF1353" s="619"/>
      <c r="AG1353" s="619"/>
      <c r="AH1353" s="619"/>
      <c r="AI1353" s="619"/>
    </row>
    <row r="1354" spans="1:35" ht="15" customHeight="1" outlineLevel="1" x14ac:dyDescent="0.45">
      <c r="A1354" s="14" t="s">
        <v>549</v>
      </c>
      <c r="B1354" s="14"/>
      <c r="C1354" s="14"/>
      <c r="D1354" s="14"/>
      <c r="E1354" s="14"/>
      <c r="F1354" s="15"/>
      <c r="G1354" s="15"/>
      <c r="H1354" s="15"/>
      <c r="I1354" s="15"/>
      <c r="J1354" s="15"/>
      <c r="K1354" s="15"/>
      <c r="L1354" s="15"/>
      <c r="M1354" s="15"/>
      <c r="N1354" s="15"/>
      <c r="O1354" s="15"/>
      <c r="P1354" s="15"/>
      <c r="Q1354" s="15"/>
      <c r="R1354" s="15"/>
      <c r="S1354" s="15"/>
      <c r="T1354" s="15"/>
      <c r="U1354" s="15"/>
      <c r="V1354" s="15"/>
      <c r="W1354" s="15"/>
      <c r="X1354" s="15"/>
      <c r="Y1354" s="15"/>
      <c r="Z1354" s="15"/>
      <c r="AA1354" s="15"/>
      <c r="AB1354" s="15"/>
      <c r="AC1354" s="15"/>
      <c r="AD1354" s="15"/>
      <c r="AE1354" s="15"/>
      <c r="AF1354" s="15"/>
      <c r="AG1354" s="15"/>
      <c r="AH1354" s="15"/>
      <c r="AI1354" s="15"/>
    </row>
    <row r="1355" spans="1:35" ht="15" customHeight="1" outlineLevel="1" x14ac:dyDescent="0.45"/>
    <row r="1356" spans="1:35" ht="15" customHeight="1" outlineLevel="1" x14ac:dyDescent="0.45"/>
    <row r="1357" spans="1:35" ht="15" customHeight="1" outlineLevel="1" x14ac:dyDescent="0.45"/>
    <row r="1358" spans="1:35" ht="15" customHeight="1" outlineLevel="1" x14ac:dyDescent="0.45"/>
    <row r="1359" spans="1:35" ht="15" customHeight="1" outlineLevel="1" x14ac:dyDescent="0.45"/>
    <row r="1360" spans="1:35" ht="15" customHeight="1" outlineLevel="1" x14ac:dyDescent="0.45"/>
    <row r="1361" ht="15" customHeight="1" outlineLevel="1" x14ac:dyDescent="0.45"/>
    <row r="1362" ht="15" customHeight="1" outlineLevel="1" x14ac:dyDescent="0.45"/>
    <row r="1363" ht="15" customHeight="1" outlineLevel="1" x14ac:dyDescent="0.45"/>
    <row r="1364" ht="15" customHeight="1" outlineLevel="1" x14ac:dyDescent="0.45"/>
    <row r="1365" ht="15" customHeight="1" outlineLevel="1" x14ac:dyDescent="0.45"/>
    <row r="1366" ht="15" customHeight="1" outlineLevel="1" x14ac:dyDescent="0.45"/>
    <row r="1367" ht="15" customHeight="1" outlineLevel="1" x14ac:dyDescent="0.45"/>
    <row r="1368" ht="15" customHeight="1" outlineLevel="1" x14ac:dyDescent="0.45"/>
    <row r="1369" ht="15" customHeight="1" outlineLevel="1" x14ac:dyDescent="0.45"/>
    <row r="1370" ht="15" customHeight="1" outlineLevel="1" x14ac:dyDescent="0.45"/>
    <row r="1371" ht="15" customHeight="1" outlineLevel="1" x14ac:dyDescent="0.45"/>
    <row r="1372" ht="15" customHeight="1" outlineLevel="1" x14ac:dyDescent="0.45"/>
    <row r="1373" ht="15" customHeight="1" outlineLevel="1" x14ac:dyDescent="0.45"/>
    <row r="1374" ht="15" customHeight="1" outlineLevel="1" x14ac:dyDescent="0.45"/>
    <row r="1375" ht="15" customHeight="1" outlineLevel="1" x14ac:dyDescent="0.45"/>
    <row r="1376" ht="15" customHeight="1" outlineLevel="1" x14ac:dyDescent="0.45"/>
    <row r="1377" ht="15" customHeight="1" outlineLevel="1" x14ac:dyDescent="0.45"/>
    <row r="1378" ht="15" customHeight="1" outlineLevel="1" x14ac:dyDescent="0.45"/>
    <row r="1379" ht="15" customHeight="1" outlineLevel="1" x14ac:dyDescent="0.45"/>
    <row r="1380" ht="15" customHeight="1" outlineLevel="1" x14ac:dyDescent="0.45"/>
    <row r="1381" ht="15" customHeight="1" outlineLevel="1" x14ac:dyDescent="0.45"/>
    <row r="1382" ht="15" customHeight="1" outlineLevel="1" x14ac:dyDescent="0.45"/>
    <row r="1383" ht="15" customHeight="1" outlineLevel="1" x14ac:dyDescent="0.45"/>
    <row r="1384" ht="15" customHeight="1" outlineLevel="1" x14ac:dyDescent="0.45"/>
    <row r="1385" ht="15" customHeight="1" outlineLevel="1" x14ac:dyDescent="0.45"/>
    <row r="1386" ht="15" customHeight="1" outlineLevel="1" x14ac:dyDescent="0.45"/>
    <row r="1387" ht="15" customHeight="1" outlineLevel="1" x14ac:dyDescent="0.45"/>
    <row r="1388" ht="15" customHeight="1" outlineLevel="1" x14ac:dyDescent="0.45"/>
    <row r="1389" ht="15" customHeight="1" outlineLevel="1" x14ac:dyDescent="0.45"/>
    <row r="1390" ht="15" customHeight="1" outlineLevel="1" x14ac:dyDescent="0.45"/>
    <row r="1391" ht="15" customHeight="1" outlineLevel="1" x14ac:dyDescent="0.45"/>
    <row r="1392" ht="15" customHeight="1" outlineLevel="1" x14ac:dyDescent="0.45"/>
    <row r="1393" spans="1:35" ht="15" customHeight="1" outlineLevel="1" x14ac:dyDescent="0.45"/>
    <row r="1394" spans="1:35" ht="15" customHeight="1" outlineLevel="1" x14ac:dyDescent="0.45"/>
    <row r="1395" spans="1:35" ht="15" customHeight="1" outlineLevel="1" x14ac:dyDescent="0.45"/>
    <row r="1396" spans="1:35" ht="15" customHeight="1" outlineLevel="1" x14ac:dyDescent="0.45"/>
    <row r="1397" spans="1:35" ht="15" customHeight="1" outlineLevel="1" x14ac:dyDescent="0.45"/>
    <row r="1398" spans="1:35" ht="15" customHeight="1" outlineLevel="1" x14ac:dyDescent="0.45"/>
    <row r="1399" spans="1:35" ht="15" customHeight="1" outlineLevel="1" x14ac:dyDescent="0.45"/>
    <row r="1400" spans="1:35" ht="15" customHeight="1" outlineLevel="1" x14ac:dyDescent="0.45"/>
    <row r="1401" spans="1:35" ht="15" customHeight="1" outlineLevel="1" x14ac:dyDescent="0.45"/>
    <row r="1402" spans="1:35" ht="15" customHeight="1" outlineLevel="1" x14ac:dyDescent="0.45"/>
    <row r="1403" spans="1:35" ht="15" customHeight="1" outlineLevel="1" x14ac:dyDescent="0.45">
      <c r="A1403" s="14" t="s">
        <v>586</v>
      </c>
      <c r="B1403" s="14"/>
      <c r="C1403" s="14"/>
      <c r="D1403" s="14"/>
      <c r="E1403" s="14"/>
      <c r="F1403" s="14"/>
      <c r="G1403" s="15" t="s">
        <v>587</v>
      </c>
      <c r="H1403" s="15"/>
      <c r="I1403" s="15"/>
      <c r="J1403" s="15"/>
      <c r="K1403" s="15"/>
      <c r="L1403" s="15"/>
      <c r="M1403" s="15"/>
      <c r="N1403" s="15"/>
      <c r="O1403" s="15"/>
      <c r="P1403" s="15"/>
      <c r="Q1403" s="15"/>
      <c r="R1403" s="15"/>
      <c r="S1403" s="15"/>
      <c r="T1403" s="15"/>
      <c r="U1403" s="15"/>
      <c r="V1403" s="15"/>
      <c r="W1403" s="15"/>
      <c r="X1403" s="15"/>
      <c r="Y1403" s="15"/>
      <c r="Z1403" s="15"/>
      <c r="AA1403" s="15"/>
      <c r="AB1403" s="620" t="s">
        <v>588</v>
      </c>
      <c r="AC1403" s="620"/>
      <c r="AD1403" s="620"/>
      <c r="AE1403" s="620"/>
      <c r="AF1403" s="620"/>
      <c r="AG1403" s="620"/>
      <c r="AH1403" s="620"/>
      <c r="AI1403" s="620"/>
    </row>
    <row r="1404" spans="1:35" ht="15" customHeight="1" outlineLevel="1" x14ac:dyDescent="0.45"/>
    <row r="1405" spans="1:35" ht="15" customHeight="1" outlineLevel="1" thickBot="1" x14ac:dyDescent="0.5">
      <c r="A1405" s="78" t="s">
        <v>98</v>
      </c>
      <c r="B1405" s="79"/>
      <c r="C1405" s="80"/>
      <c r="D1405" s="78" t="s">
        <v>99</v>
      </c>
      <c r="E1405" s="79"/>
      <c r="F1405" s="79"/>
      <c r="G1405" s="79"/>
      <c r="H1405" s="79"/>
      <c r="I1405" s="79"/>
      <c r="J1405" s="79"/>
      <c r="K1405" s="79"/>
      <c r="L1405" s="79"/>
      <c r="M1405" s="79"/>
      <c r="N1405" s="79"/>
      <c r="O1405" s="79"/>
      <c r="P1405" s="79"/>
      <c r="Q1405" s="79"/>
      <c r="R1405" s="79"/>
      <c r="S1405" s="79"/>
      <c r="T1405" s="79"/>
      <c r="U1405" s="79"/>
      <c r="V1405" s="79"/>
      <c r="W1405" s="79"/>
      <c r="X1405" s="79"/>
      <c r="Y1405" s="79"/>
      <c r="Z1405" s="79"/>
      <c r="AA1405" s="79"/>
      <c r="AB1405" s="79"/>
      <c r="AC1405" s="80"/>
      <c r="AD1405" s="78" t="s">
        <v>100</v>
      </c>
      <c r="AE1405" s="79"/>
      <c r="AF1405" s="79"/>
      <c r="AG1405" s="79"/>
      <c r="AH1405" s="79"/>
      <c r="AI1405" s="80"/>
    </row>
    <row r="1406" spans="1:35" ht="15" customHeight="1" outlineLevel="1" thickTop="1" x14ac:dyDescent="0.45">
      <c r="A1406" s="37"/>
      <c r="B1406" s="38"/>
      <c r="C1406" s="621"/>
      <c r="D1406" s="622" t="s">
        <v>589</v>
      </c>
      <c r="E1406" s="623"/>
      <c r="F1406" s="623"/>
      <c r="G1406" s="623"/>
      <c r="H1406" s="623"/>
      <c r="I1406" s="623"/>
      <c r="J1406" s="623"/>
      <c r="K1406" s="623"/>
      <c r="L1406" s="623"/>
      <c r="M1406" s="623"/>
      <c r="N1406" s="623"/>
      <c r="O1406" s="623"/>
      <c r="P1406" s="623"/>
      <c r="Q1406" s="623"/>
      <c r="R1406" s="623"/>
      <c r="S1406" s="623"/>
      <c r="T1406" s="623"/>
      <c r="U1406" s="623"/>
      <c r="V1406" s="623"/>
      <c r="W1406" s="623"/>
      <c r="X1406" s="623"/>
      <c r="Y1406" s="623"/>
      <c r="Z1406" s="623"/>
      <c r="AA1406" s="623"/>
      <c r="AB1406" s="623"/>
      <c r="AC1406" s="624"/>
      <c r="AD1406" s="494"/>
      <c r="AE1406" s="233"/>
      <c r="AF1406" s="233"/>
      <c r="AG1406" s="233"/>
      <c r="AH1406" s="233"/>
      <c r="AI1406" s="625"/>
    </row>
    <row r="1407" spans="1:35" ht="15" customHeight="1" outlineLevel="1" x14ac:dyDescent="0.45">
      <c r="A1407" s="31" t="s">
        <v>162</v>
      </c>
      <c r="B1407" s="32"/>
      <c r="C1407" s="381"/>
      <c r="D1407" s="86" t="s">
        <v>590</v>
      </c>
      <c r="E1407" s="87"/>
      <c r="F1407" s="87"/>
      <c r="G1407" s="87"/>
      <c r="H1407" s="87"/>
      <c r="I1407" s="87"/>
      <c r="J1407" s="87"/>
      <c r="K1407" s="87"/>
      <c r="L1407" s="87"/>
      <c r="M1407" s="87"/>
      <c r="N1407" s="18"/>
      <c r="O1407" s="18"/>
      <c r="P1407" s="18"/>
      <c r="Q1407" s="18"/>
      <c r="R1407" s="18"/>
      <c r="S1407" s="18"/>
      <c r="T1407" s="18"/>
      <c r="U1407" s="18"/>
      <c r="V1407" s="18"/>
      <c r="W1407" s="18"/>
      <c r="X1407" s="18"/>
      <c r="Y1407" s="18"/>
      <c r="Z1407" s="18"/>
      <c r="AA1407" s="18"/>
      <c r="AB1407" s="18"/>
      <c r="AC1407" s="19"/>
      <c r="AD1407" s="147" t="s">
        <v>591</v>
      </c>
      <c r="AE1407" s="148"/>
      <c r="AF1407" s="148"/>
      <c r="AG1407" s="148"/>
      <c r="AH1407" s="148"/>
      <c r="AI1407" s="201"/>
    </row>
    <row r="1408" spans="1:35" ht="15" customHeight="1" outlineLevel="1" x14ac:dyDescent="0.45">
      <c r="A1408" s="20"/>
      <c r="B1408" s="21"/>
      <c r="C1408" s="331"/>
      <c r="D1408" s="96" t="s">
        <v>592</v>
      </c>
      <c r="E1408" s="97"/>
      <c r="F1408" s="97"/>
      <c r="G1408" s="97"/>
      <c r="H1408" s="97"/>
      <c r="I1408" s="97"/>
      <c r="J1408" s="97"/>
      <c r="K1408" s="97"/>
      <c r="L1408" s="97"/>
      <c r="AC1408" s="25"/>
      <c r="AD1408" s="152"/>
      <c r="AE1408" s="153"/>
      <c r="AF1408" s="153"/>
      <c r="AG1408" s="153"/>
      <c r="AH1408" s="153"/>
      <c r="AI1408" s="275"/>
    </row>
    <row r="1409" spans="1:35" ht="15" customHeight="1" outlineLevel="1" x14ac:dyDescent="0.45">
      <c r="A1409" s="20"/>
      <c r="B1409" s="21"/>
      <c r="C1409" s="331"/>
      <c r="D1409" s="24"/>
      <c r="E1409" s="97" t="s">
        <v>593</v>
      </c>
      <c r="F1409" s="97"/>
      <c r="G1409" s="97"/>
      <c r="H1409" s="626" t="s">
        <v>90</v>
      </c>
      <c r="I1409" s="7" t="s">
        <v>594</v>
      </c>
      <c r="AC1409" s="25"/>
      <c r="AD1409" s="152"/>
      <c r="AE1409" s="153"/>
      <c r="AF1409" s="153"/>
      <c r="AG1409" s="153"/>
      <c r="AH1409" s="153"/>
      <c r="AI1409" s="275"/>
    </row>
    <row r="1410" spans="1:35" ht="15" customHeight="1" outlineLevel="1" x14ac:dyDescent="0.45">
      <c r="A1410" s="20"/>
      <c r="B1410" s="21"/>
      <c r="C1410" s="331"/>
      <c r="D1410" s="24"/>
      <c r="E1410" s="97" t="s">
        <v>593</v>
      </c>
      <c r="F1410" s="97"/>
      <c r="G1410" s="97"/>
      <c r="H1410" s="626" t="s">
        <v>90</v>
      </c>
      <c r="I1410" s="7" t="s">
        <v>595</v>
      </c>
      <c r="AC1410" s="25"/>
      <c r="AD1410" s="152"/>
      <c r="AE1410" s="153"/>
      <c r="AF1410" s="153"/>
      <c r="AG1410" s="153"/>
      <c r="AH1410" s="153"/>
      <c r="AI1410" s="275"/>
    </row>
    <row r="1411" spans="1:35" ht="15" customHeight="1" outlineLevel="1" x14ac:dyDescent="0.45">
      <c r="A1411" s="20"/>
      <c r="B1411" s="21"/>
      <c r="C1411" s="331"/>
      <c r="D1411" s="24"/>
      <c r="E1411" s="97" t="s">
        <v>593</v>
      </c>
      <c r="F1411" s="97"/>
      <c r="G1411" s="97"/>
      <c r="H1411" s="626" t="s">
        <v>90</v>
      </c>
      <c r="I1411" s="210" t="str">
        <f>IF(OR(ISBLANK(Design_Road_Design_Vehicle_Type),Design_Lookup_Design_Vehicle_Length="No Value",Sightlines_Lookup_SSD_Minimum_N_or_E_Approach="No Value",Sightlines_Lookup_SSD_Minimum_S_or_W_Approach="No Value",ISBLANK(General_Info_Road_Speed_Design)),"No Value",IF(Design_Road_Design_Vehicle_Type="Pedestrian Only","N/A",ROUNDUP(SUM(MAX(Sightlines_Lookup_SSD_Minimum_N_or_E_Approach,Sightlines_Lookup_SSD_Minimum_S_or_W_Approach),2,Design_Lookup_Design_Vehicle_Length)/(0.278*General_Info_Road_Speed_Design),0)))</f>
        <v>No Value</v>
      </c>
      <c r="J1411" s="210"/>
      <c r="K1411" s="210"/>
      <c r="L1411" s="210"/>
      <c r="M1411" s="6" t="s">
        <v>166</v>
      </c>
      <c r="AC1411" s="25"/>
      <c r="AD1411" s="152"/>
      <c r="AE1411" s="153"/>
      <c r="AF1411" s="153"/>
      <c r="AG1411" s="153"/>
      <c r="AH1411" s="153"/>
      <c r="AI1411" s="275"/>
    </row>
    <row r="1412" spans="1:35" ht="15" customHeight="1" outlineLevel="1" x14ac:dyDescent="0.45">
      <c r="A1412" s="20"/>
      <c r="B1412" s="21"/>
      <c r="C1412" s="331"/>
      <c r="D1412" s="24"/>
      <c r="E1412" s="97" t="s">
        <v>596</v>
      </c>
      <c r="F1412" s="97"/>
      <c r="G1412" s="97"/>
      <c r="H1412" s="626" t="s">
        <v>90</v>
      </c>
      <c r="I1412" s="7" t="s">
        <v>597</v>
      </c>
      <c r="AC1412" s="25"/>
      <c r="AD1412" s="152"/>
      <c r="AE1412" s="153"/>
      <c r="AF1412" s="153"/>
      <c r="AG1412" s="153"/>
      <c r="AH1412" s="153"/>
      <c r="AI1412" s="275"/>
    </row>
    <row r="1413" spans="1:35" ht="15" customHeight="1" outlineLevel="1" x14ac:dyDescent="0.45">
      <c r="A1413" s="20"/>
      <c r="B1413" s="21"/>
      <c r="C1413" s="331"/>
      <c r="D1413" s="24"/>
      <c r="E1413" s="97" t="s">
        <v>596</v>
      </c>
      <c r="F1413" s="97"/>
      <c r="G1413" s="97"/>
      <c r="H1413" s="626" t="s">
        <v>90</v>
      </c>
      <c r="I1413" s="7" t="s">
        <v>598</v>
      </c>
      <c r="N1413" s="1" t="s">
        <v>599</v>
      </c>
      <c r="O1413" s="626" t="s">
        <v>90</v>
      </c>
      <c r="P1413" s="230" t="str">
        <f>IF(OR(ISBLANK(Design_Lookup_Design_Vehicle_Class),Design_Lookup_Design_Vehicle_Length="No Value"),"No Value",IF(AND(Design_Lookup_Design_Vehicle_Class="Cars",NOT(Design_Lookup_Design_Vehicle_Length="No Value")),ROUND(MAX(4,-1.83359063314625E-07*SUM(Design_Lookup_Design_Vehicle_Length,2)^4 + 0.000030862217902978*SUM(Design_Lookup_Design_Vehicle_Length,2)^3 - 0.00243559236227073*SUM(Design_Lookup_Design_Vehicle_Length,2)^2 + 0.194096256511465*SUM(Design_Lookup_Design_Vehicle_Length,2) + 1.9653478726958),4),IF(AND(Design_Lookup_Design_Vehicle_Class="Single-Unit Trucks",NOT(Design_Lookup_Design_Vehicle_Length="No Value")),ROUND(MAX(6,2.95895110935529E-06*SUM(Design_Lookup_Design_Vehicle_Length,2)^3 - 0.00120538991988588*SUM(Design_Lookup_Design_Vehicle_Length,2)^2 + 0.23080739982193*SUM(Design_Lookup_Design_Vehicle_Length,2) + 3.11489082547138),4),IF(AND(OR(Design_Lookup_Design_Vehicle_Class="Tractor Trailers",Design_Lookup_Design_Vehicle_Class="Combination Vehicles",Design_Lookup_Design_Vehicle_Class="Buses"),NOT(Design_Lookup_Design_Vehicle_Length="No Value")),ROUND(MAX(7,2.43585710133203E-07*SUM(Design_Lookup_Design_Vehicle_Length,2)^4 - 0.0000473118786681759*SUM(Design_Lookup_Design_Vehicle_Length,2)^3 + 0.00169819852156627*SUM(Design_Lookup_Design_Vehicle_Length,2)^2 + 0.211550565362998*SUM(Design_Lookup_Design_Vehicle_Length,2) + 3.96662867415871),4),IF(AND(Design_Lookup_Design_Vehicle_Class="Pedestrian",NOT(Design_Lookup_Design_Vehicle_Length="No Value")),ROUND(Design_Measure_Clearance_Distance_Pedestrian/1.22,4),0)))))</f>
        <v>No Value</v>
      </c>
      <c r="Q1413" s="162"/>
      <c r="R1413" s="162"/>
      <c r="S1413" s="162"/>
      <c r="T1413" s="6" t="s">
        <v>166</v>
      </c>
      <c r="AC1413" s="25"/>
      <c r="AD1413" s="152"/>
      <c r="AE1413" s="153"/>
      <c r="AF1413" s="153"/>
      <c r="AG1413" s="153"/>
      <c r="AH1413" s="153"/>
      <c r="AI1413" s="275"/>
    </row>
    <row r="1414" spans="1:35" ht="15" customHeight="1" outlineLevel="1" x14ac:dyDescent="0.45">
      <c r="A1414" s="20"/>
      <c r="B1414" s="21"/>
      <c r="C1414" s="331"/>
      <c r="D1414" s="24"/>
      <c r="E1414" s="97" t="s">
        <v>596</v>
      </c>
      <c r="F1414" s="97"/>
      <c r="G1414" s="97"/>
      <c r="H1414" s="626" t="s">
        <v>90</v>
      </c>
      <c r="I1414" s="162" t="str">
        <f>IF(OR(ISBLANK(Design_Lookup_Vehicle_Departure_Time_Gate_Arm_Clearance),Design_Lookup_Grade_Adjustment_Factor="No Value"),"No Value",ROUNDUP(SUM(Design_Input_Reaction_Time,Design_Lookup_Vehicle_Departure_Time_Gate_Arm_Clearance*Design_Lookup_Grade_Adjustment_Factor),0))</f>
        <v>No Value</v>
      </c>
      <c r="J1414" s="162"/>
      <c r="K1414" s="162"/>
      <c r="L1414" s="162"/>
      <c r="M1414" s="6" t="s">
        <v>166</v>
      </c>
      <c r="AC1414" s="25"/>
      <c r="AD1414" s="152"/>
      <c r="AE1414" s="153"/>
      <c r="AF1414" s="153"/>
      <c r="AG1414" s="153"/>
      <c r="AH1414" s="153"/>
      <c r="AI1414" s="275"/>
    </row>
    <row r="1415" spans="1:35" ht="15" customHeight="1" outlineLevel="1" x14ac:dyDescent="0.45">
      <c r="A1415" s="46"/>
      <c r="B1415" s="47"/>
      <c r="C1415" s="384"/>
      <c r="D1415" s="302" t="s">
        <v>600</v>
      </c>
      <c r="E1415" s="626" t="s">
        <v>90</v>
      </c>
      <c r="F1415" s="627" t="str">
        <f>IF(OR(Design_Calculate_Clearance_Time_Gate_Arm_SSD="No Value",Design_Calculate_Clearance_Time_Gate_Arm_Stop="No Value"),"No Value",MAX(Design_Calculate_Clearance_Time_Gate_Arm_SSD,Design_Calculate_Clearance_Time_Gate_Arm_Stop))</f>
        <v>No Value</v>
      </c>
      <c r="G1415" s="627"/>
      <c r="H1415" s="627"/>
      <c r="I1415" s="627"/>
      <c r="J1415" s="6" t="s">
        <v>166</v>
      </c>
      <c r="AC1415" s="25"/>
      <c r="AD1415" s="154"/>
      <c r="AE1415" s="155"/>
      <c r="AF1415" s="155"/>
      <c r="AG1415" s="155"/>
      <c r="AH1415" s="155"/>
      <c r="AI1415" s="194"/>
    </row>
    <row r="1416" spans="1:35" ht="15" customHeight="1" outlineLevel="1" x14ac:dyDescent="0.45">
      <c r="A1416" s="31" t="s">
        <v>162</v>
      </c>
      <c r="B1416" s="32"/>
      <c r="C1416" s="381"/>
      <c r="D1416" s="283" t="s">
        <v>601</v>
      </c>
      <c r="E1416" s="284"/>
      <c r="F1416" s="284"/>
      <c r="G1416" s="284"/>
      <c r="H1416" s="284"/>
      <c r="I1416" s="284"/>
      <c r="J1416" s="284"/>
      <c r="K1416" s="284"/>
      <c r="L1416" s="284"/>
      <c r="M1416" s="284"/>
      <c r="N1416" s="284"/>
      <c r="O1416" s="284"/>
      <c r="P1416" s="284"/>
      <c r="Q1416" s="284"/>
      <c r="R1416" s="284"/>
      <c r="S1416" s="284"/>
      <c r="T1416" s="284"/>
      <c r="U1416" s="284"/>
      <c r="V1416" s="284"/>
      <c r="W1416" s="284"/>
      <c r="X1416" s="284"/>
      <c r="Y1416" s="284"/>
      <c r="Z1416" s="18"/>
      <c r="AA1416" s="364" t="str">
        <f>Design_Calculate_Adjacent_Track_Clearance_Time</f>
        <v>No Value</v>
      </c>
      <c r="AB1416" s="364"/>
      <c r="AC1416" s="365"/>
      <c r="AD1416" s="147" t="s">
        <v>602</v>
      </c>
      <c r="AE1416" s="148"/>
      <c r="AF1416" s="148"/>
      <c r="AG1416" s="148"/>
      <c r="AH1416" s="148"/>
      <c r="AI1416" s="201"/>
    </row>
    <row r="1417" spans="1:35" ht="15" customHeight="1" outlineLevel="1" x14ac:dyDescent="0.45">
      <c r="A1417" s="46"/>
      <c r="B1417" s="47"/>
      <c r="C1417" s="384"/>
      <c r="D1417" s="285"/>
      <c r="E1417" s="286"/>
      <c r="F1417" s="286"/>
      <c r="G1417" s="286"/>
      <c r="H1417" s="286"/>
      <c r="I1417" s="286"/>
      <c r="J1417" s="286"/>
      <c r="K1417" s="286"/>
      <c r="L1417" s="286"/>
      <c r="M1417" s="286"/>
      <c r="N1417" s="286"/>
      <c r="O1417" s="286"/>
      <c r="P1417" s="286"/>
      <c r="Q1417" s="286"/>
      <c r="R1417" s="286"/>
      <c r="S1417" s="286"/>
      <c r="T1417" s="286"/>
      <c r="U1417" s="286"/>
      <c r="V1417" s="286"/>
      <c r="W1417" s="286"/>
      <c r="X1417" s="286"/>
      <c r="Y1417" s="286"/>
      <c r="Z1417" s="110"/>
      <c r="AA1417" s="112"/>
      <c r="AB1417" s="112"/>
      <c r="AC1417" s="375"/>
      <c r="AD1417" s="154"/>
      <c r="AE1417" s="155"/>
      <c r="AF1417" s="155"/>
      <c r="AG1417" s="155"/>
      <c r="AH1417" s="155"/>
      <c r="AI1417" s="194"/>
    </row>
    <row r="1418" spans="1:35" ht="15" customHeight="1" outlineLevel="1" x14ac:dyDescent="0.45">
      <c r="A1418" s="168" t="s">
        <v>603</v>
      </c>
      <c r="B1418" s="169"/>
      <c r="C1418" s="170"/>
      <c r="D1418" s="116" t="s">
        <v>604</v>
      </c>
      <c r="E1418" s="117"/>
      <c r="F1418" s="117"/>
      <c r="G1418" s="117"/>
      <c r="H1418" s="117"/>
      <c r="I1418" s="117"/>
      <c r="J1418" s="117"/>
      <c r="K1418" s="117"/>
      <c r="L1418" s="117"/>
      <c r="M1418" s="117"/>
      <c r="N1418" s="117"/>
      <c r="O1418" s="117"/>
      <c r="P1418" s="117"/>
      <c r="Q1418" s="117"/>
      <c r="R1418" s="117"/>
      <c r="S1418" s="117"/>
      <c r="T1418" s="117"/>
      <c r="U1418" s="117"/>
      <c r="V1418" s="117"/>
      <c r="W1418" s="117"/>
      <c r="X1418" s="117"/>
      <c r="Y1418" s="117"/>
      <c r="Z1418" s="515"/>
      <c r="AA1418" s="200"/>
      <c r="AB1418" s="124" t="s">
        <v>166</v>
      </c>
      <c r="AC1418" s="119"/>
      <c r="AD1418" s="214" t="s">
        <v>605</v>
      </c>
      <c r="AE1418" s="215"/>
      <c r="AF1418" s="215"/>
      <c r="AG1418" s="215"/>
      <c r="AH1418" s="215"/>
      <c r="AI1418" s="216"/>
    </row>
    <row r="1419" spans="1:35" ht="15" customHeight="1" outlineLevel="1" x14ac:dyDescent="0.45">
      <c r="A1419" s="168" t="s">
        <v>603</v>
      </c>
      <c r="B1419" s="169"/>
      <c r="C1419" s="170"/>
      <c r="D1419" s="116" t="s">
        <v>606</v>
      </c>
      <c r="E1419" s="117"/>
      <c r="F1419" s="117"/>
      <c r="G1419" s="117"/>
      <c r="H1419" s="117"/>
      <c r="I1419" s="117"/>
      <c r="J1419" s="117"/>
      <c r="K1419" s="117"/>
      <c r="L1419" s="117"/>
      <c r="M1419" s="117"/>
      <c r="N1419" s="117"/>
      <c r="O1419" s="117"/>
      <c r="P1419" s="117"/>
      <c r="Q1419" s="117"/>
      <c r="R1419" s="117"/>
      <c r="S1419" s="117"/>
      <c r="T1419" s="117"/>
      <c r="U1419" s="117"/>
      <c r="V1419" s="117"/>
      <c r="W1419" s="117"/>
      <c r="X1419" s="117"/>
      <c r="Y1419" s="117"/>
      <c r="Z1419" s="515"/>
      <c r="AA1419" s="200"/>
      <c r="AB1419" s="124" t="s">
        <v>166</v>
      </c>
      <c r="AC1419" s="119"/>
      <c r="AD1419" s="628"/>
      <c r="AE1419" s="629"/>
      <c r="AF1419" s="629"/>
      <c r="AG1419" s="629"/>
      <c r="AH1419" s="629"/>
      <c r="AI1419" s="630"/>
    </row>
    <row r="1420" spans="1:35" ht="15" customHeight="1" outlineLevel="1" x14ac:dyDescent="0.45">
      <c r="A1420" s="164" t="s">
        <v>603</v>
      </c>
      <c r="B1420" s="165"/>
      <c r="C1420" s="166"/>
      <c r="D1420" s="116" t="s">
        <v>607</v>
      </c>
      <c r="E1420" s="117"/>
      <c r="F1420" s="117"/>
      <c r="G1420" s="117"/>
      <c r="H1420" s="117"/>
      <c r="I1420" s="117"/>
      <c r="J1420" s="117"/>
      <c r="K1420" s="117"/>
      <c r="L1420" s="117"/>
      <c r="M1420" s="117"/>
      <c r="N1420" s="117"/>
      <c r="O1420" s="117"/>
      <c r="P1420" s="117"/>
      <c r="Q1420" s="117"/>
      <c r="R1420" s="117"/>
      <c r="S1420" s="117"/>
      <c r="T1420" s="117"/>
      <c r="U1420" s="117"/>
      <c r="V1420" s="117"/>
      <c r="W1420" s="117"/>
      <c r="X1420" s="117"/>
      <c r="Y1420" s="117"/>
      <c r="Z1420" s="515"/>
      <c r="AA1420" s="200"/>
      <c r="AB1420" s="124" t="s">
        <v>166</v>
      </c>
      <c r="AC1420" s="119"/>
      <c r="AD1420" s="628"/>
      <c r="AE1420" s="629"/>
      <c r="AF1420" s="629"/>
      <c r="AG1420" s="629"/>
      <c r="AH1420" s="629"/>
      <c r="AI1420" s="630"/>
    </row>
    <row r="1421" spans="1:35" ht="15" customHeight="1" outlineLevel="1" x14ac:dyDescent="0.45">
      <c r="A1421" s="220"/>
      <c r="B1421" s="221"/>
      <c r="C1421" s="221"/>
      <c r="D1421" s="631" t="s">
        <v>608</v>
      </c>
      <c r="E1421" s="632"/>
      <c r="F1421" s="632"/>
      <c r="G1421" s="632"/>
      <c r="H1421" s="632"/>
      <c r="I1421" s="632"/>
      <c r="J1421" s="632"/>
      <c r="K1421" s="632"/>
      <c r="L1421" s="632"/>
      <c r="M1421" s="632"/>
      <c r="N1421" s="632"/>
      <c r="O1421" s="632"/>
      <c r="P1421" s="632"/>
      <c r="Q1421" s="632"/>
      <c r="R1421" s="632"/>
      <c r="S1421" s="632"/>
      <c r="T1421" s="632"/>
      <c r="U1421" s="632"/>
      <c r="V1421" s="632"/>
      <c r="W1421" s="632"/>
      <c r="X1421" s="632"/>
      <c r="Y1421" s="632"/>
      <c r="Z1421" s="632"/>
      <c r="AA1421" s="632"/>
      <c r="AB1421" s="632"/>
      <c r="AC1421" s="633"/>
      <c r="AD1421" s="634"/>
      <c r="AE1421" s="634"/>
      <c r="AF1421" s="634"/>
      <c r="AG1421" s="634"/>
      <c r="AH1421" s="634"/>
      <c r="AI1421" s="635"/>
    </row>
    <row r="1422" spans="1:35" ht="15" customHeight="1" outlineLevel="1" x14ac:dyDescent="0.45">
      <c r="A1422" s="159" t="s">
        <v>180</v>
      </c>
      <c r="B1422" s="160"/>
      <c r="C1422" s="161"/>
      <c r="D1422" s="279" t="s">
        <v>609</v>
      </c>
      <c r="E1422" s="111"/>
      <c r="F1422" s="111"/>
      <c r="G1422" s="111"/>
      <c r="H1422" s="111"/>
      <c r="I1422" s="111"/>
      <c r="J1422" s="111"/>
      <c r="K1422" s="111"/>
      <c r="L1422" s="111"/>
      <c r="Q1422" s="48"/>
      <c r="R1422" s="48"/>
      <c r="S1422" s="48"/>
      <c r="T1422" s="48"/>
      <c r="U1422" s="48"/>
      <c r="AC1422" s="25"/>
      <c r="AD1422" s="154" t="s">
        <v>559</v>
      </c>
      <c r="AE1422" s="155"/>
      <c r="AF1422" s="155"/>
      <c r="AG1422" s="155"/>
      <c r="AH1422" s="155"/>
      <c r="AI1422" s="194"/>
    </row>
    <row r="1423" spans="1:35" ht="15" customHeight="1" outlineLevel="1" x14ac:dyDescent="0.45">
      <c r="A1423" s="164" t="s">
        <v>159</v>
      </c>
      <c r="B1423" s="165"/>
      <c r="C1423" s="166"/>
      <c r="D1423" s="86" t="s">
        <v>610</v>
      </c>
      <c r="E1423" s="87"/>
      <c r="F1423" s="87"/>
      <c r="G1423" s="87"/>
      <c r="H1423" s="87"/>
      <c r="I1423" s="87"/>
      <c r="J1423" s="87"/>
      <c r="K1423" s="87"/>
      <c r="L1423" s="87"/>
      <c r="M1423" s="87"/>
      <c r="N1423" s="87"/>
      <c r="O1423" s="87"/>
      <c r="P1423" s="87"/>
      <c r="Q1423" s="87"/>
      <c r="R1423" s="87"/>
      <c r="S1423" s="87"/>
      <c r="T1423" s="87"/>
      <c r="U1423" s="87"/>
      <c r="V1423" s="87"/>
      <c r="W1423" s="87"/>
      <c r="X1423" s="87"/>
      <c r="Y1423" s="87"/>
      <c r="Z1423" s="87"/>
      <c r="AA1423" s="87"/>
      <c r="AB1423" s="87"/>
      <c r="AC1423" s="268"/>
      <c r="AD1423" s="147" t="s">
        <v>611</v>
      </c>
      <c r="AE1423" s="148"/>
      <c r="AF1423" s="148"/>
      <c r="AG1423" s="148"/>
      <c r="AH1423" s="148"/>
      <c r="AI1423" s="201"/>
    </row>
    <row r="1424" spans="1:35" ht="15" customHeight="1" outlineLevel="1" x14ac:dyDescent="0.45">
      <c r="A1424" s="159"/>
      <c r="B1424" s="160"/>
      <c r="C1424" s="161"/>
      <c r="D1424" s="279" t="str">
        <f>V$1 &amp; " Road Approach"</f>
        <v>N Road Approach</v>
      </c>
      <c r="E1424" s="111"/>
      <c r="F1424" s="111"/>
      <c r="G1424" s="111"/>
      <c r="H1424" s="111"/>
      <c r="I1424" s="48"/>
      <c r="J1424" s="48"/>
      <c r="K1424" s="48"/>
      <c r="L1424" s="48"/>
      <c r="M1424" s="48"/>
      <c r="N1424" s="142"/>
      <c r="P1424" s="111" t="str">
        <f>Z$1 &amp; " Road Approach"</f>
        <v>S Road Approach</v>
      </c>
      <c r="Q1424" s="111"/>
      <c r="R1424" s="111"/>
      <c r="S1424" s="111"/>
      <c r="T1424" s="111"/>
      <c r="U1424" s="48"/>
      <c r="V1424" s="48"/>
      <c r="W1424" s="48"/>
      <c r="X1424" s="48"/>
      <c r="Y1424" s="48"/>
      <c r="Z1424" s="110"/>
      <c r="AA1424" s="110"/>
      <c r="AB1424" s="110"/>
      <c r="AC1424" s="113"/>
      <c r="AD1424" s="154"/>
      <c r="AE1424" s="155"/>
      <c r="AF1424" s="155"/>
      <c r="AG1424" s="155"/>
      <c r="AH1424" s="155"/>
      <c r="AI1424" s="194"/>
    </row>
    <row r="1425" spans="1:62" ht="15" customHeight="1" outlineLevel="1" x14ac:dyDescent="0.45">
      <c r="A1425" s="164" t="s">
        <v>159</v>
      </c>
      <c r="B1425" s="165"/>
      <c r="C1425" s="166"/>
      <c r="D1425" s="86" t="s">
        <v>612</v>
      </c>
      <c r="E1425" s="87"/>
      <c r="F1425" s="87"/>
      <c r="G1425" s="87"/>
      <c r="H1425" s="87"/>
      <c r="I1425" s="87"/>
      <c r="J1425" s="87"/>
      <c r="K1425" s="87"/>
      <c r="L1425" s="87"/>
      <c r="M1425" s="87"/>
      <c r="N1425" s="87"/>
      <c r="O1425" s="87"/>
      <c r="P1425" s="87"/>
      <c r="Q1425" s="87"/>
      <c r="R1425" s="87"/>
      <c r="S1425" s="87"/>
      <c r="T1425" s="87"/>
      <c r="U1425" s="87"/>
      <c r="V1425" s="87"/>
      <c r="W1425" s="18"/>
      <c r="X1425" s="18"/>
      <c r="Y1425" s="18"/>
      <c r="Z1425" s="18"/>
      <c r="AA1425" s="18"/>
      <c r="AB1425" s="18"/>
      <c r="AC1425" s="19"/>
      <c r="AD1425" s="147" t="s">
        <v>613</v>
      </c>
      <c r="AE1425" s="148"/>
      <c r="AF1425" s="148"/>
      <c r="AG1425" s="148"/>
      <c r="AH1425" s="148"/>
      <c r="AI1425" s="201"/>
    </row>
    <row r="1426" spans="1:62" ht="15" customHeight="1" outlineLevel="1" x14ac:dyDescent="0.45">
      <c r="A1426" s="159"/>
      <c r="B1426" s="160"/>
      <c r="C1426" s="161"/>
      <c r="D1426" s="24"/>
      <c r="E1426" s="111" t="str">
        <f>V$1 &amp; " Road Approach"</f>
        <v>N Road Approach</v>
      </c>
      <c r="F1426" s="111"/>
      <c r="G1426" s="111"/>
      <c r="H1426" s="111"/>
      <c r="I1426" s="111"/>
      <c r="J1426" s="48"/>
      <c r="K1426" s="48"/>
      <c r="L1426" s="48"/>
      <c r="M1426" s="6" t="s">
        <v>157</v>
      </c>
      <c r="O1426" s="6"/>
      <c r="Q1426" s="111" t="str">
        <f>Z$1 &amp; " Road Approach"</f>
        <v>S Road Approach</v>
      </c>
      <c r="R1426" s="111"/>
      <c r="S1426" s="111"/>
      <c r="T1426" s="111"/>
      <c r="U1426" s="111"/>
      <c r="V1426" s="48"/>
      <c r="W1426" s="48"/>
      <c r="X1426" s="48"/>
      <c r="Y1426" s="6" t="s">
        <v>157</v>
      </c>
      <c r="Z1426" s="6"/>
      <c r="AC1426" s="25"/>
      <c r="AD1426" s="154"/>
      <c r="AE1426" s="155"/>
      <c r="AF1426" s="155"/>
      <c r="AG1426" s="155"/>
      <c r="AH1426" s="155"/>
      <c r="AI1426" s="194"/>
    </row>
    <row r="1427" spans="1:62" s="649" customFormat="1" ht="15" customHeight="1" outlineLevel="1" x14ac:dyDescent="0.45">
      <c r="A1427" s="636" t="s">
        <v>159</v>
      </c>
      <c r="B1427" s="637"/>
      <c r="C1427" s="638"/>
      <c r="D1427" s="639" t="s">
        <v>614</v>
      </c>
      <c r="E1427" s="640"/>
      <c r="F1427" s="640"/>
      <c r="G1427" s="640"/>
      <c r="H1427" s="640"/>
      <c r="I1427" s="640"/>
      <c r="J1427" s="641"/>
      <c r="K1427" s="641"/>
      <c r="L1427" s="642" t="s">
        <v>166</v>
      </c>
      <c r="M1427" s="643"/>
      <c r="N1427" s="643"/>
      <c r="O1427" s="640" t="s">
        <v>615</v>
      </c>
      <c r="P1427" s="640"/>
      <c r="Q1427" s="640"/>
      <c r="R1427" s="640"/>
      <c r="S1427" s="640"/>
      <c r="T1427" s="640"/>
      <c r="U1427" s="641"/>
      <c r="V1427" s="641"/>
      <c r="W1427" s="642" t="s">
        <v>166</v>
      </c>
      <c r="X1427" s="643"/>
      <c r="Y1427" s="643"/>
      <c r="Z1427" s="643"/>
      <c r="AA1427" s="643"/>
      <c r="AB1427" s="643"/>
      <c r="AC1427" s="644"/>
      <c r="AD1427" s="645" t="s">
        <v>616</v>
      </c>
      <c r="AE1427" s="646"/>
      <c r="AF1427" s="646"/>
      <c r="AG1427" s="646"/>
      <c r="AH1427" s="646"/>
      <c r="AI1427" s="647"/>
      <c r="AJ1427" s="648"/>
      <c r="AK1427" s="648"/>
      <c r="AL1427" s="648"/>
      <c r="AM1427" s="648"/>
      <c r="AN1427" s="648"/>
      <c r="AO1427" s="648"/>
      <c r="AP1427" s="648"/>
      <c r="AQ1427" s="648"/>
      <c r="AR1427" s="648"/>
      <c r="AS1427" s="648"/>
      <c r="AT1427" s="648"/>
      <c r="AU1427" s="648"/>
      <c r="AV1427" s="648"/>
      <c r="AW1427" s="648"/>
      <c r="AX1427" s="648"/>
      <c r="AY1427" s="648"/>
      <c r="AZ1427" s="648"/>
      <c r="BA1427" s="648"/>
      <c r="BB1427" s="648"/>
      <c r="BC1427" s="648"/>
      <c r="BD1427" s="648"/>
      <c r="BE1427" s="648"/>
      <c r="BF1427" s="648"/>
      <c r="BG1427" s="648"/>
      <c r="BH1427" s="648"/>
      <c r="BI1427" s="648"/>
      <c r="BJ1427" s="648"/>
    </row>
    <row r="1428" spans="1:62" ht="15" customHeight="1" outlineLevel="1" x14ac:dyDescent="0.45">
      <c r="A1428" s="168" t="s">
        <v>180</v>
      </c>
      <c r="B1428" s="169"/>
      <c r="C1428" s="170"/>
      <c r="D1428" s="650" t="s">
        <v>617</v>
      </c>
      <c r="E1428" s="444"/>
      <c r="F1428" s="444"/>
      <c r="G1428" s="444"/>
      <c r="H1428" s="444"/>
      <c r="I1428" s="444"/>
      <c r="J1428" s="651"/>
      <c r="K1428" s="651"/>
      <c r="M1428" s="52"/>
      <c r="N1428" s="52"/>
      <c r="O1428" s="52"/>
      <c r="Q1428" s="444" t="s">
        <v>618</v>
      </c>
      <c r="R1428" s="444"/>
      <c r="S1428" s="444"/>
      <c r="T1428" s="444"/>
      <c r="U1428" s="651"/>
      <c r="V1428" s="651"/>
      <c r="W1428" s="90"/>
      <c r="Z1428" s="52"/>
      <c r="AA1428" s="52"/>
      <c r="AB1428" s="52"/>
      <c r="AC1428" s="18"/>
      <c r="AD1428" s="214" t="s">
        <v>616</v>
      </c>
      <c r="AE1428" s="215"/>
      <c r="AF1428" s="215"/>
      <c r="AG1428" s="215"/>
      <c r="AH1428" s="215"/>
      <c r="AI1428" s="216"/>
    </row>
    <row r="1429" spans="1:62" ht="15" customHeight="1" outlineLevel="1" x14ac:dyDescent="0.45">
      <c r="A1429" s="164" t="s">
        <v>180</v>
      </c>
      <c r="B1429" s="165"/>
      <c r="C1429" s="166"/>
      <c r="D1429" s="283" t="s">
        <v>619</v>
      </c>
      <c r="E1429" s="284"/>
      <c r="F1429" s="284"/>
      <c r="G1429" s="284"/>
      <c r="H1429" s="284"/>
      <c r="I1429" s="284"/>
      <c r="J1429" s="284"/>
      <c r="K1429" s="284"/>
      <c r="L1429" s="284"/>
      <c r="M1429" s="284"/>
      <c r="N1429" s="284"/>
      <c r="O1429" s="284"/>
      <c r="P1429" s="284"/>
      <c r="Q1429" s="284"/>
      <c r="R1429" s="284"/>
      <c r="S1429" s="284"/>
      <c r="T1429" s="284"/>
      <c r="U1429" s="284"/>
      <c r="V1429" s="284"/>
      <c r="W1429" s="284"/>
      <c r="X1429" s="284"/>
      <c r="Y1429" s="652"/>
      <c r="Z1429" s="653"/>
      <c r="AA1429" s="653"/>
      <c r="AB1429" s="653"/>
      <c r="AC1429" s="18"/>
      <c r="AD1429" s="147" t="s">
        <v>605</v>
      </c>
      <c r="AE1429" s="148"/>
      <c r="AF1429" s="148"/>
      <c r="AG1429" s="148"/>
      <c r="AH1429" s="148"/>
      <c r="AI1429" s="201"/>
    </row>
    <row r="1430" spans="1:62" ht="15" customHeight="1" outlineLevel="1" x14ac:dyDescent="0.45">
      <c r="A1430" s="159"/>
      <c r="B1430" s="160"/>
      <c r="C1430" s="161"/>
      <c r="D1430" s="285"/>
      <c r="E1430" s="286"/>
      <c r="F1430" s="286"/>
      <c r="G1430" s="286"/>
      <c r="H1430" s="286"/>
      <c r="I1430" s="286"/>
      <c r="J1430" s="286"/>
      <c r="K1430" s="286"/>
      <c r="L1430" s="286"/>
      <c r="M1430" s="286"/>
      <c r="N1430" s="286"/>
      <c r="O1430" s="286"/>
      <c r="P1430" s="286"/>
      <c r="Q1430" s="286"/>
      <c r="R1430" s="286"/>
      <c r="S1430" s="286"/>
      <c r="T1430" s="286"/>
      <c r="U1430" s="286"/>
      <c r="V1430" s="286"/>
      <c r="W1430" s="286"/>
      <c r="X1430" s="286"/>
      <c r="Y1430" s="654"/>
      <c r="Z1430" s="655"/>
      <c r="AA1430" s="655"/>
      <c r="AB1430" s="655"/>
      <c r="AC1430" s="110"/>
      <c r="AD1430" s="154"/>
      <c r="AE1430" s="155"/>
      <c r="AF1430" s="155"/>
      <c r="AG1430" s="155"/>
      <c r="AH1430" s="155"/>
      <c r="AI1430" s="194"/>
    </row>
    <row r="1431" spans="1:62" ht="15" customHeight="1" outlineLevel="1" x14ac:dyDescent="0.45"/>
    <row r="1432" spans="1:62" ht="15" customHeight="1" outlineLevel="1" x14ac:dyDescent="0.45">
      <c r="A1432" s="176" t="s">
        <v>208</v>
      </c>
      <c r="B1432" s="177"/>
      <c r="C1432" s="177"/>
      <c r="D1432" s="177"/>
      <c r="E1432" s="177"/>
      <c r="F1432" s="177"/>
      <c r="G1432" s="177"/>
      <c r="H1432" s="177"/>
      <c r="I1432" s="177"/>
      <c r="J1432" s="177"/>
      <c r="K1432" s="177"/>
      <c r="L1432" s="177"/>
      <c r="M1432" s="177"/>
      <c r="N1432" s="177"/>
      <c r="O1432" s="177"/>
      <c r="P1432" s="177"/>
      <c r="Q1432" s="177"/>
      <c r="R1432" s="177"/>
      <c r="S1432" s="177"/>
      <c r="T1432" s="177"/>
      <c r="U1432" s="177"/>
      <c r="V1432" s="177"/>
      <c r="W1432" s="177"/>
      <c r="X1432" s="177"/>
      <c r="Y1432" s="177"/>
      <c r="Z1432" s="177"/>
      <c r="AA1432" s="177"/>
      <c r="AB1432" s="177"/>
      <c r="AC1432" s="177"/>
      <c r="AD1432" s="177"/>
      <c r="AE1432" s="177"/>
      <c r="AF1432" s="177"/>
      <c r="AG1432" s="177"/>
      <c r="AH1432" s="177"/>
      <c r="AI1432" s="178"/>
    </row>
    <row r="1433" spans="1:62" ht="15" customHeight="1" outlineLevel="1" x14ac:dyDescent="0.45">
      <c r="A1433" s="256"/>
      <c r="B1433" s="257"/>
      <c r="C1433" s="257"/>
      <c r="D1433" s="257"/>
      <c r="E1433" s="257"/>
      <c r="F1433" s="257"/>
      <c r="G1433" s="257"/>
      <c r="H1433" s="257"/>
      <c r="I1433" s="257"/>
      <c r="J1433" s="257"/>
      <c r="K1433" s="257"/>
      <c r="L1433" s="257"/>
      <c r="M1433" s="257"/>
      <c r="N1433" s="257"/>
      <c r="O1433" s="257"/>
      <c r="P1433" s="257"/>
      <c r="Q1433" s="257"/>
      <c r="R1433" s="257"/>
      <c r="S1433" s="257"/>
      <c r="T1433" s="257"/>
      <c r="U1433" s="257"/>
      <c r="V1433" s="257"/>
      <c r="W1433" s="257"/>
      <c r="X1433" s="257"/>
      <c r="Y1433" s="257"/>
      <c r="Z1433" s="257"/>
      <c r="AA1433" s="257"/>
      <c r="AB1433" s="257"/>
      <c r="AC1433" s="257"/>
      <c r="AD1433" s="257"/>
      <c r="AE1433" s="257"/>
      <c r="AF1433" s="257"/>
      <c r="AG1433" s="257"/>
      <c r="AH1433" s="257"/>
      <c r="AI1433" s="258"/>
    </row>
    <row r="1434" spans="1:62" ht="15" customHeight="1" outlineLevel="1" x14ac:dyDescent="0.45">
      <c r="A1434" s="259"/>
      <c r="B1434" s="260"/>
      <c r="C1434" s="260"/>
      <c r="D1434" s="260"/>
      <c r="E1434" s="260"/>
      <c r="F1434" s="260"/>
      <c r="G1434" s="260"/>
      <c r="H1434" s="260"/>
      <c r="I1434" s="260"/>
      <c r="J1434" s="260"/>
      <c r="K1434" s="260"/>
      <c r="L1434" s="260"/>
      <c r="M1434" s="260"/>
      <c r="N1434" s="260"/>
      <c r="O1434" s="260"/>
      <c r="P1434" s="260"/>
      <c r="Q1434" s="260"/>
      <c r="R1434" s="260"/>
      <c r="S1434" s="260"/>
      <c r="T1434" s="260"/>
      <c r="U1434" s="260"/>
      <c r="V1434" s="260"/>
      <c r="W1434" s="260"/>
      <c r="X1434" s="260"/>
      <c r="Y1434" s="260"/>
      <c r="Z1434" s="260"/>
      <c r="AA1434" s="260"/>
      <c r="AB1434" s="260"/>
      <c r="AC1434" s="260"/>
      <c r="AD1434" s="260"/>
      <c r="AE1434" s="260"/>
      <c r="AF1434" s="260"/>
      <c r="AG1434" s="260"/>
      <c r="AH1434" s="260"/>
      <c r="AI1434" s="261"/>
    </row>
    <row r="1435" spans="1:62" ht="15" customHeight="1" outlineLevel="1" x14ac:dyDescent="0.45">
      <c r="A1435" s="259"/>
      <c r="B1435" s="260"/>
      <c r="C1435" s="260"/>
      <c r="D1435" s="260"/>
      <c r="E1435" s="260"/>
      <c r="F1435" s="260"/>
      <c r="G1435" s="260"/>
      <c r="H1435" s="260"/>
      <c r="I1435" s="260"/>
      <c r="J1435" s="260"/>
      <c r="K1435" s="260"/>
      <c r="L1435" s="260"/>
      <c r="M1435" s="260"/>
      <c r="N1435" s="260"/>
      <c r="O1435" s="260"/>
      <c r="P1435" s="260"/>
      <c r="Q1435" s="260"/>
      <c r="R1435" s="260"/>
      <c r="S1435" s="260"/>
      <c r="T1435" s="260"/>
      <c r="U1435" s="260"/>
      <c r="V1435" s="260"/>
      <c r="W1435" s="260"/>
      <c r="X1435" s="260"/>
      <c r="Y1435" s="260"/>
      <c r="Z1435" s="260"/>
      <c r="AA1435" s="260"/>
      <c r="AB1435" s="260"/>
      <c r="AC1435" s="260"/>
      <c r="AD1435" s="260"/>
      <c r="AE1435" s="260"/>
      <c r="AF1435" s="260"/>
      <c r="AG1435" s="260"/>
      <c r="AH1435" s="260"/>
      <c r="AI1435" s="261"/>
    </row>
    <row r="1436" spans="1:62" ht="15" customHeight="1" outlineLevel="1" x14ac:dyDescent="0.45">
      <c r="A1436" s="259"/>
      <c r="B1436" s="260"/>
      <c r="C1436" s="260"/>
      <c r="D1436" s="260"/>
      <c r="E1436" s="260"/>
      <c r="F1436" s="260"/>
      <c r="G1436" s="260"/>
      <c r="H1436" s="260"/>
      <c r="I1436" s="260"/>
      <c r="J1436" s="260"/>
      <c r="K1436" s="260"/>
      <c r="L1436" s="260"/>
      <c r="M1436" s="260"/>
      <c r="N1436" s="260"/>
      <c r="O1436" s="260"/>
      <c r="P1436" s="260"/>
      <c r="Q1436" s="260"/>
      <c r="R1436" s="260"/>
      <c r="S1436" s="260"/>
      <c r="T1436" s="260"/>
      <c r="U1436" s="260"/>
      <c r="V1436" s="260"/>
      <c r="W1436" s="260"/>
      <c r="X1436" s="260"/>
      <c r="Y1436" s="260"/>
      <c r="Z1436" s="260"/>
      <c r="AA1436" s="260"/>
      <c r="AB1436" s="260"/>
      <c r="AC1436" s="260"/>
      <c r="AD1436" s="260"/>
      <c r="AE1436" s="260"/>
      <c r="AF1436" s="260"/>
      <c r="AG1436" s="260"/>
      <c r="AH1436" s="260"/>
      <c r="AI1436" s="261"/>
    </row>
    <row r="1437" spans="1:62" ht="15" customHeight="1" outlineLevel="1" x14ac:dyDescent="0.45">
      <c r="A1437" s="259"/>
      <c r="B1437" s="260"/>
      <c r="C1437" s="260"/>
      <c r="D1437" s="260"/>
      <c r="E1437" s="260"/>
      <c r="F1437" s="260"/>
      <c r="G1437" s="260"/>
      <c r="H1437" s="260"/>
      <c r="I1437" s="260"/>
      <c r="J1437" s="260"/>
      <c r="K1437" s="260"/>
      <c r="L1437" s="260"/>
      <c r="M1437" s="260"/>
      <c r="N1437" s="260"/>
      <c r="O1437" s="260"/>
      <c r="P1437" s="260"/>
      <c r="Q1437" s="260"/>
      <c r="R1437" s="260"/>
      <c r="S1437" s="260"/>
      <c r="T1437" s="260"/>
      <c r="U1437" s="260"/>
      <c r="V1437" s="260"/>
      <c r="W1437" s="260"/>
      <c r="X1437" s="260"/>
      <c r="Y1437" s="260"/>
      <c r="Z1437" s="260"/>
      <c r="AA1437" s="260"/>
      <c r="AB1437" s="260"/>
      <c r="AC1437" s="260"/>
      <c r="AD1437" s="260"/>
      <c r="AE1437" s="260"/>
      <c r="AF1437" s="260"/>
      <c r="AG1437" s="260"/>
      <c r="AH1437" s="260"/>
      <c r="AI1437" s="261"/>
    </row>
    <row r="1438" spans="1:62" ht="15" customHeight="1" outlineLevel="1" x14ac:dyDescent="0.45">
      <c r="A1438" s="259"/>
      <c r="B1438" s="260"/>
      <c r="C1438" s="260"/>
      <c r="D1438" s="260"/>
      <c r="E1438" s="260"/>
      <c r="F1438" s="260"/>
      <c r="G1438" s="260"/>
      <c r="H1438" s="260"/>
      <c r="I1438" s="260"/>
      <c r="J1438" s="260"/>
      <c r="K1438" s="260"/>
      <c r="L1438" s="260"/>
      <c r="M1438" s="260"/>
      <c r="N1438" s="260"/>
      <c r="O1438" s="260"/>
      <c r="P1438" s="260"/>
      <c r="Q1438" s="260"/>
      <c r="R1438" s="260"/>
      <c r="S1438" s="260"/>
      <c r="T1438" s="260"/>
      <c r="U1438" s="260"/>
      <c r="V1438" s="260"/>
      <c r="W1438" s="260"/>
      <c r="X1438" s="260"/>
      <c r="Y1438" s="260"/>
      <c r="Z1438" s="260"/>
      <c r="AA1438" s="260"/>
      <c r="AB1438" s="260"/>
      <c r="AC1438" s="260"/>
      <c r="AD1438" s="260"/>
      <c r="AE1438" s="260"/>
      <c r="AF1438" s="260"/>
      <c r="AG1438" s="260"/>
      <c r="AH1438" s="260"/>
      <c r="AI1438" s="261"/>
    </row>
    <row r="1439" spans="1:62" ht="15" customHeight="1" outlineLevel="1" x14ac:dyDescent="0.45">
      <c r="A1439" s="259"/>
      <c r="B1439" s="260"/>
      <c r="C1439" s="260"/>
      <c r="D1439" s="260"/>
      <c r="E1439" s="260"/>
      <c r="F1439" s="260"/>
      <c r="G1439" s="260"/>
      <c r="H1439" s="260"/>
      <c r="I1439" s="260"/>
      <c r="J1439" s="260"/>
      <c r="K1439" s="260"/>
      <c r="L1439" s="260"/>
      <c r="M1439" s="260"/>
      <c r="N1439" s="260"/>
      <c r="O1439" s="260"/>
      <c r="P1439" s="260"/>
      <c r="Q1439" s="260"/>
      <c r="R1439" s="260"/>
      <c r="S1439" s="260"/>
      <c r="T1439" s="260"/>
      <c r="U1439" s="260"/>
      <c r="V1439" s="260"/>
      <c r="W1439" s="260"/>
      <c r="X1439" s="260"/>
      <c r="Y1439" s="260"/>
      <c r="Z1439" s="260"/>
      <c r="AA1439" s="260"/>
      <c r="AB1439" s="260"/>
      <c r="AC1439" s="260"/>
      <c r="AD1439" s="260"/>
      <c r="AE1439" s="260"/>
      <c r="AF1439" s="260"/>
      <c r="AG1439" s="260"/>
      <c r="AH1439" s="260"/>
      <c r="AI1439" s="261"/>
    </row>
    <row r="1440" spans="1:62" ht="15" customHeight="1" outlineLevel="1" x14ac:dyDescent="0.45">
      <c r="A1440" s="259"/>
      <c r="B1440" s="260"/>
      <c r="C1440" s="260"/>
      <c r="D1440" s="260"/>
      <c r="E1440" s="260"/>
      <c r="F1440" s="260"/>
      <c r="G1440" s="260"/>
      <c r="H1440" s="260"/>
      <c r="I1440" s="260"/>
      <c r="J1440" s="260"/>
      <c r="K1440" s="260"/>
      <c r="L1440" s="260"/>
      <c r="M1440" s="260"/>
      <c r="N1440" s="260"/>
      <c r="O1440" s="260"/>
      <c r="P1440" s="260"/>
      <c r="Q1440" s="260"/>
      <c r="R1440" s="260"/>
      <c r="S1440" s="260"/>
      <c r="T1440" s="260"/>
      <c r="U1440" s="260"/>
      <c r="V1440" s="260"/>
      <c r="W1440" s="260"/>
      <c r="X1440" s="260"/>
      <c r="Y1440" s="260"/>
      <c r="Z1440" s="260"/>
      <c r="AA1440" s="260"/>
      <c r="AB1440" s="260"/>
      <c r="AC1440" s="260"/>
      <c r="AD1440" s="260"/>
      <c r="AE1440" s="260"/>
      <c r="AF1440" s="260"/>
      <c r="AG1440" s="260"/>
      <c r="AH1440" s="260"/>
      <c r="AI1440" s="261"/>
    </row>
    <row r="1441" spans="1:35" ht="15" customHeight="1" outlineLevel="1" x14ac:dyDescent="0.45">
      <c r="A1441" s="259"/>
      <c r="B1441" s="260"/>
      <c r="C1441" s="260"/>
      <c r="D1441" s="260"/>
      <c r="E1441" s="260"/>
      <c r="F1441" s="260"/>
      <c r="G1441" s="260"/>
      <c r="H1441" s="260"/>
      <c r="I1441" s="260"/>
      <c r="J1441" s="260"/>
      <c r="K1441" s="260"/>
      <c r="L1441" s="260"/>
      <c r="M1441" s="260"/>
      <c r="N1441" s="260"/>
      <c r="O1441" s="260"/>
      <c r="P1441" s="260"/>
      <c r="Q1441" s="260"/>
      <c r="R1441" s="260"/>
      <c r="S1441" s="260"/>
      <c r="T1441" s="260"/>
      <c r="U1441" s="260"/>
      <c r="V1441" s="260"/>
      <c r="W1441" s="260"/>
      <c r="X1441" s="260"/>
      <c r="Y1441" s="260"/>
      <c r="Z1441" s="260"/>
      <c r="AA1441" s="260"/>
      <c r="AB1441" s="260"/>
      <c r="AC1441" s="260"/>
      <c r="AD1441" s="260"/>
      <c r="AE1441" s="260"/>
      <c r="AF1441" s="260"/>
      <c r="AG1441" s="260"/>
      <c r="AH1441" s="260"/>
      <c r="AI1441" s="261"/>
    </row>
    <row r="1442" spans="1:35" ht="15" customHeight="1" outlineLevel="1" x14ac:dyDescent="0.45">
      <c r="A1442" s="259"/>
      <c r="B1442" s="260"/>
      <c r="C1442" s="260"/>
      <c r="D1442" s="260"/>
      <c r="E1442" s="260"/>
      <c r="F1442" s="260"/>
      <c r="G1442" s="260"/>
      <c r="H1442" s="260"/>
      <c r="I1442" s="260"/>
      <c r="J1442" s="260"/>
      <c r="K1442" s="260"/>
      <c r="L1442" s="260"/>
      <c r="M1442" s="260"/>
      <c r="N1442" s="260"/>
      <c r="O1442" s="260"/>
      <c r="P1442" s="260"/>
      <c r="Q1442" s="260"/>
      <c r="R1442" s="260"/>
      <c r="S1442" s="260"/>
      <c r="T1442" s="260"/>
      <c r="U1442" s="260"/>
      <c r="V1442" s="260"/>
      <c r="W1442" s="260"/>
      <c r="X1442" s="260"/>
      <c r="Y1442" s="260"/>
      <c r="Z1442" s="260"/>
      <c r="AA1442" s="260"/>
      <c r="AB1442" s="260"/>
      <c r="AC1442" s="260"/>
      <c r="AD1442" s="260"/>
      <c r="AE1442" s="260"/>
      <c r="AF1442" s="260"/>
      <c r="AG1442" s="260"/>
      <c r="AH1442" s="260"/>
      <c r="AI1442" s="261"/>
    </row>
    <row r="1443" spans="1:35" ht="15" customHeight="1" outlineLevel="1" x14ac:dyDescent="0.45">
      <c r="A1443" s="259"/>
      <c r="B1443" s="260"/>
      <c r="C1443" s="260"/>
      <c r="D1443" s="260"/>
      <c r="E1443" s="260"/>
      <c r="F1443" s="260"/>
      <c r="G1443" s="260"/>
      <c r="H1443" s="260"/>
      <c r="I1443" s="260"/>
      <c r="J1443" s="260"/>
      <c r="K1443" s="260"/>
      <c r="L1443" s="260"/>
      <c r="M1443" s="260"/>
      <c r="N1443" s="260"/>
      <c r="O1443" s="260"/>
      <c r="P1443" s="260"/>
      <c r="Q1443" s="260"/>
      <c r="R1443" s="260"/>
      <c r="S1443" s="260"/>
      <c r="T1443" s="260"/>
      <c r="U1443" s="260"/>
      <c r="V1443" s="260"/>
      <c r="W1443" s="260"/>
      <c r="X1443" s="260"/>
      <c r="Y1443" s="260"/>
      <c r="Z1443" s="260"/>
      <c r="AA1443" s="260"/>
      <c r="AB1443" s="260"/>
      <c r="AC1443" s="260"/>
      <c r="AD1443" s="260"/>
      <c r="AE1443" s="260"/>
      <c r="AF1443" s="260"/>
      <c r="AG1443" s="260"/>
      <c r="AH1443" s="260"/>
      <c r="AI1443" s="261"/>
    </row>
    <row r="1444" spans="1:35" ht="15" customHeight="1" outlineLevel="1" x14ac:dyDescent="0.45">
      <c r="A1444" s="259"/>
      <c r="B1444" s="260"/>
      <c r="C1444" s="260"/>
      <c r="D1444" s="260"/>
      <c r="E1444" s="260"/>
      <c r="F1444" s="260"/>
      <c r="G1444" s="260"/>
      <c r="H1444" s="260"/>
      <c r="I1444" s="260"/>
      <c r="J1444" s="260"/>
      <c r="K1444" s="260"/>
      <c r="L1444" s="260"/>
      <c r="M1444" s="260"/>
      <c r="N1444" s="260"/>
      <c r="O1444" s="260"/>
      <c r="P1444" s="260"/>
      <c r="Q1444" s="260"/>
      <c r="R1444" s="260"/>
      <c r="S1444" s="260"/>
      <c r="T1444" s="260"/>
      <c r="U1444" s="260"/>
      <c r="V1444" s="260"/>
      <c r="W1444" s="260"/>
      <c r="X1444" s="260"/>
      <c r="Y1444" s="260"/>
      <c r="Z1444" s="260"/>
      <c r="AA1444" s="260"/>
      <c r="AB1444" s="260"/>
      <c r="AC1444" s="260"/>
      <c r="AD1444" s="260"/>
      <c r="AE1444" s="260"/>
      <c r="AF1444" s="260"/>
      <c r="AG1444" s="260"/>
      <c r="AH1444" s="260"/>
      <c r="AI1444" s="261"/>
    </row>
    <row r="1445" spans="1:35" ht="15" customHeight="1" outlineLevel="1" x14ac:dyDescent="0.45">
      <c r="A1445" s="259"/>
      <c r="B1445" s="260"/>
      <c r="C1445" s="260"/>
      <c r="D1445" s="260"/>
      <c r="E1445" s="260"/>
      <c r="F1445" s="260"/>
      <c r="G1445" s="260"/>
      <c r="H1445" s="260"/>
      <c r="I1445" s="260"/>
      <c r="J1445" s="260"/>
      <c r="K1445" s="260"/>
      <c r="L1445" s="260"/>
      <c r="M1445" s="260"/>
      <c r="N1445" s="260"/>
      <c r="O1445" s="260"/>
      <c r="P1445" s="260"/>
      <c r="Q1445" s="260"/>
      <c r="R1445" s="260"/>
      <c r="S1445" s="260"/>
      <c r="T1445" s="260"/>
      <c r="U1445" s="260"/>
      <c r="V1445" s="260"/>
      <c r="W1445" s="260"/>
      <c r="X1445" s="260"/>
      <c r="Y1445" s="260"/>
      <c r="Z1445" s="260"/>
      <c r="AA1445" s="260"/>
      <c r="AB1445" s="260"/>
      <c r="AC1445" s="260"/>
      <c r="AD1445" s="260"/>
      <c r="AE1445" s="260"/>
      <c r="AF1445" s="260"/>
      <c r="AG1445" s="260"/>
      <c r="AH1445" s="260"/>
      <c r="AI1445" s="261"/>
    </row>
    <row r="1446" spans="1:35" ht="15" customHeight="1" outlineLevel="1" x14ac:dyDescent="0.45">
      <c r="A1446" s="259"/>
      <c r="B1446" s="260"/>
      <c r="C1446" s="260"/>
      <c r="D1446" s="260"/>
      <c r="E1446" s="260"/>
      <c r="F1446" s="260"/>
      <c r="G1446" s="260"/>
      <c r="H1446" s="260"/>
      <c r="I1446" s="260"/>
      <c r="J1446" s="260"/>
      <c r="K1446" s="260"/>
      <c r="L1446" s="260"/>
      <c r="M1446" s="260"/>
      <c r="N1446" s="260"/>
      <c r="O1446" s="260"/>
      <c r="P1446" s="260"/>
      <c r="Q1446" s="260"/>
      <c r="R1446" s="260"/>
      <c r="S1446" s="260"/>
      <c r="T1446" s="260"/>
      <c r="U1446" s="260"/>
      <c r="V1446" s="260"/>
      <c r="W1446" s="260"/>
      <c r="X1446" s="260"/>
      <c r="Y1446" s="260"/>
      <c r="Z1446" s="260"/>
      <c r="AA1446" s="260"/>
      <c r="AB1446" s="260"/>
      <c r="AC1446" s="260"/>
      <c r="AD1446" s="260"/>
      <c r="AE1446" s="260"/>
      <c r="AF1446" s="260"/>
      <c r="AG1446" s="260"/>
      <c r="AH1446" s="260"/>
      <c r="AI1446" s="261"/>
    </row>
    <row r="1447" spans="1:35" ht="15" customHeight="1" outlineLevel="1" x14ac:dyDescent="0.45">
      <c r="A1447" s="259"/>
      <c r="B1447" s="260"/>
      <c r="C1447" s="260"/>
      <c r="D1447" s="260"/>
      <c r="E1447" s="260"/>
      <c r="F1447" s="260"/>
      <c r="G1447" s="260"/>
      <c r="H1447" s="260"/>
      <c r="I1447" s="260"/>
      <c r="J1447" s="260"/>
      <c r="K1447" s="260"/>
      <c r="L1447" s="260"/>
      <c r="M1447" s="260"/>
      <c r="N1447" s="260"/>
      <c r="O1447" s="260"/>
      <c r="P1447" s="260"/>
      <c r="Q1447" s="260"/>
      <c r="R1447" s="260"/>
      <c r="S1447" s="260"/>
      <c r="T1447" s="260"/>
      <c r="U1447" s="260"/>
      <c r="V1447" s="260"/>
      <c r="W1447" s="260"/>
      <c r="X1447" s="260"/>
      <c r="Y1447" s="260"/>
      <c r="Z1447" s="260"/>
      <c r="AA1447" s="260"/>
      <c r="AB1447" s="260"/>
      <c r="AC1447" s="260"/>
      <c r="AD1447" s="260"/>
      <c r="AE1447" s="260"/>
      <c r="AF1447" s="260"/>
      <c r="AG1447" s="260"/>
      <c r="AH1447" s="260"/>
      <c r="AI1447" s="261"/>
    </row>
    <row r="1448" spans="1:35" ht="15" customHeight="1" outlineLevel="1" x14ac:dyDescent="0.45">
      <c r="A1448" s="259"/>
      <c r="B1448" s="260"/>
      <c r="C1448" s="260"/>
      <c r="D1448" s="260"/>
      <c r="E1448" s="260"/>
      <c r="F1448" s="260"/>
      <c r="G1448" s="260"/>
      <c r="H1448" s="260"/>
      <c r="I1448" s="260"/>
      <c r="J1448" s="260"/>
      <c r="K1448" s="260"/>
      <c r="L1448" s="260"/>
      <c r="M1448" s="260"/>
      <c r="N1448" s="260"/>
      <c r="O1448" s="260"/>
      <c r="P1448" s="260"/>
      <c r="Q1448" s="260"/>
      <c r="R1448" s="260"/>
      <c r="S1448" s="260"/>
      <c r="T1448" s="260"/>
      <c r="U1448" s="260"/>
      <c r="V1448" s="260"/>
      <c r="W1448" s="260"/>
      <c r="X1448" s="260"/>
      <c r="Y1448" s="260"/>
      <c r="Z1448" s="260"/>
      <c r="AA1448" s="260"/>
      <c r="AB1448" s="260"/>
      <c r="AC1448" s="260"/>
      <c r="AD1448" s="260"/>
      <c r="AE1448" s="260"/>
      <c r="AF1448" s="260"/>
      <c r="AG1448" s="260"/>
      <c r="AH1448" s="260"/>
      <c r="AI1448" s="261"/>
    </row>
    <row r="1449" spans="1:35" ht="15" customHeight="1" outlineLevel="1" x14ac:dyDescent="0.45">
      <c r="A1449" s="259"/>
      <c r="B1449" s="260"/>
      <c r="C1449" s="260"/>
      <c r="D1449" s="260"/>
      <c r="E1449" s="260"/>
      <c r="F1449" s="260"/>
      <c r="G1449" s="260"/>
      <c r="H1449" s="260"/>
      <c r="I1449" s="260"/>
      <c r="J1449" s="260"/>
      <c r="K1449" s="260"/>
      <c r="L1449" s="260"/>
      <c r="M1449" s="260"/>
      <c r="N1449" s="260"/>
      <c r="O1449" s="260"/>
      <c r="P1449" s="260"/>
      <c r="Q1449" s="260"/>
      <c r="R1449" s="260"/>
      <c r="S1449" s="260"/>
      <c r="T1449" s="260"/>
      <c r="U1449" s="260"/>
      <c r="V1449" s="260"/>
      <c r="W1449" s="260"/>
      <c r="X1449" s="260"/>
      <c r="Y1449" s="260"/>
      <c r="Z1449" s="260"/>
      <c r="AA1449" s="260"/>
      <c r="AB1449" s="260"/>
      <c r="AC1449" s="260"/>
      <c r="AD1449" s="260"/>
      <c r="AE1449" s="260"/>
      <c r="AF1449" s="260"/>
      <c r="AG1449" s="260"/>
      <c r="AH1449" s="260"/>
      <c r="AI1449" s="261"/>
    </row>
    <row r="1450" spans="1:35" ht="15" customHeight="1" outlineLevel="1" x14ac:dyDescent="0.45">
      <c r="A1450" s="259"/>
      <c r="B1450" s="260"/>
      <c r="C1450" s="260"/>
      <c r="D1450" s="260"/>
      <c r="E1450" s="260"/>
      <c r="F1450" s="260"/>
      <c r="G1450" s="260"/>
      <c r="H1450" s="260"/>
      <c r="I1450" s="260"/>
      <c r="J1450" s="260"/>
      <c r="K1450" s="260"/>
      <c r="L1450" s="260"/>
      <c r="M1450" s="260"/>
      <c r="N1450" s="260"/>
      <c r="O1450" s="260"/>
      <c r="P1450" s="260"/>
      <c r="Q1450" s="260"/>
      <c r="R1450" s="260"/>
      <c r="S1450" s="260"/>
      <c r="T1450" s="260"/>
      <c r="U1450" s="260"/>
      <c r="V1450" s="260"/>
      <c r="W1450" s="260"/>
      <c r="X1450" s="260"/>
      <c r="Y1450" s="260"/>
      <c r="Z1450" s="260"/>
      <c r="AA1450" s="260"/>
      <c r="AB1450" s="260"/>
      <c r="AC1450" s="260"/>
      <c r="AD1450" s="260"/>
      <c r="AE1450" s="260"/>
      <c r="AF1450" s="260"/>
      <c r="AG1450" s="260"/>
      <c r="AH1450" s="260"/>
      <c r="AI1450" s="261"/>
    </row>
    <row r="1451" spans="1:35" ht="15" customHeight="1" outlineLevel="1" x14ac:dyDescent="0.45">
      <c r="A1451" s="259"/>
      <c r="B1451" s="260"/>
      <c r="C1451" s="260"/>
      <c r="D1451" s="260"/>
      <c r="E1451" s="260"/>
      <c r="F1451" s="260"/>
      <c r="G1451" s="260"/>
      <c r="H1451" s="260"/>
      <c r="I1451" s="260"/>
      <c r="J1451" s="260"/>
      <c r="K1451" s="260"/>
      <c r="L1451" s="260"/>
      <c r="M1451" s="260"/>
      <c r="N1451" s="260"/>
      <c r="O1451" s="260"/>
      <c r="P1451" s="260"/>
      <c r="Q1451" s="260"/>
      <c r="R1451" s="260"/>
      <c r="S1451" s="260"/>
      <c r="T1451" s="260"/>
      <c r="U1451" s="260"/>
      <c r="V1451" s="260"/>
      <c r="W1451" s="260"/>
      <c r="X1451" s="260"/>
      <c r="Y1451" s="260"/>
      <c r="Z1451" s="260"/>
      <c r="AA1451" s="260"/>
      <c r="AB1451" s="260"/>
      <c r="AC1451" s="260"/>
      <c r="AD1451" s="260"/>
      <c r="AE1451" s="260"/>
      <c r="AF1451" s="260"/>
      <c r="AG1451" s="260"/>
      <c r="AH1451" s="260"/>
      <c r="AI1451" s="261"/>
    </row>
    <row r="1452" spans="1:35" ht="15" customHeight="1" outlineLevel="1" x14ac:dyDescent="0.45">
      <c r="A1452" s="259"/>
      <c r="B1452" s="260"/>
      <c r="C1452" s="260"/>
      <c r="D1452" s="260"/>
      <c r="E1452" s="260"/>
      <c r="F1452" s="260"/>
      <c r="G1452" s="260"/>
      <c r="H1452" s="260"/>
      <c r="I1452" s="260"/>
      <c r="J1452" s="260"/>
      <c r="K1452" s="260"/>
      <c r="L1452" s="260"/>
      <c r="M1452" s="260"/>
      <c r="N1452" s="260"/>
      <c r="O1452" s="260"/>
      <c r="P1452" s="260"/>
      <c r="Q1452" s="260"/>
      <c r="R1452" s="260"/>
      <c r="S1452" s="260"/>
      <c r="T1452" s="260"/>
      <c r="U1452" s="260"/>
      <c r="V1452" s="260"/>
      <c r="W1452" s="260"/>
      <c r="X1452" s="260"/>
      <c r="Y1452" s="260"/>
      <c r="Z1452" s="260"/>
      <c r="AA1452" s="260"/>
      <c r="AB1452" s="260"/>
      <c r="AC1452" s="260"/>
      <c r="AD1452" s="260"/>
      <c r="AE1452" s="260"/>
      <c r="AF1452" s="260"/>
      <c r="AG1452" s="260"/>
      <c r="AH1452" s="260"/>
      <c r="AI1452" s="261"/>
    </row>
    <row r="1453" spans="1:35" ht="15" customHeight="1" outlineLevel="1" x14ac:dyDescent="0.45">
      <c r="A1453" s="259"/>
      <c r="B1453" s="260"/>
      <c r="C1453" s="260"/>
      <c r="D1453" s="260"/>
      <c r="E1453" s="260"/>
      <c r="F1453" s="260"/>
      <c r="G1453" s="260"/>
      <c r="H1453" s="260"/>
      <c r="I1453" s="260"/>
      <c r="J1453" s="260"/>
      <c r="K1453" s="260"/>
      <c r="L1453" s="260"/>
      <c r="M1453" s="260"/>
      <c r="N1453" s="260"/>
      <c r="O1453" s="260"/>
      <c r="P1453" s="260"/>
      <c r="Q1453" s="260"/>
      <c r="R1453" s="260"/>
      <c r="S1453" s="260"/>
      <c r="T1453" s="260"/>
      <c r="U1453" s="260"/>
      <c r="V1453" s="260"/>
      <c r="W1453" s="260"/>
      <c r="X1453" s="260"/>
      <c r="Y1453" s="260"/>
      <c r="Z1453" s="260"/>
      <c r="AA1453" s="260"/>
      <c r="AB1453" s="260"/>
      <c r="AC1453" s="260"/>
      <c r="AD1453" s="260"/>
      <c r="AE1453" s="260"/>
      <c r="AF1453" s="260"/>
      <c r="AG1453" s="260"/>
      <c r="AH1453" s="260"/>
      <c r="AI1453" s="261"/>
    </row>
    <row r="1454" spans="1:35" ht="15" customHeight="1" outlineLevel="1" x14ac:dyDescent="0.45">
      <c r="A1454" s="259"/>
      <c r="B1454" s="260"/>
      <c r="C1454" s="260"/>
      <c r="D1454" s="260"/>
      <c r="E1454" s="260"/>
      <c r="F1454" s="260"/>
      <c r="G1454" s="260"/>
      <c r="H1454" s="260"/>
      <c r="I1454" s="260"/>
      <c r="J1454" s="260"/>
      <c r="K1454" s="260"/>
      <c r="L1454" s="260"/>
      <c r="M1454" s="260"/>
      <c r="N1454" s="260"/>
      <c r="O1454" s="260"/>
      <c r="P1454" s="260"/>
      <c r="Q1454" s="260"/>
      <c r="R1454" s="260"/>
      <c r="S1454" s="260"/>
      <c r="T1454" s="260"/>
      <c r="U1454" s="260"/>
      <c r="V1454" s="260"/>
      <c r="W1454" s="260"/>
      <c r="X1454" s="260"/>
      <c r="Y1454" s="260"/>
      <c r="Z1454" s="260"/>
      <c r="AA1454" s="260"/>
      <c r="AB1454" s="260"/>
      <c r="AC1454" s="260"/>
      <c r="AD1454" s="260"/>
      <c r="AE1454" s="260"/>
      <c r="AF1454" s="260"/>
      <c r="AG1454" s="260"/>
      <c r="AH1454" s="260"/>
      <c r="AI1454" s="261"/>
    </row>
    <row r="1455" spans="1:35" ht="15" customHeight="1" outlineLevel="1" x14ac:dyDescent="0.45">
      <c r="A1455" s="259"/>
      <c r="B1455" s="260"/>
      <c r="C1455" s="260"/>
      <c r="D1455" s="260"/>
      <c r="E1455" s="260"/>
      <c r="F1455" s="260"/>
      <c r="G1455" s="260"/>
      <c r="H1455" s="260"/>
      <c r="I1455" s="260"/>
      <c r="J1455" s="260"/>
      <c r="K1455" s="260"/>
      <c r="L1455" s="260"/>
      <c r="M1455" s="260"/>
      <c r="N1455" s="260"/>
      <c r="O1455" s="260"/>
      <c r="P1455" s="260"/>
      <c r="Q1455" s="260"/>
      <c r="R1455" s="260"/>
      <c r="S1455" s="260"/>
      <c r="T1455" s="260"/>
      <c r="U1455" s="260"/>
      <c r="V1455" s="260"/>
      <c r="W1455" s="260"/>
      <c r="X1455" s="260"/>
      <c r="Y1455" s="260"/>
      <c r="Z1455" s="260"/>
      <c r="AA1455" s="260"/>
      <c r="AB1455" s="260"/>
      <c r="AC1455" s="260"/>
      <c r="AD1455" s="260"/>
      <c r="AE1455" s="260"/>
      <c r="AF1455" s="260"/>
      <c r="AG1455" s="260"/>
      <c r="AH1455" s="260"/>
      <c r="AI1455" s="261"/>
    </row>
    <row r="1456" spans="1:35" ht="15" customHeight="1" outlineLevel="1" x14ac:dyDescent="0.45">
      <c r="A1456" s="259"/>
      <c r="B1456" s="260"/>
      <c r="C1456" s="260"/>
      <c r="D1456" s="260"/>
      <c r="E1456" s="260"/>
      <c r="F1456" s="260"/>
      <c r="G1456" s="260"/>
      <c r="H1456" s="260"/>
      <c r="I1456" s="260"/>
      <c r="J1456" s="260"/>
      <c r="K1456" s="260"/>
      <c r="L1456" s="260"/>
      <c r="M1456" s="260"/>
      <c r="N1456" s="260"/>
      <c r="O1456" s="260"/>
      <c r="P1456" s="260"/>
      <c r="Q1456" s="260"/>
      <c r="R1456" s="260"/>
      <c r="S1456" s="260"/>
      <c r="T1456" s="260"/>
      <c r="U1456" s="260"/>
      <c r="V1456" s="260"/>
      <c r="W1456" s="260"/>
      <c r="X1456" s="260"/>
      <c r="Y1456" s="260"/>
      <c r="Z1456" s="260"/>
      <c r="AA1456" s="260"/>
      <c r="AB1456" s="260"/>
      <c r="AC1456" s="260"/>
      <c r="AD1456" s="260"/>
      <c r="AE1456" s="260"/>
      <c r="AF1456" s="260"/>
      <c r="AG1456" s="260"/>
      <c r="AH1456" s="260"/>
      <c r="AI1456" s="261"/>
    </row>
    <row r="1457" spans="1:37" ht="15" customHeight="1" outlineLevel="1" x14ac:dyDescent="0.45">
      <c r="A1457" s="259"/>
      <c r="B1457" s="260"/>
      <c r="C1457" s="260"/>
      <c r="D1457" s="260"/>
      <c r="E1457" s="260"/>
      <c r="F1457" s="260"/>
      <c r="G1457" s="260"/>
      <c r="H1457" s="260"/>
      <c r="I1457" s="260"/>
      <c r="J1457" s="260"/>
      <c r="K1457" s="260"/>
      <c r="L1457" s="260"/>
      <c r="M1457" s="260"/>
      <c r="N1457" s="260"/>
      <c r="O1457" s="260"/>
      <c r="P1457" s="260"/>
      <c r="Q1457" s="260"/>
      <c r="R1457" s="260"/>
      <c r="S1457" s="260"/>
      <c r="T1457" s="260"/>
      <c r="U1457" s="260"/>
      <c r="V1457" s="260"/>
      <c r="W1457" s="260"/>
      <c r="X1457" s="260"/>
      <c r="Y1457" s="260"/>
      <c r="Z1457" s="260"/>
      <c r="AA1457" s="260"/>
      <c r="AB1457" s="260"/>
      <c r="AC1457" s="260"/>
      <c r="AD1457" s="260"/>
      <c r="AE1457" s="260"/>
      <c r="AF1457" s="260"/>
      <c r="AG1457" s="260"/>
      <c r="AH1457" s="260"/>
      <c r="AI1457" s="261"/>
    </row>
    <row r="1458" spans="1:37" ht="15" customHeight="1" outlineLevel="1" x14ac:dyDescent="0.45">
      <c r="A1458" s="259"/>
      <c r="B1458" s="260"/>
      <c r="C1458" s="260"/>
      <c r="D1458" s="260"/>
      <c r="E1458" s="260"/>
      <c r="F1458" s="260"/>
      <c r="G1458" s="260"/>
      <c r="H1458" s="260"/>
      <c r="I1458" s="260"/>
      <c r="J1458" s="260"/>
      <c r="K1458" s="260"/>
      <c r="L1458" s="260"/>
      <c r="M1458" s="260"/>
      <c r="N1458" s="260"/>
      <c r="O1458" s="260"/>
      <c r="P1458" s="260"/>
      <c r="Q1458" s="260"/>
      <c r="R1458" s="260"/>
      <c r="S1458" s="260"/>
      <c r="T1458" s="260"/>
      <c r="U1458" s="260"/>
      <c r="V1458" s="260"/>
      <c r="W1458" s="260"/>
      <c r="X1458" s="260"/>
      <c r="Y1458" s="260"/>
      <c r="Z1458" s="260"/>
      <c r="AA1458" s="260"/>
      <c r="AB1458" s="260"/>
      <c r="AC1458" s="260"/>
      <c r="AD1458" s="260"/>
      <c r="AE1458" s="260"/>
      <c r="AF1458" s="260"/>
      <c r="AG1458" s="260"/>
      <c r="AH1458" s="260"/>
      <c r="AI1458" s="261"/>
    </row>
    <row r="1459" spans="1:37" ht="15" customHeight="1" outlineLevel="1" x14ac:dyDescent="0.45">
      <c r="A1459" s="262"/>
      <c r="B1459" s="263"/>
      <c r="C1459" s="263"/>
      <c r="D1459" s="263"/>
      <c r="E1459" s="263"/>
      <c r="F1459" s="263"/>
      <c r="G1459" s="263"/>
      <c r="H1459" s="263"/>
      <c r="I1459" s="263"/>
      <c r="J1459" s="263"/>
      <c r="K1459" s="263"/>
      <c r="L1459" s="263"/>
      <c r="M1459" s="263"/>
      <c r="N1459" s="263"/>
      <c r="O1459" s="263"/>
      <c r="P1459" s="263"/>
      <c r="Q1459" s="263"/>
      <c r="R1459" s="263"/>
      <c r="S1459" s="263"/>
      <c r="T1459" s="263"/>
      <c r="U1459" s="263"/>
      <c r="V1459" s="263"/>
      <c r="W1459" s="263"/>
      <c r="X1459" s="263"/>
      <c r="Y1459" s="263"/>
      <c r="Z1459" s="263"/>
      <c r="AA1459" s="263"/>
      <c r="AB1459" s="263"/>
      <c r="AC1459" s="263"/>
      <c r="AD1459" s="263"/>
      <c r="AE1459" s="263"/>
      <c r="AF1459" s="263"/>
      <c r="AG1459" s="263"/>
      <c r="AH1459" s="263"/>
      <c r="AI1459" s="264"/>
      <c r="AK1459" s="6" t="s">
        <v>620</v>
      </c>
    </row>
    <row r="1460" spans="1:37" ht="15" customHeight="1" outlineLevel="1" x14ac:dyDescent="0.45"/>
    <row r="1461" spans="1:37" ht="15" customHeight="1" outlineLevel="1" x14ac:dyDescent="0.45">
      <c r="A1461" s="14" t="s">
        <v>621</v>
      </c>
      <c r="B1461" s="14"/>
      <c r="C1461" s="14"/>
      <c r="D1461" s="14"/>
      <c r="E1461" s="14"/>
      <c r="F1461" s="15" t="s">
        <v>622</v>
      </c>
      <c r="G1461" s="15"/>
      <c r="H1461" s="15"/>
      <c r="I1461" s="15"/>
      <c r="J1461" s="15"/>
      <c r="K1461" s="15"/>
      <c r="L1461" s="15"/>
      <c r="M1461" s="15"/>
      <c r="N1461" s="15"/>
      <c r="O1461" s="15"/>
      <c r="P1461" s="15"/>
      <c r="Q1461" s="15"/>
      <c r="R1461" s="15"/>
      <c r="S1461" s="15"/>
      <c r="T1461" s="15"/>
      <c r="U1461" s="15"/>
      <c r="V1461" s="15"/>
      <c r="W1461" s="15"/>
      <c r="X1461" s="15"/>
      <c r="Y1461" s="15"/>
      <c r="Z1461" s="15"/>
      <c r="AA1461" s="15"/>
      <c r="AB1461" s="15"/>
      <c r="AC1461" s="66" t="s">
        <v>623</v>
      </c>
      <c r="AD1461" s="66"/>
      <c r="AE1461" s="66"/>
      <c r="AF1461" s="66"/>
      <c r="AG1461" s="66"/>
      <c r="AH1461" s="66"/>
      <c r="AI1461" s="66"/>
      <c r="AK1461" s="6" t="s">
        <v>624</v>
      </c>
    </row>
    <row r="1462" spans="1:37" ht="15" customHeight="1" outlineLevel="1" x14ac:dyDescent="0.45">
      <c r="AK1462" s="6" t="s">
        <v>625</v>
      </c>
    </row>
    <row r="1463" spans="1:37" ht="15" customHeight="1" outlineLevel="1" thickBot="1" x14ac:dyDescent="0.5">
      <c r="A1463" s="78" t="s">
        <v>98</v>
      </c>
      <c r="B1463" s="79"/>
      <c r="C1463" s="80"/>
      <c r="D1463" s="78" t="s">
        <v>99</v>
      </c>
      <c r="E1463" s="79"/>
      <c r="F1463" s="79"/>
      <c r="G1463" s="79"/>
      <c r="H1463" s="79"/>
      <c r="I1463" s="79"/>
      <c r="J1463" s="79"/>
      <c r="K1463" s="79"/>
      <c r="L1463" s="79"/>
      <c r="M1463" s="79"/>
      <c r="N1463" s="79"/>
      <c r="O1463" s="79"/>
      <c r="P1463" s="79"/>
      <c r="Q1463" s="79"/>
      <c r="R1463" s="79"/>
      <c r="S1463" s="79"/>
      <c r="T1463" s="79"/>
      <c r="U1463" s="79"/>
      <c r="V1463" s="79"/>
      <c r="W1463" s="79"/>
      <c r="X1463" s="79"/>
      <c r="Y1463" s="79"/>
      <c r="Z1463" s="79"/>
      <c r="AA1463" s="79"/>
      <c r="AB1463" s="79"/>
      <c r="AC1463" s="80"/>
      <c r="AD1463" s="78" t="s">
        <v>100</v>
      </c>
      <c r="AE1463" s="79"/>
      <c r="AF1463" s="79"/>
      <c r="AG1463" s="79"/>
      <c r="AH1463" s="79"/>
      <c r="AI1463" s="80"/>
      <c r="AK1463" s="6" t="s">
        <v>626</v>
      </c>
    </row>
    <row r="1464" spans="1:37" ht="15" customHeight="1" outlineLevel="1" thickTop="1" thickBot="1" x14ac:dyDescent="0.5">
      <c r="A1464" s="164" t="s">
        <v>180</v>
      </c>
      <c r="B1464" s="165"/>
      <c r="C1464" s="166"/>
      <c r="D1464" s="656" t="s">
        <v>627</v>
      </c>
      <c r="E1464" s="657"/>
      <c r="F1464" s="657"/>
      <c r="G1464" s="657"/>
      <c r="H1464" s="657"/>
      <c r="I1464" s="657"/>
      <c r="J1464" s="657"/>
      <c r="K1464" s="657"/>
      <c r="L1464" s="657"/>
      <c r="M1464" s="657"/>
      <c r="N1464" s="657"/>
      <c r="O1464" s="657"/>
      <c r="P1464" s="657"/>
      <c r="Q1464" s="657"/>
      <c r="R1464" s="657"/>
      <c r="S1464" s="658"/>
      <c r="T1464" s="659" t="s">
        <v>628</v>
      </c>
      <c r="U1464" s="660"/>
      <c r="V1464" s="660"/>
      <c r="W1464" s="660"/>
      <c r="X1464" s="661"/>
      <c r="Y1464" s="662"/>
      <c r="Z1464" s="663"/>
      <c r="AA1464" s="663"/>
      <c r="AB1464" s="663"/>
      <c r="AC1464" s="664"/>
      <c r="AD1464" s="410"/>
      <c r="AE1464" s="41"/>
      <c r="AF1464" s="41"/>
      <c r="AG1464" s="41"/>
      <c r="AH1464" s="41"/>
      <c r="AI1464" s="41"/>
    </row>
    <row r="1465" spans="1:37" ht="15" customHeight="1" outlineLevel="1" thickTop="1" thickBot="1" x14ac:dyDescent="0.5">
      <c r="A1465" s="159"/>
      <c r="B1465" s="160"/>
      <c r="C1465" s="161"/>
      <c r="D1465" s="665"/>
      <c r="E1465" s="666"/>
      <c r="F1465" s="666"/>
      <c r="G1465" s="666"/>
      <c r="H1465" s="666"/>
      <c r="I1465" s="666"/>
      <c r="J1465" s="666"/>
      <c r="K1465" s="666"/>
      <c r="L1465" s="666"/>
      <c r="M1465" s="666"/>
      <c r="N1465" s="666"/>
      <c r="O1465" s="666"/>
      <c r="P1465" s="666"/>
      <c r="Q1465" s="666"/>
      <c r="R1465" s="666"/>
      <c r="S1465" s="667"/>
      <c r="T1465" s="668" t="s">
        <v>629</v>
      </c>
      <c r="U1465" s="669"/>
      <c r="V1465" s="669"/>
      <c r="W1465" s="669"/>
      <c r="X1465" s="670"/>
      <c r="Y1465" s="662"/>
      <c r="Z1465" s="663"/>
      <c r="AA1465" s="663"/>
      <c r="AB1465" s="663"/>
      <c r="AC1465" s="664"/>
      <c r="AD1465" s="410"/>
      <c r="AE1465" s="41"/>
      <c r="AF1465" s="41"/>
      <c r="AG1465" s="41"/>
      <c r="AH1465" s="41"/>
      <c r="AI1465" s="41"/>
    </row>
    <row r="1466" spans="1:37" ht="15" customHeight="1" outlineLevel="1" thickTop="1" x14ac:dyDescent="0.45">
      <c r="A1466" s="317"/>
      <c r="B1466" s="318"/>
      <c r="C1466" s="319"/>
      <c r="D1466" s="317" t="s">
        <v>630</v>
      </c>
      <c r="E1466" s="318"/>
      <c r="F1466" s="318"/>
      <c r="G1466" s="318"/>
      <c r="H1466" s="318"/>
      <c r="I1466" s="318"/>
      <c r="J1466" s="318"/>
      <c r="K1466" s="318"/>
      <c r="L1466" s="318"/>
      <c r="M1466" s="318"/>
      <c r="N1466" s="318"/>
      <c r="O1466" s="318"/>
      <c r="P1466" s="318"/>
      <c r="Q1466" s="318"/>
      <c r="R1466" s="318"/>
      <c r="S1466" s="318"/>
      <c r="T1466" s="309"/>
      <c r="U1466" s="309"/>
      <c r="V1466" s="309"/>
      <c r="W1466" s="309"/>
      <c r="X1466" s="309"/>
      <c r="Y1466" s="671" t="str">
        <f>IF(OR(AAWD_Warrant_GCR_Lookup_Road_Classification="No Value",ISBLANK(AAWD_Warrant_GCR_Observe_Sightline_Obstruction),ISBLANK(AAWD_Warrant_GCR_Observe_Environmental_Condition)),"No value",IF(OR(AAWD_Warrant_GCR_Lookup_Road_Classification="Yes",AAWD_Warrant_GCR_Observe_Sightline_Obstruction="Yes",AAWD_Warrant_GCR_Observe_Environmental_Condition="Yes"),"Yes","No"))</f>
        <v>No value</v>
      </c>
      <c r="Z1466" s="671"/>
      <c r="AA1466" s="671"/>
      <c r="AB1466" s="671"/>
      <c r="AC1466" s="672"/>
      <c r="AD1466" s="366" t="s">
        <v>631</v>
      </c>
      <c r="AE1466" s="367"/>
      <c r="AF1466" s="367"/>
      <c r="AG1466" s="367"/>
      <c r="AH1466" s="367"/>
      <c r="AI1466" s="367"/>
    </row>
    <row r="1467" spans="1:37" ht="15" customHeight="1" outlineLevel="1" x14ac:dyDescent="0.45">
      <c r="A1467" s="46"/>
      <c r="B1467" s="47"/>
      <c r="C1467" s="384"/>
      <c r="D1467" s="279" t="s">
        <v>632</v>
      </c>
      <c r="E1467" s="111"/>
      <c r="F1467" s="111"/>
      <c r="G1467" s="111"/>
      <c r="H1467" s="111"/>
      <c r="I1467" s="111"/>
      <c r="J1467" s="111"/>
      <c r="K1467" s="111"/>
      <c r="L1467" s="111"/>
      <c r="M1467" s="111"/>
      <c r="N1467" s="111"/>
      <c r="O1467" s="111"/>
      <c r="P1467" s="111"/>
      <c r="Q1467" s="111"/>
      <c r="R1467" s="111"/>
      <c r="S1467" s="111"/>
      <c r="T1467" s="111"/>
      <c r="U1467" s="111"/>
      <c r="V1467" s="111"/>
      <c r="W1467" s="111"/>
      <c r="X1467" s="111"/>
      <c r="Y1467" s="111"/>
      <c r="Z1467" s="111"/>
      <c r="AA1467" s="111"/>
      <c r="AB1467" s="110"/>
      <c r="AC1467" s="113"/>
      <c r="AD1467" s="154"/>
      <c r="AE1467" s="155"/>
      <c r="AF1467" s="155"/>
      <c r="AG1467" s="155"/>
      <c r="AH1467" s="155"/>
      <c r="AI1467" s="155"/>
      <c r="AK1467" s="6" t="s">
        <v>633</v>
      </c>
    </row>
    <row r="1468" spans="1:37" ht="15" customHeight="1" outlineLevel="1" x14ac:dyDescent="0.45">
      <c r="A1468" s="202" t="s">
        <v>155</v>
      </c>
      <c r="B1468" s="376"/>
      <c r="C1468" s="377"/>
      <c r="D1468" s="205" t="s">
        <v>409</v>
      </c>
      <c r="E1468" s="117" t="s">
        <v>634</v>
      </c>
      <c r="F1468" s="117"/>
      <c r="G1468" s="117"/>
      <c r="H1468" s="117"/>
      <c r="I1468" s="117"/>
      <c r="J1468" s="117"/>
      <c r="K1468" s="117"/>
      <c r="L1468" s="117"/>
      <c r="M1468" s="117"/>
      <c r="N1468" s="117"/>
      <c r="O1468" s="117"/>
      <c r="P1468" s="117"/>
      <c r="Q1468" s="118"/>
      <c r="R1468" s="118"/>
      <c r="S1468" s="118"/>
      <c r="T1468" s="118"/>
      <c r="U1468" s="118"/>
      <c r="V1468" s="118"/>
      <c r="W1468" s="118"/>
      <c r="X1468" s="118"/>
      <c r="Y1468" s="53" t="str">
        <f>IF(ISBLANK(General_Info_Road_Classification),"No Value",IF(ISNUMBER(SEARCH("Freeway",General_Info_Road_Classification,1)),"Yes","No"))</f>
        <v>No Value</v>
      </c>
      <c r="Z1468" s="53"/>
      <c r="AA1468" s="53"/>
      <c r="AB1468" s="53"/>
      <c r="AC1468" s="463"/>
      <c r="AD1468" s="214" t="s">
        <v>635</v>
      </c>
      <c r="AE1468" s="215"/>
      <c r="AF1468" s="215"/>
      <c r="AG1468" s="215"/>
      <c r="AH1468" s="215"/>
      <c r="AI1468" s="216"/>
    </row>
    <row r="1469" spans="1:37" ht="15" customHeight="1" outlineLevel="1" x14ac:dyDescent="0.45">
      <c r="A1469" s="164" t="s">
        <v>180</v>
      </c>
      <c r="B1469" s="165"/>
      <c r="C1469" s="166"/>
      <c r="D1469" s="50" t="s">
        <v>417</v>
      </c>
      <c r="E1469" s="284" t="s">
        <v>636</v>
      </c>
      <c r="F1469" s="284"/>
      <c r="G1469" s="284"/>
      <c r="H1469" s="284"/>
      <c r="I1469" s="284"/>
      <c r="J1469" s="284"/>
      <c r="K1469" s="284"/>
      <c r="L1469" s="284"/>
      <c r="M1469" s="284"/>
      <c r="N1469" s="284"/>
      <c r="O1469" s="284"/>
      <c r="P1469" s="284"/>
      <c r="Q1469" s="284"/>
      <c r="R1469" s="284"/>
      <c r="S1469" s="284"/>
      <c r="T1469" s="284"/>
      <c r="U1469" s="284"/>
      <c r="V1469" s="284"/>
      <c r="W1469" s="284"/>
      <c r="X1469" s="284"/>
      <c r="Y1469" s="89"/>
      <c r="Z1469" s="89"/>
      <c r="AA1469" s="89"/>
      <c r="AB1469" s="89"/>
      <c r="AC1469" s="291"/>
      <c r="AD1469" s="147" t="s">
        <v>637</v>
      </c>
      <c r="AE1469" s="148"/>
      <c r="AF1469" s="148"/>
      <c r="AG1469" s="148"/>
      <c r="AH1469" s="148"/>
      <c r="AI1469" s="201"/>
    </row>
    <row r="1470" spans="1:37" ht="15" customHeight="1" outlineLevel="1" x14ac:dyDescent="0.45">
      <c r="A1470" s="159"/>
      <c r="B1470" s="160"/>
      <c r="C1470" s="161"/>
      <c r="D1470" s="468"/>
      <c r="E1470" s="286"/>
      <c r="F1470" s="286"/>
      <c r="G1470" s="286"/>
      <c r="H1470" s="286"/>
      <c r="I1470" s="286"/>
      <c r="J1470" s="286"/>
      <c r="K1470" s="286"/>
      <c r="L1470" s="286"/>
      <c r="M1470" s="286"/>
      <c r="N1470" s="286"/>
      <c r="O1470" s="286"/>
      <c r="P1470" s="286"/>
      <c r="Q1470" s="286"/>
      <c r="R1470" s="286"/>
      <c r="S1470" s="286"/>
      <c r="T1470" s="286"/>
      <c r="U1470" s="286"/>
      <c r="V1470" s="286"/>
      <c r="W1470" s="286"/>
      <c r="X1470" s="286"/>
      <c r="Y1470" s="48"/>
      <c r="Z1470" s="48"/>
      <c r="AA1470" s="48"/>
      <c r="AB1470" s="48"/>
      <c r="AC1470" s="49"/>
      <c r="AD1470" s="154"/>
      <c r="AE1470" s="155"/>
      <c r="AF1470" s="155"/>
      <c r="AG1470" s="155"/>
      <c r="AH1470" s="155"/>
      <c r="AI1470" s="194"/>
    </row>
    <row r="1471" spans="1:37" ht="15" customHeight="1" outlineLevel="1" x14ac:dyDescent="0.45">
      <c r="A1471" s="164" t="s">
        <v>180</v>
      </c>
      <c r="B1471" s="165"/>
      <c r="C1471" s="166"/>
      <c r="D1471" s="50" t="s">
        <v>422</v>
      </c>
      <c r="E1471" s="284" t="s">
        <v>638</v>
      </c>
      <c r="F1471" s="284"/>
      <c r="G1471" s="284"/>
      <c r="H1471" s="284"/>
      <c r="I1471" s="284"/>
      <c r="J1471" s="284"/>
      <c r="K1471" s="284"/>
      <c r="L1471" s="284"/>
      <c r="M1471" s="284"/>
      <c r="N1471" s="284"/>
      <c r="O1471" s="284"/>
      <c r="P1471" s="284"/>
      <c r="Q1471" s="284"/>
      <c r="R1471" s="284"/>
      <c r="S1471" s="284"/>
      <c r="T1471" s="284"/>
      <c r="U1471" s="284"/>
      <c r="V1471" s="284"/>
      <c r="W1471" s="284"/>
      <c r="X1471" s="284"/>
      <c r="Y1471" s="89"/>
      <c r="Z1471" s="89"/>
      <c r="AA1471" s="89"/>
      <c r="AB1471" s="89"/>
      <c r="AC1471" s="291"/>
      <c r="AD1471" s="147" t="s">
        <v>639</v>
      </c>
      <c r="AE1471" s="148"/>
      <c r="AF1471" s="148"/>
      <c r="AG1471" s="148"/>
      <c r="AH1471" s="148"/>
      <c r="AI1471" s="201"/>
    </row>
    <row r="1472" spans="1:37" ht="15" customHeight="1" outlineLevel="1" x14ac:dyDescent="0.45">
      <c r="A1472" s="159"/>
      <c r="B1472" s="160"/>
      <c r="C1472" s="161"/>
      <c r="D1472" s="468"/>
      <c r="E1472" s="286"/>
      <c r="F1472" s="286"/>
      <c r="G1472" s="286"/>
      <c r="H1472" s="286"/>
      <c r="I1472" s="286"/>
      <c r="J1472" s="286"/>
      <c r="K1472" s="286"/>
      <c r="L1472" s="286"/>
      <c r="M1472" s="286"/>
      <c r="N1472" s="286"/>
      <c r="O1472" s="286"/>
      <c r="P1472" s="286"/>
      <c r="Q1472" s="286"/>
      <c r="R1472" s="286"/>
      <c r="S1472" s="286"/>
      <c r="T1472" s="286"/>
      <c r="U1472" s="286"/>
      <c r="V1472" s="286"/>
      <c r="W1472" s="286"/>
      <c r="X1472" s="286"/>
      <c r="Y1472" s="48"/>
      <c r="Z1472" s="48"/>
      <c r="AA1472" s="48"/>
      <c r="AB1472" s="48"/>
      <c r="AC1472" s="49"/>
      <c r="AD1472" s="154"/>
      <c r="AE1472" s="155"/>
      <c r="AF1472" s="155"/>
      <c r="AG1472" s="155"/>
      <c r="AH1472" s="155"/>
      <c r="AI1472" s="194"/>
    </row>
    <row r="1473" spans="1:35" ht="15" customHeight="1" outlineLevel="1" x14ac:dyDescent="0.45">
      <c r="A1473" s="202" t="s">
        <v>155</v>
      </c>
      <c r="B1473" s="376"/>
      <c r="C1473" s="377"/>
      <c r="D1473" s="54" t="s">
        <v>640</v>
      </c>
      <c r="E1473" s="55"/>
      <c r="F1473" s="55"/>
      <c r="G1473" s="55"/>
      <c r="H1473" s="55"/>
      <c r="I1473" s="55"/>
      <c r="J1473" s="55"/>
      <c r="K1473" s="55"/>
      <c r="L1473" s="55"/>
      <c r="M1473" s="55"/>
      <c r="N1473" s="55"/>
      <c r="O1473" s="55"/>
      <c r="P1473" s="55"/>
      <c r="Q1473" s="55"/>
      <c r="R1473" s="55"/>
      <c r="S1473" s="55"/>
      <c r="T1473" s="118"/>
      <c r="U1473" s="118"/>
      <c r="V1473" s="118"/>
      <c r="W1473" s="118"/>
      <c r="X1473" s="118"/>
      <c r="Y1473" s="53" t="str">
        <f>IF(OR(Y1475="No Value",ISBLANK(Y1476)),"No Value",IF(OR(Y1475="Yes",Y1476="Yes"),"Yes","No"))</f>
        <v>No Value</v>
      </c>
      <c r="Z1473" s="53"/>
      <c r="AA1473" s="53"/>
      <c r="AB1473" s="53"/>
      <c r="AC1473" s="463"/>
      <c r="AD1473" s="269" t="s">
        <v>641</v>
      </c>
      <c r="AE1473" s="329"/>
      <c r="AF1473" s="329"/>
      <c r="AG1473" s="329"/>
      <c r="AH1473" s="329"/>
      <c r="AI1473" s="330"/>
    </row>
    <row r="1474" spans="1:35" ht="15" customHeight="1" outlineLevel="1" x14ac:dyDescent="0.45">
      <c r="A1474" s="202"/>
      <c r="B1474" s="376"/>
      <c r="C1474" s="377"/>
      <c r="D1474" s="116" t="s">
        <v>642</v>
      </c>
      <c r="E1474" s="117"/>
      <c r="F1474" s="117"/>
      <c r="G1474" s="117"/>
      <c r="H1474" s="117"/>
      <c r="I1474" s="117"/>
      <c r="J1474" s="117"/>
      <c r="K1474" s="117"/>
      <c r="L1474" s="117"/>
      <c r="M1474" s="117"/>
      <c r="N1474" s="117"/>
      <c r="O1474" s="117"/>
      <c r="P1474" s="117"/>
      <c r="Q1474" s="117"/>
      <c r="R1474" s="117"/>
      <c r="S1474" s="117"/>
      <c r="T1474" s="117"/>
      <c r="U1474" s="117"/>
      <c r="V1474" s="117"/>
      <c r="W1474" s="117"/>
      <c r="X1474" s="117"/>
      <c r="Y1474" s="117"/>
      <c r="Z1474" s="117"/>
      <c r="AA1474" s="117"/>
      <c r="AB1474" s="117"/>
      <c r="AC1474" s="203"/>
      <c r="AD1474" s="340"/>
      <c r="AE1474" s="341"/>
      <c r="AF1474" s="341"/>
      <c r="AG1474" s="341"/>
      <c r="AH1474" s="341"/>
      <c r="AI1474" s="342"/>
    </row>
    <row r="1475" spans="1:35" ht="15" customHeight="1" outlineLevel="1" x14ac:dyDescent="0.45">
      <c r="A1475" s="202" t="s">
        <v>155</v>
      </c>
      <c r="B1475" s="376"/>
      <c r="C1475" s="377"/>
      <c r="D1475" s="205" t="s">
        <v>425</v>
      </c>
      <c r="E1475" s="117" t="s">
        <v>643</v>
      </c>
      <c r="F1475" s="117"/>
      <c r="G1475" s="117"/>
      <c r="H1475" s="117"/>
      <c r="I1475" s="117"/>
      <c r="J1475" s="117"/>
      <c r="K1475" s="117"/>
      <c r="L1475" s="117"/>
      <c r="M1475" s="117"/>
      <c r="N1475" s="117"/>
      <c r="O1475" s="117"/>
      <c r="P1475" s="117"/>
      <c r="Q1475" s="117"/>
      <c r="R1475" s="117"/>
      <c r="S1475" s="117"/>
      <c r="T1475" s="118"/>
      <c r="U1475" s="118"/>
      <c r="V1475" s="118"/>
      <c r="W1475" s="118"/>
      <c r="X1475" s="118"/>
      <c r="Y1475" s="53" t="str">
        <f>IF(ISBLANK(General_Info_Road_Speed_Design),"No Value",IF(General_Info_Road_Speed_Design&gt;90,"Yes","No"))</f>
        <v>No Value</v>
      </c>
      <c r="Z1475" s="53"/>
      <c r="AA1475" s="53"/>
      <c r="AB1475" s="53"/>
      <c r="AC1475" s="463"/>
      <c r="AD1475" s="214" t="s">
        <v>644</v>
      </c>
      <c r="AE1475" s="215"/>
      <c r="AF1475" s="215"/>
      <c r="AG1475" s="215"/>
      <c r="AH1475" s="215"/>
      <c r="AI1475" s="216"/>
    </row>
    <row r="1476" spans="1:35" ht="15" customHeight="1" outlineLevel="1" thickBot="1" x14ac:dyDescent="0.5">
      <c r="A1476" s="673" t="s">
        <v>180</v>
      </c>
      <c r="B1476" s="674"/>
      <c r="C1476" s="675"/>
      <c r="D1476" s="28" t="s">
        <v>645</v>
      </c>
      <c r="E1476" s="676" t="s">
        <v>646</v>
      </c>
      <c r="F1476" s="676"/>
      <c r="G1476" s="676"/>
      <c r="H1476" s="676"/>
      <c r="I1476" s="676"/>
      <c r="J1476" s="676"/>
      <c r="K1476" s="676"/>
      <c r="L1476" s="676"/>
      <c r="M1476" s="676"/>
      <c r="N1476" s="676"/>
      <c r="O1476" s="676"/>
      <c r="P1476" s="676"/>
      <c r="Q1476" s="676"/>
      <c r="R1476" s="676"/>
      <c r="S1476" s="676"/>
      <c r="T1476" s="676"/>
      <c r="U1476" s="676"/>
      <c r="V1476" s="676"/>
      <c r="W1476" s="676"/>
      <c r="Y1476" s="677"/>
      <c r="Z1476" s="677"/>
      <c r="AA1476" s="677"/>
      <c r="AB1476" s="677"/>
      <c r="AC1476" s="678"/>
      <c r="AD1476" s="679" t="s">
        <v>644</v>
      </c>
      <c r="AE1476" s="680"/>
      <c r="AF1476" s="680"/>
      <c r="AG1476" s="680"/>
      <c r="AH1476" s="680"/>
      <c r="AI1476" s="681"/>
    </row>
    <row r="1477" spans="1:35" ht="15" customHeight="1" outlineLevel="1" thickTop="1" x14ac:dyDescent="0.45">
      <c r="A1477" s="682"/>
      <c r="B1477" s="309"/>
      <c r="C1477" s="310"/>
      <c r="D1477" s="683" t="s">
        <v>647</v>
      </c>
      <c r="E1477" s="309"/>
      <c r="F1477" s="309"/>
      <c r="G1477" s="309"/>
      <c r="H1477" s="309"/>
      <c r="I1477" s="309"/>
      <c r="J1477" s="309"/>
      <c r="K1477" s="309"/>
      <c r="L1477" s="309"/>
      <c r="M1477" s="309"/>
      <c r="N1477" s="309"/>
      <c r="O1477" s="309"/>
      <c r="P1477" s="309"/>
      <c r="Q1477" s="309"/>
      <c r="R1477" s="309"/>
      <c r="S1477" s="309"/>
      <c r="T1477" s="309"/>
      <c r="U1477" s="309"/>
      <c r="V1477" s="309"/>
      <c r="W1477" s="309"/>
      <c r="X1477" s="309"/>
      <c r="Y1477" s="309"/>
      <c r="Z1477" s="309"/>
      <c r="AA1477" s="309"/>
      <c r="AB1477" s="309"/>
      <c r="AC1477" s="310"/>
      <c r="AD1477" s="582" t="s">
        <v>648</v>
      </c>
      <c r="AE1477" s="583"/>
      <c r="AF1477" s="583"/>
      <c r="AG1477" s="583"/>
      <c r="AH1477" s="583"/>
      <c r="AI1477" s="584"/>
    </row>
    <row r="1478" spans="1:35" ht="15" customHeight="1" outlineLevel="1" x14ac:dyDescent="0.45">
      <c r="A1478" s="24"/>
      <c r="C1478" s="25"/>
      <c r="D1478" s="684" t="s">
        <v>649</v>
      </c>
      <c r="AC1478" s="25"/>
      <c r="AD1478" s="333"/>
      <c r="AE1478" s="334"/>
      <c r="AF1478" s="334"/>
      <c r="AG1478" s="334"/>
      <c r="AH1478" s="334"/>
      <c r="AI1478" s="335"/>
    </row>
    <row r="1479" spans="1:35" ht="15" customHeight="1" outlineLevel="1" x14ac:dyDescent="0.45">
      <c r="A1479" s="24"/>
      <c r="C1479" s="25"/>
      <c r="D1479" s="302" t="s">
        <v>650</v>
      </c>
      <c r="E1479" s="350" t="s">
        <v>90</v>
      </c>
      <c r="F1479" s="6" t="s">
        <v>651</v>
      </c>
      <c r="AC1479" s="25"/>
      <c r="AD1479" s="333"/>
      <c r="AE1479" s="334"/>
      <c r="AF1479" s="334"/>
      <c r="AG1479" s="334"/>
      <c r="AH1479" s="334"/>
      <c r="AI1479" s="335"/>
    </row>
    <row r="1480" spans="1:35" ht="15" customHeight="1" outlineLevel="1" x14ac:dyDescent="0.45">
      <c r="A1480" s="369" t="s">
        <v>155</v>
      </c>
      <c r="B1480" s="370"/>
      <c r="C1480" s="371"/>
      <c r="D1480" s="24"/>
      <c r="G1480" s="6" t="s">
        <v>652</v>
      </c>
      <c r="I1480" s="350" t="s">
        <v>90</v>
      </c>
      <c r="J1480" s="162" t="str">
        <f>IF(ISBLANK(General_Info_Road_Speed_Posted),"No Value",General_Info_Road_Speed_Posted)</f>
        <v>No Value</v>
      </c>
      <c r="K1480" s="162"/>
      <c r="L1480" s="162"/>
      <c r="M1480" s="162"/>
      <c r="N1480" s="6" t="s">
        <v>104</v>
      </c>
      <c r="Q1480" s="6" t="s">
        <v>653</v>
      </c>
      <c r="AC1480" s="25"/>
      <c r="AD1480" s="333"/>
      <c r="AE1480" s="334"/>
      <c r="AF1480" s="334"/>
      <c r="AG1480" s="334"/>
      <c r="AH1480" s="334"/>
      <c r="AI1480" s="335"/>
    </row>
    <row r="1481" spans="1:35" ht="15" customHeight="1" outlineLevel="1" x14ac:dyDescent="0.45">
      <c r="A1481" s="369" t="s">
        <v>155</v>
      </c>
      <c r="B1481" s="370"/>
      <c r="C1481" s="371"/>
      <c r="D1481" s="24"/>
      <c r="G1481" s="6" t="s">
        <v>654</v>
      </c>
      <c r="I1481" s="350" t="s">
        <v>90</v>
      </c>
      <c r="J1481" s="162">
        <v>2</v>
      </c>
      <c r="K1481" s="162"/>
      <c r="L1481" s="162"/>
      <c r="M1481" s="162"/>
      <c r="N1481" s="6" t="s">
        <v>655</v>
      </c>
      <c r="Q1481" s="6" t="s">
        <v>656</v>
      </c>
      <c r="AC1481" s="25"/>
      <c r="AD1481" s="333"/>
      <c r="AE1481" s="334"/>
      <c r="AF1481" s="334"/>
      <c r="AG1481" s="334"/>
      <c r="AH1481" s="334"/>
      <c r="AI1481" s="335"/>
    </row>
    <row r="1482" spans="1:35" ht="15" customHeight="1" outlineLevel="1" x14ac:dyDescent="0.45">
      <c r="A1482" s="369" t="s">
        <v>155</v>
      </c>
      <c r="B1482" s="370"/>
      <c r="C1482" s="371"/>
      <c r="D1482" s="24"/>
      <c r="G1482" s="6" t="s">
        <v>657</v>
      </c>
      <c r="I1482" s="350" t="s">
        <v>90</v>
      </c>
      <c r="J1482" s="162">
        <v>2.6</v>
      </c>
      <c r="K1482" s="162"/>
      <c r="L1482" s="162"/>
      <c r="M1482" s="162"/>
      <c r="N1482" s="6" t="s">
        <v>658</v>
      </c>
      <c r="Q1482" s="6" t="s">
        <v>659</v>
      </c>
      <c r="AC1482" s="25"/>
      <c r="AD1482" s="333"/>
      <c r="AE1482" s="334"/>
      <c r="AF1482" s="334"/>
      <c r="AG1482" s="334"/>
      <c r="AH1482" s="334"/>
      <c r="AI1482" s="335"/>
    </row>
    <row r="1483" spans="1:35" ht="15" customHeight="1" outlineLevel="1" x14ac:dyDescent="0.45">
      <c r="A1483" s="369" t="s">
        <v>155</v>
      </c>
      <c r="B1483" s="370"/>
      <c r="C1483" s="371"/>
      <c r="D1483" s="24"/>
      <c r="G1483" s="6" t="str">
        <f>"G" &amp; V$1</f>
        <v>GN</v>
      </c>
      <c r="I1483" s="350" t="s">
        <v>90</v>
      </c>
      <c r="J1483" s="210" t="str">
        <f>IF(ISBLANK(Road_Geometry_Road_General_Approach_Grade_N_or_E_Approach),"No Value",Road_Geometry_Road_General_Approach_Grade_N_or_E_Approach)</f>
        <v>No Value</v>
      </c>
      <c r="K1483" s="210"/>
      <c r="L1483" s="210"/>
      <c r="M1483" s="210"/>
      <c r="N1483" s="6" t="s">
        <v>660</v>
      </c>
      <c r="Q1483" s="6" t="s">
        <v>661</v>
      </c>
      <c r="AC1483" s="25"/>
      <c r="AD1483" s="333"/>
      <c r="AE1483" s="334"/>
      <c r="AF1483" s="334"/>
      <c r="AG1483" s="334"/>
      <c r="AH1483" s="334"/>
      <c r="AI1483" s="335"/>
    </row>
    <row r="1484" spans="1:35" ht="15" customHeight="1" outlineLevel="1" x14ac:dyDescent="0.45">
      <c r="A1484" s="369" t="s">
        <v>155</v>
      </c>
      <c r="B1484" s="370"/>
      <c r="C1484" s="371"/>
      <c r="D1484" s="24"/>
      <c r="G1484" s="6" t="str">
        <f>"G" &amp; Z$1</f>
        <v>GS</v>
      </c>
      <c r="I1484" s="350" t="s">
        <v>90</v>
      </c>
      <c r="J1484" s="210" t="str">
        <f>IF(ISBLANK(Road_Geometry_Road_General_Approach_Grade_S_or_W_Approach),"No Value",Road_Geometry_Road_General_Approach_Grade_S_or_W_Approach)</f>
        <v>No Value</v>
      </c>
      <c r="K1484" s="210"/>
      <c r="L1484" s="210"/>
      <c r="M1484" s="210"/>
      <c r="N1484" s="6" t="s">
        <v>660</v>
      </c>
      <c r="Q1484" s="6" t="s">
        <v>662</v>
      </c>
      <c r="AC1484" s="25"/>
      <c r="AD1484" s="333"/>
      <c r="AE1484" s="334"/>
      <c r="AF1484" s="334"/>
      <c r="AG1484" s="334"/>
      <c r="AH1484" s="334"/>
      <c r="AI1484" s="335"/>
    </row>
    <row r="1485" spans="1:35" ht="15" customHeight="1" outlineLevel="1" x14ac:dyDescent="0.45">
      <c r="A1485" s="369" t="s">
        <v>155</v>
      </c>
      <c r="B1485" s="370"/>
      <c r="C1485" s="371"/>
      <c r="D1485" s="24"/>
      <c r="G1485" s="6" t="s">
        <v>663</v>
      </c>
      <c r="I1485" s="350" t="s">
        <v>90</v>
      </c>
      <c r="J1485" s="162">
        <v>9.81</v>
      </c>
      <c r="K1485" s="162"/>
      <c r="L1485" s="162"/>
      <c r="M1485" s="162"/>
      <c r="N1485" s="6" t="s">
        <v>658</v>
      </c>
      <c r="Q1485" s="6" t="s">
        <v>664</v>
      </c>
      <c r="AC1485" s="25"/>
      <c r="AD1485" s="333"/>
      <c r="AE1485" s="334"/>
      <c r="AF1485" s="334"/>
      <c r="AG1485" s="334"/>
      <c r="AH1485" s="334"/>
      <c r="AI1485" s="335"/>
    </row>
    <row r="1486" spans="1:35" ht="15" customHeight="1" outlineLevel="1" x14ac:dyDescent="0.45">
      <c r="A1486" s="24"/>
      <c r="C1486" s="25"/>
      <c r="D1486" s="96" t="s">
        <v>665</v>
      </c>
      <c r="E1486" s="97"/>
      <c r="F1486" s="97"/>
      <c r="G1486" s="97"/>
      <c r="H1486" s="97"/>
      <c r="I1486" s="97"/>
      <c r="J1486" s="97"/>
      <c r="K1486" s="97"/>
      <c r="L1486" s="97"/>
      <c r="M1486" s="97"/>
      <c r="N1486" s="97"/>
      <c r="O1486" s="97"/>
      <c r="P1486" s="97"/>
      <c r="Q1486" s="97"/>
      <c r="R1486" s="97"/>
      <c r="S1486" s="97"/>
      <c r="T1486" s="97"/>
      <c r="U1486" s="97"/>
      <c r="V1486" s="97"/>
      <c r="AC1486" s="25"/>
      <c r="AD1486" s="333"/>
      <c r="AE1486" s="334"/>
      <c r="AF1486" s="334"/>
      <c r="AG1486" s="334"/>
      <c r="AH1486" s="334"/>
      <c r="AI1486" s="335"/>
    </row>
    <row r="1487" spans="1:35" ht="15" customHeight="1" outlineLevel="1" x14ac:dyDescent="0.45">
      <c r="A1487" s="109"/>
      <c r="B1487" s="110"/>
      <c r="C1487" s="113"/>
      <c r="D1487" s="109"/>
      <c r="E1487" s="111" t="str">
        <f>V$1 &amp; " Road Approach"</f>
        <v>N Road Approach</v>
      </c>
      <c r="F1487" s="111"/>
      <c r="G1487" s="111"/>
      <c r="H1487" s="111"/>
      <c r="I1487" s="111"/>
      <c r="J1487" s="627" t="str">
        <f>IF(OR(J1480="No Value",J1483="No Value",J1484="No Value"),"No Value",SUM((J1480*J1481/3.6),(J1480^2)/(25.92*(SUM(J1482,J1483*J1485)))))</f>
        <v>No Value</v>
      </c>
      <c r="K1487" s="627"/>
      <c r="L1487" s="627"/>
      <c r="M1487" s="627"/>
      <c r="N1487" s="142" t="s">
        <v>157</v>
      </c>
      <c r="O1487" s="142"/>
      <c r="P1487" s="111" t="str">
        <f>Z$1 &amp; " Road Approach"</f>
        <v>S Road Approach</v>
      </c>
      <c r="Q1487" s="111"/>
      <c r="R1487" s="111"/>
      <c r="S1487" s="111"/>
      <c r="T1487" s="111"/>
      <c r="U1487" s="627" t="str">
        <f>IF(OR(J1480="No Value",J1483="No Value",J1484="No Value"),"No Value",SUM((J1480*J1481/3.6),(J1480^2)/(25.92*(SUM(J1482,J1484*J1485)))))</f>
        <v>No Value</v>
      </c>
      <c r="V1487" s="627"/>
      <c r="W1487" s="627"/>
      <c r="X1487" s="627"/>
      <c r="Y1487" s="142" t="s">
        <v>157</v>
      </c>
      <c r="Z1487" s="142"/>
      <c r="AA1487" s="110"/>
      <c r="AB1487" s="110"/>
      <c r="AC1487" s="113"/>
      <c r="AD1487" s="340"/>
      <c r="AE1487" s="341"/>
      <c r="AF1487" s="341"/>
      <c r="AG1487" s="341"/>
      <c r="AH1487" s="341"/>
      <c r="AI1487" s="342"/>
    </row>
    <row r="1488" spans="1:35" ht="15" customHeight="1" outlineLevel="1" x14ac:dyDescent="0.45">
      <c r="A1488" s="164" t="s">
        <v>159</v>
      </c>
      <c r="B1488" s="165"/>
      <c r="C1488" s="166"/>
      <c r="D1488" s="347" t="s">
        <v>666</v>
      </c>
      <c r="E1488" s="18"/>
      <c r="F1488" s="18"/>
      <c r="G1488" s="18"/>
      <c r="H1488" s="18"/>
      <c r="I1488" s="18"/>
      <c r="J1488" s="18"/>
      <c r="K1488" s="18"/>
      <c r="L1488" s="18"/>
      <c r="M1488" s="18"/>
      <c r="N1488" s="18"/>
      <c r="O1488" s="18"/>
      <c r="P1488" s="18"/>
      <c r="Q1488" s="18"/>
      <c r="R1488" s="18"/>
      <c r="S1488" s="18"/>
      <c r="T1488" s="18"/>
      <c r="U1488" s="18"/>
      <c r="V1488" s="18"/>
      <c r="W1488" s="18"/>
      <c r="X1488" s="18"/>
      <c r="Y1488" s="18"/>
      <c r="Z1488" s="18"/>
      <c r="AA1488" s="18"/>
      <c r="AB1488" s="18"/>
      <c r="AC1488" s="19"/>
      <c r="AD1488" s="395"/>
      <c r="AE1488" s="92"/>
      <c r="AF1488" s="92"/>
      <c r="AG1488" s="92"/>
      <c r="AH1488" s="92"/>
      <c r="AI1488" s="93"/>
    </row>
    <row r="1489" spans="1:35" ht="15" customHeight="1" outlineLevel="1" x14ac:dyDescent="0.45">
      <c r="A1489" s="159"/>
      <c r="B1489" s="160"/>
      <c r="C1489" s="161"/>
      <c r="D1489" s="109"/>
      <c r="E1489" s="111" t="str">
        <f>V$1 &amp; " Road Approach"</f>
        <v>N Road Approach</v>
      </c>
      <c r="F1489" s="111"/>
      <c r="G1489" s="111"/>
      <c r="H1489" s="111"/>
      <c r="I1489" s="111"/>
      <c r="J1489" s="48"/>
      <c r="K1489" s="48"/>
      <c r="L1489" s="48"/>
      <c r="M1489" s="142" t="s">
        <v>157</v>
      </c>
      <c r="N1489" s="110"/>
      <c r="O1489" s="142"/>
      <c r="P1489" s="111" t="str">
        <f>Z$1 &amp; " Road Approach"</f>
        <v>S Road Approach</v>
      </c>
      <c r="Q1489" s="111"/>
      <c r="R1489" s="111"/>
      <c r="S1489" s="111"/>
      <c r="T1489" s="111"/>
      <c r="U1489" s="48"/>
      <c r="V1489" s="48"/>
      <c r="W1489" s="48"/>
      <c r="X1489" s="142" t="s">
        <v>157</v>
      </c>
      <c r="Y1489" s="110"/>
      <c r="Z1489" s="142"/>
      <c r="AA1489" s="110"/>
      <c r="AB1489" s="110"/>
      <c r="AC1489" s="113"/>
      <c r="AD1489" s="143"/>
      <c r="AE1489" s="103"/>
      <c r="AF1489" s="103"/>
      <c r="AG1489" s="103"/>
      <c r="AH1489" s="103"/>
      <c r="AI1489" s="104"/>
    </row>
    <row r="1490" spans="1:35" ht="15" customHeight="1" outlineLevel="1" x14ac:dyDescent="0.45">
      <c r="A1490" s="685"/>
      <c r="B1490" s="686"/>
      <c r="C1490" s="687"/>
      <c r="D1490" s="31" t="s">
        <v>667</v>
      </c>
      <c r="E1490" s="32"/>
      <c r="F1490" s="32"/>
      <c r="G1490" s="32"/>
      <c r="H1490" s="32"/>
      <c r="I1490" s="32"/>
      <c r="J1490" s="32"/>
      <c r="K1490" s="32"/>
      <c r="L1490" s="32"/>
      <c r="M1490" s="32"/>
      <c r="N1490" s="32"/>
      <c r="O1490" s="32"/>
      <c r="P1490" s="32"/>
      <c r="Q1490" s="32"/>
      <c r="R1490" s="32"/>
      <c r="S1490" s="32"/>
      <c r="T1490" s="32"/>
      <c r="U1490" s="32"/>
      <c r="V1490" s="32"/>
      <c r="W1490" s="32"/>
      <c r="X1490" s="32"/>
      <c r="Y1490" s="32"/>
      <c r="Z1490" s="32"/>
      <c r="AD1490" s="135"/>
      <c r="AE1490" s="126"/>
      <c r="AF1490" s="126"/>
      <c r="AG1490" s="126"/>
      <c r="AH1490" s="126"/>
      <c r="AI1490" s="127"/>
    </row>
    <row r="1491" spans="1:35" ht="15" customHeight="1" outlineLevel="1" x14ac:dyDescent="0.45">
      <c r="A1491" s="54" t="s">
        <v>668</v>
      </c>
      <c r="B1491" s="55"/>
      <c r="C1491" s="56"/>
      <c r="D1491" s="86" t="s">
        <v>669</v>
      </c>
      <c r="E1491" s="87"/>
      <c r="F1491" s="87"/>
      <c r="G1491" s="87"/>
      <c r="H1491" s="87"/>
      <c r="I1491" s="87"/>
      <c r="J1491" s="87"/>
      <c r="K1491" s="87"/>
      <c r="L1491" s="87"/>
      <c r="M1491" s="87"/>
      <c r="N1491" s="87"/>
      <c r="O1491" s="87"/>
      <c r="P1491" s="87" t="str">
        <f>V$1 &amp; " Approach"</f>
        <v>N Approach</v>
      </c>
      <c r="Q1491" s="87"/>
      <c r="R1491" s="87"/>
      <c r="S1491" s="87"/>
      <c r="T1491" s="364" t="str">
        <f>IF(OR(ISBLANK(General_Info_Road_Speed_Design),Design_Calculate_Vehicle_Travel_Distance="No Value",AAWD_Calculate_Distance_Sign_and_Stop_N_or_E_Approach_Recommended="No Value"),"No Value",ROUND(3.6*SUM(Design_Calculate_Vehicle_Travel_Distance,AAWD_Calculate_Distance_Sign_and_Stop_N_or_E_Approach_Recommended)/General_Info_Road_Speed_Design,2))</f>
        <v>No Value</v>
      </c>
      <c r="U1491" s="364"/>
      <c r="V1491" s="364"/>
      <c r="W1491" s="87" t="str">
        <f>Z$1 &amp; " Approach"</f>
        <v>S Approach</v>
      </c>
      <c r="X1491" s="87"/>
      <c r="Y1491" s="87"/>
      <c r="Z1491" s="87"/>
      <c r="AA1491" s="364" t="str">
        <f>IF(OR(ISBLANK(General_Info_Road_Speed_Design),Design_Calculate_Vehicle_Travel_Distance="No Value",AAWD_Calculate_Distance_Sign_and_Stop_S_or_W_Approach_Recommended="No Value"),"No Value",ROUND(3.6*SUM(Design_Calculate_Vehicle_Travel_Distance,AAWD_Calculate_Distance_Sign_and_Stop_S_or_W_Approach_Recommended)/General_Info_Road_Speed_Design,2))</f>
        <v>No Value</v>
      </c>
      <c r="AB1491" s="364"/>
      <c r="AC1491" s="365"/>
      <c r="AD1491" s="147" t="s">
        <v>670</v>
      </c>
      <c r="AE1491" s="148"/>
      <c r="AF1491" s="148"/>
      <c r="AG1491" s="148"/>
      <c r="AH1491" s="148"/>
      <c r="AI1491" s="201"/>
    </row>
    <row r="1492" spans="1:35" ht="15" customHeight="1" outlineLevel="1" x14ac:dyDescent="0.45">
      <c r="A1492" s="114" t="s">
        <v>671</v>
      </c>
      <c r="B1492" s="115"/>
      <c r="C1492" s="688"/>
      <c r="D1492" s="279" t="s">
        <v>672</v>
      </c>
      <c r="E1492" s="111"/>
      <c r="F1492" s="111"/>
      <c r="G1492" s="111"/>
      <c r="H1492" s="111"/>
      <c r="I1492" s="111"/>
      <c r="J1492" s="111"/>
      <c r="K1492" s="111"/>
      <c r="L1492" s="111"/>
      <c r="M1492" s="111"/>
      <c r="N1492" s="111"/>
      <c r="O1492" s="111"/>
      <c r="P1492" s="111" t="str">
        <f>V$1 &amp; " Approach"</f>
        <v>N Approach</v>
      </c>
      <c r="Q1492" s="111"/>
      <c r="R1492" s="111"/>
      <c r="S1492" s="111"/>
      <c r="T1492" s="48"/>
      <c r="U1492" s="48"/>
      <c r="V1492" s="48"/>
      <c r="W1492" s="111" t="str">
        <f>Z$1 &amp; " Approach"</f>
        <v>S Approach</v>
      </c>
      <c r="X1492" s="111"/>
      <c r="Y1492" s="111"/>
      <c r="Z1492" s="111"/>
      <c r="AA1492" s="48"/>
      <c r="AB1492" s="48"/>
      <c r="AC1492" s="49"/>
      <c r="AD1492" s="154"/>
      <c r="AE1492" s="155"/>
      <c r="AF1492" s="155"/>
      <c r="AG1492" s="155"/>
      <c r="AH1492" s="155"/>
      <c r="AI1492" s="194"/>
    </row>
    <row r="1493" spans="1:35" ht="15" customHeight="1" outlineLevel="1" x14ac:dyDescent="0.45">
      <c r="A1493" s="164" t="s">
        <v>180</v>
      </c>
      <c r="B1493" s="165"/>
      <c r="C1493" s="166"/>
      <c r="D1493" s="86" t="s">
        <v>673</v>
      </c>
      <c r="E1493" s="87"/>
      <c r="F1493" s="87"/>
      <c r="G1493" s="87"/>
      <c r="H1493" s="87"/>
      <c r="I1493" s="87"/>
      <c r="J1493" s="87"/>
      <c r="K1493" s="87"/>
      <c r="L1493" s="87"/>
      <c r="M1493" s="87"/>
      <c r="N1493" s="87"/>
      <c r="O1493" s="87"/>
      <c r="P1493" s="87"/>
      <c r="Q1493" s="87"/>
      <c r="R1493" s="87"/>
      <c r="S1493" s="87"/>
      <c r="T1493" s="87"/>
      <c r="U1493" s="87"/>
      <c r="V1493" s="18"/>
      <c r="W1493" s="18"/>
      <c r="X1493" s="18"/>
      <c r="Y1493" s="18"/>
      <c r="Z1493" s="18"/>
      <c r="AA1493" s="18"/>
      <c r="AB1493" s="18"/>
      <c r="AC1493" s="19"/>
      <c r="AD1493" s="147" t="s">
        <v>674</v>
      </c>
      <c r="AE1493" s="148"/>
      <c r="AF1493" s="148"/>
      <c r="AG1493" s="148"/>
      <c r="AH1493" s="148"/>
      <c r="AI1493" s="201"/>
    </row>
    <row r="1494" spans="1:35" ht="15" customHeight="1" outlineLevel="1" x14ac:dyDescent="0.45">
      <c r="A1494" s="299"/>
      <c r="B1494" s="300"/>
      <c r="C1494" s="301"/>
      <c r="D1494" s="24"/>
      <c r="E1494" s="97" t="s">
        <v>675</v>
      </c>
      <c r="F1494" s="97"/>
      <c r="G1494" s="97"/>
      <c r="H1494" s="97"/>
      <c r="I1494" s="97"/>
      <c r="J1494" s="97"/>
      <c r="K1494" s="97"/>
      <c r="L1494" s="97"/>
      <c r="M1494" s="97"/>
      <c r="N1494" s="97"/>
      <c r="O1494" s="97"/>
      <c r="P1494" s="97"/>
      <c r="Q1494" s="97"/>
      <c r="R1494" s="97"/>
      <c r="S1494" s="97"/>
      <c r="T1494" s="97"/>
      <c r="U1494" s="97"/>
      <c r="V1494" s="97"/>
      <c r="W1494" s="97"/>
      <c r="X1494" s="97"/>
      <c r="Y1494" s="97"/>
      <c r="Z1494" s="97"/>
      <c r="AA1494" s="97"/>
      <c r="AB1494" s="97"/>
      <c r="AC1494" s="25"/>
      <c r="AD1494" s="152"/>
      <c r="AE1494" s="153"/>
      <c r="AF1494" s="153"/>
      <c r="AG1494" s="153"/>
      <c r="AH1494" s="153"/>
      <c r="AI1494" s="275"/>
    </row>
    <row r="1495" spans="1:35" ht="15" customHeight="1" outlineLevel="1" x14ac:dyDescent="0.45">
      <c r="A1495" s="299"/>
      <c r="B1495" s="300"/>
      <c r="C1495" s="301"/>
      <c r="D1495" s="24"/>
      <c r="E1495" s="97" t="s">
        <v>676</v>
      </c>
      <c r="F1495" s="97"/>
      <c r="G1495" s="97"/>
      <c r="H1495" s="97"/>
      <c r="I1495" s="97"/>
      <c r="J1495" s="97"/>
      <c r="K1495" s="97"/>
      <c r="L1495" s="97"/>
      <c r="M1495" s="97"/>
      <c r="N1495" s="97"/>
      <c r="O1495" s="97"/>
      <c r="P1495" s="97"/>
      <c r="Q1495" s="97"/>
      <c r="R1495" s="97"/>
      <c r="S1495" s="97"/>
      <c r="T1495" s="97"/>
      <c r="U1495" s="97"/>
      <c r="V1495" s="97"/>
      <c r="AC1495" s="25"/>
      <c r="AD1495" s="152"/>
      <c r="AE1495" s="153"/>
      <c r="AF1495" s="153"/>
      <c r="AG1495" s="153"/>
      <c r="AH1495" s="153"/>
      <c r="AI1495" s="275"/>
    </row>
    <row r="1496" spans="1:35" ht="15" customHeight="1" outlineLevel="1" x14ac:dyDescent="0.45">
      <c r="A1496" s="159"/>
      <c r="B1496" s="160"/>
      <c r="C1496" s="161"/>
      <c r="D1496" s="279" t="str">
        <f>V$1 &amp; " Approach"</f>
        <v>N Approach</v>
      </c>
      <c r="E1496" s="111"/>
      <c r="F1496" s="111"/>
      <c r="G1496" s="111"/>
      <c r="H1496" s="48"/>
      <c r="I1496" s="48"/>
      <c r="J1496" s="48"/>
      <c r="K1496" s="48"/>
      <c r="L1496" s="48"/>
      <c r="M1496" s="110"/>
      <c r="N1496" s="142"/>
      <c r="O1496" s="111" t="str">
        <f>Z$1 &amp; " Approach"</f>
        <v>S Approach</v>
      </c>
      <c r="P1496" s="111"/>
      <c r="Q1496" s="111"/>
      <c r="R1496" s="111"/>
      <c r="S1496" s="48"/>
      <c r="T1496" s="48"/>
      <c r="U1496" s="48"/>
      <c r="V1496" s="48"/>
      <c r="W1496" s="48"/>
      <c r="X1496" s="110"/>
      <c r="Y1496" s="110"/>
      <c r="Z1496" s="110"/>
      <c r="AA1496" s="110"/>
      <c r="AB1496" s="110"/>
      <c r="AC1496" s="113"/>
      <c r="AD1496" s="154"/>
      <c r="AE1496" s="155"/>
      <c r="AF1496" s="155"/>
      <c r="AG1496" s="155"/>
      <c r="AH1496" s="155"/>
      <c r="AI1496" s="194"/>
    </row>
    <row r="1497" spans="1:35" ht="15" customHeight="1" outlineLevel="1" x14ac:dyDescent="0.45"/>
    <row r="1498" spans="1:35" ht="15" customHeight="1" outlineLevel="1" x14ac:dyDescent="0.45">
      <c r="A1498" s="176" t="s">
        <v>208</v>
      </c>
      <c r="B1498" s="177"/>
      <c r="C1498" s="177"/>
      <c r="D1498" s="177"/>
      <c r="E1498" s="177"/>
      <c r="F1498" s="177"/>
      <c r="G1498" s="177"/>
      <c r="H1498" s="177"/>
      <c r="I1498" s="177"/>
      <c r="J1498" s="177"/>
      <c r="K1498" s="177"/>
      <c r="L1498" s="177"/>
      <c r="M1498" s="177"/>
      <c r="N1498" s="177"/>
      <c r="O1498" s="177"/>
      <c r="P1498" s="177"/>
      <c r="Q1498" s="177"/>
      <c r="R1498" s="177"/>
      <c r="S1498" s="177"/>
      <c r="T1498" s="177"/>
      <c r="U1498" s="177"/>
      <c r="V1498" s="177"/>
      <c r="W1498" s="177"/>
      <c r="X1498" s="177"/>
      <c r="Y1498" s="177"/>
      <c r="Z1498" s="177"/>
      <c r="AA1498" s="177"/>
      <c r="AB1498" s="177"/>
      <c r="AC1498" s="177"/>
      <c r="AD1498" s="177"/>
      <c r="AE1498" s="177"/>
      <c r="AF1498" s="177"/>
      <c r="AG1498" s="177"/>
      <c r="AH1498" s="177"/>
      <c r="AI1498" s="178"/>
    </row>
    <row r="1499" spans="1:35" ht="15" customHeight="1" outlineLevel="1" x14ac:dyDescent="0.45">
      <c r="A1499" s="57"/>
      <c r="B1499" s="58"/>
      <c r="C1499" s="58"/>
      <c r="D1499" s="58"/>
      <c r="E1499" s="58"/>
      <c r="F1499" s="58"/>
      <c r="G1499" s="58"/>
      <c r="H1499" s="58"/>
      <c r="I1499" s="58"/>
      <c r="J1499" s="58"/>
      <c r="K1499" s="58"/>
      <c r="L1499" s="58"/>
      <c r="M1499" s="58"/>
      <c r="N1499" s="58"/>
      <c r="O1499" s="58"/>
      <c r="P1499" s="58"/>
      <c r="Q1499" s="58"/>
      <c r="R1499" s="58"/>
      <c r="S1499" s="58"/>
      <c r="T1499" s="58"/>
      <c r="U1499" s="58"/>
      <c r="V1499" s="58"/>
      <c r="W1499" s="58"/>
      <c r="X1499" s="58"/>
      <c r="Y1499" s="58"/>
      <c r="Z1499" s="58"/>
      <c r="AA1499" s="58"/>
      <c r="AB1499" s="58"/>
      <c r="AC1499" s="58"/>
      <c r="AD1499" s="58"/>
      <c r="AE1499" s="58"/>
      <c r="AF1499" s="58"/>
      <c r="AG1499" s="58"/>
      <c r="AH1499" s="58"/>
      <c r="AI1499" s="59"/>
    </row>
    <row r="1500" spans="1:35" ht="15" customHeight="1" outlineLevel="1" x14ac:dyDescent="0.45">
      <c r="A1500" s="60"/>
      <c r="B1500" s="61"/>
      <c r="C1500" s="61"/>
      <c r="D1500" s="61"/>
      <c r="E1500" s="61"/>
      <c r="F1500" s="61"/>
      <c r="G1500" s="61"/>
      <c r="H1500" s="61"/>
      <c r="I1500" s="61"/>
      <c r="J1500" s="61"/>
      <c r="K1500" s="61"/>
      <c r="L1500" s="61"/>
      <c r="M1500" s="61"/>
      <c r="N1500" s="61"/>
      <c r="O1500" s="61"/>
      <c r="P1500" s="61"/>
      <c r="Q1500" s="61"/>
      <c r="R1500" s="61"/>
      <c r="S1500" s="61"/>
      <c r="T1500" s="61"/>
      <c r="U1500" s="61"/>
      <c r="V1500" s="61"/>
      <c r="W1500" s="61"/>
      <c r="X1500" s="61"/>
      <c r="Y1500" s="61"/>
      <c r="Z1500" s="61"/>
      <c r="AA1500" s="61"/>
      <c r="AB1500" s="61"/>
      <c r="AC1500" s="61"/>
      <c r="AD1500" s="61"/>
      <c r="AE1500" s="61"/>
      <c r="AF1500" s="61"/>
      <c r="AG1500" s="61"/>
      <c r="AH1500" s="61"/>
      <c r="AI1500" s="62"/>
    </row>
    <row r="1501" spans="1:35" ht="15" customHeight="1" outlineLevel="1" x14ac:dyDescent="0.45">
      <c r="A1501" s="60"/>
      <c r="B1501" s="61"/>
      <c r="C1501" s="61"/>
      <c r="D1501" s="61"/>
      <c r="E1501" s="61"/>
      <c r="F1501" s="61"/>
      <c r="G1501" s="61"/>
      <c r="H1501" s="61"/>
      <c r="I1501" s="61"/>
      <c r="J1501" s="61"/>
      <c r="K1501" s="61"/>
      <c r="L1501" s="61"/>
      <c r="M1501" s="61"/>
      <c r="N1501" s="61"/>
      <c r="O1501" s="61"/>
      <c r="P1501" s="61"/>
      <c r="Q1501" s="61"/>
      <c r="R1501" s="61"/>
      <c r="S1501" s="61"/>
      <c r="T1501" s="61"/>
      <c r="U1501" s="61"/>
      <c r="V1501" s="61"/>
      <c r="W1501" s="61"/>
      <c r="X1501" s="61"/>
      <c r="Y1501" s="61"/>
      <c r="Z1501" s="61"/>
      <c r="AA1501" s="61"/>
      <c r="AB1501" s="61"/>
      <c r="AC1501" s="61"/>
      <c r="AD1501" s="61"/>
      <c r="AE1501" s="61"/>
      <c r="AF1501" s="61"/>
      <c r="AG1501" s="61"/>
      <c r="AH1501" s="61"/>
      <c r="AI1501" s="62"/>
    </row>
    <row r="1502" spans="1:35" ht="15" customHeight="1" outlineLevel="1" x14ac:dyDescent="0.45">
      <c r="A1502" s="60"/>
      <c r="B1502" s="61"/>
      <c r="C1502" s="61"/>
      <c r="D1502" s="61"/>
      <c r="E1502" s="61"/>
      <c r="F1502" s="61"/>
      <c r="G1502" s="61"/>
      <c r="H1502" s="61"/>
      <c r="I1502" s="61"/>
      <c r="J1502" s="61"/>
      <c r="K1502" s="61"/>
      <c r="L1502" s="61"/>
      <c r="M1502" s="61"/>
      <c r="N1502" s="61"/>
      <c r="O1502" s="61"/>
      <c r="P1502" s="61"/>
      <c r="Q1502" s="61"/>
      <c r="R1502" s="61"/>
      <c r="S1502" s="61"/>
      <c r="T1502" s="61"/>
      <c r="U1502" s="61"/>
      <c r="V1502" s="61"/>
      <c r="W1502" s="61"/>
      <c r="X1502" s="61"/>
      <c r="Y1502" s="61"/>
      <c r="Z1502" s="61"/>
      <c r="AA1502" s="61"/>
      <c r="AB1502" s="61"/>
      <c r="AC1502" s="61"/>
      <c r="AD1502" s="61"/>
      <c r="AE1502" s="61"/>
      <c r="AF1502" s="61"/>
      <c r="AG1502" s="61"/>
      <c r="AH1502" s="61"/>
      <c r="AI1502" s="62"/>
    </row>
    <row r="1503" spans="1:35" ht="15" customHeight="1" outlineLevel="1" x14ac:dyDescent="0.45">
      <c r="A1503" s="60"/>
      <c r="B1503" s="61"/>
      <c r="C1503" s="61"/>
      <c r="D1503" s="61"/>
      <c r="E1503" s="61"/>
      <c r="F1503" s="61"/>
      <c r="G1503" s="61"/>
      <c r="H1503" s="61"/>
      <c r="I1503" s="61"/>
      <c r="J1503" s="61"/>
      <c r="K1503" s="61"/>
      <c r="L1503" s="61"/>
      <c r="M1503" s="61"/>
      <c r="N1503" s="61"/>
      <c r="O1503" s="61"/>
      <c r="P1503" s="61"/>
      <c r="Q1503" s="61"/>
      <c r="R1503" s="61"/>
      <c r="S1503" s="61"/>
      <c r="T1503" s="61"/>
      <c r="U1503" s="61"/>
      <c r="V1503" s="61"/>
      <c r="W1503" s="61"/>
      <c r="X1503" s="61"/>
      <c r="Y1503" s="61"/>
      <c r="Z1503" s="61"/>
      <c r="AA1503" s="61"/>
      <c r="AB1503" s="61"/>
      <c r="AC1503" s="61"/>
      <c r="AD1503" s="61"/>
      <c r="AE1503" s="61"/>
      <c r="AF1503" s="61"/>
      <c r="AG1503" s="61"/>
      <c r="AH1503" s="61"/>
      <c r="AI1503" s="62"/>
    </row>
    <row r="1504" spans="1:35" ht="15" customHeight="1" outlineLevel="1" x14ac:dyDescent="0.45">
      <c r="A1504" s="60"/>
      <c r="B1504" s="61"/>
      <c r="C1504" s="61"/>
      <c r="D1504" s="61"/>
      <c r="E1504" s="61"/>
      <c r="F1504" s="61"/>
      <c r="G1504" s="61"/>
      <c r="H1504" s="61"/>
      <c r="I1504" s="61"/>
      <c r="J1504" s="61"/>
      <c r="K1504" s="61"/>
      <c r="L1504" s="61"/>
      <c r="M1504" s="61"/>
      <c r="N1504" s="61"/>
      <c r="O1504" s="61"/>
      <c r="P1504" s="61"/>
      <c r="Q1504" s="61"/>
      <c r="R1504" s="61"/>
      <c r="S1504" s="61"/>
      <c r="T1504" s="61"/>
      <c r="U1504" s="61"/>
      <c r="V1504" s="61"/>
      <c r="W1504" s="61"/>
      <c r="X1504" s="61"/>
      <c r="Y1504" s="61"/>
      <c r="Z1504" s="61"/>
      <c r="AA1504" s="61"/>
      <c r="AB1504" s="61"/>
      <c r="AC1504" s="61"/>
      <c r="AD1504" s="61"/>
      <c r="AE1504" s="61"/>
      <c r="AF1504" s="61"/>
      <c r="AG1504" s="61"/>
      <c r="AH1504" s="61"/>
      <c r="AI1504" s="62"/>
    </row>
    <row r="1505" spans="1:35" ht="15" customHeight="1" outlineLevel="1" x14ac:dyDescent="0.45">
      <c r="A1505" s="60"/>
      <c r="B1505" s="61"/>
      <c r="C1505" s="61"/>
      <c r="D1505" s="61"/>
      <c r="E1505" s="61"/>
      <c r="F1505" s="61"/>
      <c r="G1505" s="61"/>
      <c r="H1505" s="61"/>
      <c r="I1505" s="61"/>
      <c r="J1505" s="61"/>
      <c r="K1505" s="61"/>
      <c r="L1505" s="61"/>
      <c r="M1505" s="61"/>
      <c r="N1505" s="61"/>
      <c r="O1505" s="61"/>
      <c r="P1505" s="61"/>
      <c r="Q1505" s="61"/>
      <c r="R1505" s="61"/>
      <c r="S1505" s="61"/>
      <c r="T1505" s="61"/>
      <c r="U1505" s="61"/>
      <c r="V1505" s="61"/>
      <c r="W1505" s="61"/>
      <c r="X1505" s="61"/>
      <c r="Y1505" s="61"/>
      <c r="Z1505" s="61"/>
      <c r="AA1505" s="61"/>
      <c r="AB1505" s="61"/>
      <c r="AC1505" s="61"/>
      <c r="AD1505" s="61"/>
      <c r="AE1505" s="61"/>
      <c r="AF1505" s="61"/>
      <c r="AG1505" s="61"/>
      <c r="AH1505" s="61"/>
      <c r="AI1505" s="62"/>
    </row>
    <row r="1506" spans="1:35" ht="15" customHeight="1" outlineLevel="1" x14ac:dyDescent="0.45">
      <c r="A1506" s="60"/>
      <c r="B1506" s="61"/>
      <c r="C1506" s="61"/>
      <c r="D1506" s="61"/>
      <c r="E1506" s="61"/>
      <c r="F1506" s="61"/>
      <c r="G1506" s="61"/>
      <c r="H1506" s="61"/>
      <c r="I1506" s="61"/>
      <c r="J1506" s="61"/>
      <c r="K1506" s="61"/>
      <c r="L1506" s="61"/>
      <c r="M1506" s="61"/>
      <c r="N1506" s="61"/>
      <c r="O1506" s="61"/>
      <c r="P1506" s="61"/>
      <c r="Q1506" s="61"/>
      <c r="R1506" s="61"/>
      <c r="S1506" s="61"/>
      <c r="T1506" s="61"/>
      <c r="U1506" s="61"/>
      <c r="V1506" s="61"/>
      <c r="W1506" s="61"/>
      <c r="X1506" s="61"/>
      <c r="Y1506" s="61"/>
      <c r="Z1506" s="61"/>
      <c r="AA1506" s="61"/>
      <c r="AB1506" s="61"/>
      <c r="AC1506" s="61"/>
      <c r="AD1506" s="61"/>
      <c r="AE1506" s="61"/>
      <c r="AF1506" s="61"/>
      <c r="AG1506" s="61"/>
      <c r="AH1506" s="61"/>
      <c r="AI1506" s="62"/>
    </row>
    <row r="1507" spans="1:35" ht="15" customHeight="1" outlineLevel="1" x14ac:dyDescent="0.45">
      <c r="A1507" s="60"/>
      <c r="B1507" s="61"/>
      <c r="C1507" s="61"/>
      <c r="D1507" s="61"/>
      <c r="E1507" s="61"/>
      <c r="F1507" s="61"/>
      <c r="G1507" s="61"/>
      <c r="H1507" s="61"/>
      <c r="I1507" s="61"/>
      <c r="J1507" s="61"/>
      <c r="K1507" s="61"/>
      <c r="L1507" s="61"/>
      <c r="M1507" s="61"/>
      <c r="N1507" s="61"/>
      <c r="O1507" s="61"/>
      <c r="P1507" s="61"/>
      <c r="Q1507" s="61"/>
      <c r="R1507" s="61"/>
      <c r="S1507" s="61"/>
      <c r="T1507" s="61"/>
      <c r="U1507" s="61"/>
      <c r="V1507" s="61"/>
      <c r="W1507" s="61"/>
      <c r="X1507" s="61"/>
      <c r="Y1507" s="61"/>
      <c r="Z1507" s="61"/>
      <c r="AA1507" s="61"/>
      <c r="AB1507" s="61"/>
      <c r="AC1507" s="61"/>
      <c r="AD1507" s="61"/>
      <c r="AE1507" s="61"/>
      <c r="AF1507" s="61"/>
      <c r="AG1507" s="61"/>
      <c r="AH1507" s="61"/>
      <c r="AI1507" s="62"/>
    </row>
    <row r="1508" spans="1:35" ht="15" customHeight="1" outlineLevel="1" x14ac:dyDescent="0.45">
      <c r="A1508" s="63"/>
      <c r="B1508" s="64"/>
      <c r="C1508" s="64"/>
      <c r="D1508" s="64"/>
      <c r="E1508" s="64"/>
      <c r="F1508" s="64"/>
      <c r="G1508" s="64"/>
      <c r="H1508" s="64"/>
      <c r="I1508" s="64"/>
      <c r="J1508" s="64"/>
      <c r="K1508" s="64"/>
      <c r="L1508" s="64"/>
      <c r="M1508" s="64"/>
      <c r="N1508" s="64"/>
      <c r="O1508" s="64"/>
      <c r="P1508" s="64"/>
      <c r="Q1508" s="64"/>
      <c r="R1508" s="64"/>
      <c r="S1508" s="64"/>
      <c r="T1508" s="64"/>
      <c r="U1508" s="64"/>
      <c r="V1508" s="64"/>
      <c r="W1508" s="64"/>
      <c r="X1508" s="64"/>
      <c r="Y1508" s="64"/>
      <c r="Z1508" s="64"/>
      <c r="AA1508" s="64"/>
      <c r="AB1508" s="64"/>
      <c r="AC1508" s="64"/>
      <c r="AD1508" s="64"/>
      <c r="AE1508" s="64"/>
      <c r="AF1508" s="64"/>
      <c r="AG1508" s="64"/>
      <c r="AH1508" s="64"/>
      <c r="AI1508" s="65"/>
    </row>
    <row r="1509" spans="1:35" ht="15" customHeight="1" outlineLevel="1" x14ac:dyDescent="0.45"/>
    <row r="1510" spans="1:35" ht="15" customHeight="1" outlineLevel="1" x14ac:dyDescent="0.45">
      <c r="A1510" s="14" t="s">
        <v>677</v>
      </c>
      <c r="B1510" s="14"/>
      <c r="C1510" s="14"/>
      <c r="D1510" s="14"/>
      <c r="E1510" s="14"/>
      <c r="F1510" s="15" t="s">
        <v>678</v>
      </c>
      <c r="G1510" s="15"/>
      <c r="H1510" s="15"/>
      <c r="I1510" s="15"/>
      <c r="J1510" s="15"/>
      <c r="K1510" s="15"/>
      <c r="L1510" s="15"/>
      <c r="M1510" s="15"/>
      <c r="N1510" s="15"/>
      <c r="O1510" s="15"/>
      <c r="P1510" s="15"/>
      <c r="Q1510" s="15"/>
      <c r="R1510" s="15"/>
      <c r="S1510" s="15"/>
      <c r="T1510" s="15"/>
      <c r="U1510" s="15"/>
      <c r="V1510" s="15"/>
      <c r="W1510" s="15"/>
      <c r="X1510" s="15"/>
      <c r="Y1510" s="15"/>
      <c r="Z1510" s="15"/>
      <c r="AA1510" s="15"/>
      <c r="AB1510" s="15"/>
      <c r="AC1510" s="66" t="s">
        <v>679</v>
      </c>
      <c r="AD1510" s="66"/>
      <c r="AE1510" s="66"/>
      <c r="AF1510" s="66"/>
      <c r="AG1510" s="66"/>
      <c r="AH1510" s="66"/>
      <c r="AI1510" s="66"/>
    </row>
    <row r="1511" spans="1:35" ht="15" customHeight="1" outlineLevel="1" x14ac:dyDescent="0.45"/>
    <row r="1512" spans="1:35" ht="15" customHeight="1" outlineLevel="1" thickBot="1" x14ac:dyDescent="0.5">
      <c r="A1512" s="78" t="s">
        <v>98</v>
      </c>
      <c r="B1512" s="79"/>
      <c r="C1512" s="80"/>
      <c r="D1512" s="78" t="s">
        <v>99</v>
      </c>
      <c r="E1512" s="79"/>
      <c r="F1512" s="79"/>
      <c r="G1512" s="79"/>
      <c r="H1512" s="79"/>
      <c r="I1512" s="79"/>
      <c r="J1512" s="79"/>
      <c r="K1512" s="79"/>
      <c r="L1512" s="79"/>
      <c r="M1512" s="79"/>
      <c r="N1512" s="79"/>
      <c r="O1512" s="79"/>
      <c r="P1512" s="79"/>
      <c r="Q1512" s="79"/>
      <c r="R1512" s="79"/>
      <c r="S1512" s="79"/>
      <c r="T1512" s="79"/>
      <c r="U1512" s="79"/>
      <c r="V1512" s="79"/>
      <c r="W1512" s="79"/>
      <c r="X1512" s="79"/>
      <c r="Y1512" s="79"/>
      <c r="Z1512" s="79"/>
      <c r="AA1512" s="79"/>
      <c r="AB1512" s="79"/>
      <c r="AC1512" s="80"/>
      <c r="AD1512" s="78" t="s">
        <v>100</v>
      </c>
      <c r="AE1512" s="79"/>
      <c r="AF1512" s="79"/>
      <c r="AG1512" s="79"/>
      <c r="AH1512" s="79"/>
      <c r="AI1512" s="80"/>
    </row>
    <row r="1513" spans="1:35" ht="15" customHeight="1" outlineLevel="1" thickTop="1" x14ac:dyDescent="0.45">
      <c r="A1513" s="191"/>
      <c r="B1513" s="192"/>
      <c r="C1513" s="193"/>
      <c r="D1513" s="683" t="s">
        <v>680</v>
      </c>
      <c r="E1513" s="309"/>
      <c r="F1513" s="309"/>
      <c r="G1513" s="309"/>
      <c r="H1513" s="309"/>
      <c r="I1513" s="309"/>
      <c r="J1513" s="309"/>
      <c r="K1513" s="309"/>
      <c r="L1513" s="309"/>
      <c r="M1513" s="309"/>
      <c r="N1513" s="309"/>
      <c r="O1513" s="309"/>
      <c r="P1513" s="309"/>
      <c r="Q1513" s="309"/>
      <c r="R1513" s="309"/>
      <c r="S1513" s="309"/>
      <c r="T1513" s="309"/>
      <c r="U1513" s="309"/>
      <c r="V1513" s="309"/>
      <c r="W1513" s="309"/>
      <c r="X1513" s="309"/>
      <c r="Y1513" s="309"/>
      <c r="Z1513" s="309"/>
      <c r="AA1513" s="309"/>
      <c r="AB1513" s="309"/>
      <c r="AC1513" s="310"/>
      <c r="AD1513" s="320" t="s">
        <v>681</v>
      </c>
      <c r="AE1513" s="321"/>
      <c r="AF1513" s="321"/>
      <c r="AG1513" s="321"/>
      <c r="AH1513" s="321"/>
      <c r="AI1513" s="322"/>
    </row>
    <row r="1514" spans="1:35" ht="15" customHeight="1" outlineLevel="1" x14ac:dyDescent="0.45">
      <c r="A1514" s="326" t="s">
        <v>155</v>
      </c>
      <c r="B1514" s="327"/>
      <c r="C1514" s="328"/>
      <c r="D1514" s="347" t="s">
        <v>682</v>
      </c>
      <c r="E1514" s="90"/>
      <c r="F1514" s="18"/>
      <c r="G1514" s="18"/>
      <c r="H1514" s="18"/>
      <c r="I1514" s="18"/>
      <c r="J1514" s="18"/>
      <c r="K1514" s="18"/>
      <c r="L1514" s="18"/>
      <c r="M1514" s="18"/>
      <c r="N1514" s="18"/>
      <c r="O1514" s="18"/>
      <c r="P1514" s="18"/>
      <c r="Q1514" s="18"/>
      <c r="R1514" s="18"/>
      <c r="S1514" s="18"/>
      <c r="T1514" s="18"/>
      <c r="U1514" s="18"/>
      <c r="V1514" s="18"/>
      <c r="W1514" s="18"/>
      <c r="X1514" s="18"/>
      <c r="Y1514" s="364" t="str">
        <f>IF(General_Info_Rail_Railway_Design_Speed="","No Value",IF(General_Info_Rail_Railway_Design_Speed&gt;15,"Yes","No"))</f>
        <v>No Value</v>
      </c>
      <c r="Z1514" s="364"/>
      <c r="AA1514" s="364"/>
      <c r="AB1514" s="364"/>
      <c r="AC1514" s="365"/>
      <c r="AD1514" s="147" t="s">
        <v>683</v>
      </c>
      <c r="AE1514" s="148"/>
      <c r="AF1514" s="148"/>
      <c r="AG1514" s="148"/>
      <c r="AH1514" s="148"/>
      <c r="AI1514" s="201"/>
    </row>
    <row r="1515" spans="1:35" ht="15" customHeight="1" outlineLevel="1" x14ac:dyDescent="0.45">
      <c r="A1515" s="299" t="s">
        <v>159</v>
      </c>
      <c r="B1515" s="300"/>
      <c r="C1515" s="301"/>
      <c r="D1515" s="282" t="s">
        <v>684</v>
      </c>
      <c r="E1515" s="175"/>
      <c r="F1515" s="175"/>
      <c r="G1515" s="175"/>
      <c r="H1515" s="175"/>
      <c r="I1515" s="175"/>
      <c r="J1515" s="175"/>
      <c r="K1515" s="175"/>
      <c r="L1515" s="175"/>
      <c r="M1515" s="175"/>
      <c r="N1515" s="175"/>
      <c r="O1515" s="175"/>
      <c r="P1515" s="175"/>
      <c r="Q1515" s="175"/>
      <c r="R1515" s="175"/>
      <c r="S1515" s="175"/>
      <c r="T1515" s="175"/>
      <c r="U1515" s="175"/>
      <c r="V1515" s="175"/>
      <c r="W1515" s="175"/>
      <c r="X1515" s="175"/>
      <c r="Y1515" s="162" t="str">
        <f>IF(OR(ISBLANK(Location_of_Grade_Crossing_Nearest_Intersection_Signalized_N_or_E_Approach),ISBLANK(Location_of_Grade_Crossing_Nearest_Intersection_Signalized_S_of_W_Approach)),"No Value",IF(OR(Location_of_Grade_Crossing_Nearest_Intersection_Signalized_N_or_E_Approach&lt;30,Location_of_Grade_Crossing_Nearest_Intersection_Signalized_S_of_W_Approach&lt;30),"Yes","No"))</f>
        <v>No Value</v>
      </c>
      <c r="Z1515" s="162"/>
      <c r="AA1515" s="162"/>
      <c r="AB1515" s="162"/>
      <c r="AC1515" s="163"/>
      <c r="AD1515" s="152"/>
      <c r="AE1515" s="153"/>
      <c r="AF1515" s="153"/>
      <c r="AG1515" s="153"/>
      <c r="AH1515" s="153"/>
      <c r="AI1515" s="275"/>
    </row>
    <row r="1516" spans="1:35" ht="15" customHeight="1" outlineLevel="1" x14ac:dyDescent="0.45">
      <c r="A1516" s="299"/>
      <c r="B1516" s="300"/>
      <c r="C1516" s="301"/>
      <c r="D1516" s="282"/>
      <c r="E1516" s="175"/>
      <c r="F1516" s="175"/>
      <c r="G1516" s="175"/>
      <c r="H1516" s="175"/>
      <c r="I1516" s="175"/>
      <c r="J1516" s="175"/>
      <c r="K1516" s="175"/>
      <c r="L1516" s="175"/>
      <c r="M1516" s="175"/>
      <c r="N1516" s="175"/>
      <c r="O1516" s="175"/>
      <c r="P1516" s="175"/>
      <c r="Q1516" s="175"/>
      <c r="R1516" s="175"/>
      <c r="S1516" s="175"/>
      <c r="T1516" s="175"/>
      <c r="U1516" s="175"/>
      <c r="V1516" s="175"/>
      <c r="W1516" s="175"/>
      <c r="X1516" s="175"/>
      <c r="Y1516" s="162"/>
      <c r="Z1516" s="162"/>
      <c r="AA1516" s="162"/>
      <c r="AB1516" s="162"/>
      <c r="AC1516" s="163"/>
      <c r="AD1516" s="152"/>
      <c r="AE1516" s="153"/>
      <c r="AF1516" s="153"/>
      <c r="AG1516" s="153"/>
      <c r="AH1516" s="153"/>
      <c r="AI1516" s="275"/>
    </row>
    <row r="1517" spans="1:35" ht="15" customHeight="1" outlineLevel="1" thickBot="1" x14ac:dyDescent="0.5">
      <c r="A1517" s="613" t="s">
        <v>155</v>
      </c>
      <c r="B1517" s="614"/>
      <c r="C1517" s="615"/>
      <c r="D1517" s="689" t="s">
        <v>685</v>
      </c>
      <c r="E1517" s="690"/>
      <c r="F1517" s="691"/>
      <c r="G1517" s="691"/>
      <c r="H1517" s="691"/>
      <c r="I1517" s="691"/>
      <c r="J1517" s="691"/>
      <c r="K1517" s="691"/>
      <c r="L1517" s="691"/>
      <c r="M1517" s="691"/>
      <c r="N1517" s="691"/>
      <c r="O1517" s="691"/>
      <c r="P1517" s="691"/>
      <c r="Q1517" s="691"/>
      <c r="R1517" s="691"/>
      <c r="S1517" s="691"/>
      <c r="T1517" s="691"/>
      <c r="U1517" s="691"/>
      <c r="V1517" s="691"/>
      <c r="W1517" s="691"/>
      <c r="X1517" s="691"/>
      <c r="Y1517" s="616" t="str">
        <f>IF(OR(Y1514="No Value",ISBLANK(Y1515)),"No Value",IF(AND(Y1514="Yes",Y1515="Yes"),"Yes","No"))</f>
        <v>No Value</v>
      </c>
      <c r="Z1517" s="616"/>
      <c r="AA1517" s="616"/>
      <c r="AB1517" s="616"/>
      <c r="AC1517" s="692"/>
      <c r="AD1517" s="609"/>
      <c r="AE1517" s="608"/>
      <c r="AF1517" s="608"/>
      <c r="AG1517" s="608"/>
      <c r="AH1517" s="608"/>
      <c r="AI1517" s="610"/>
    </row>
    <row r="1518" spans="1:35" ht="15" customHeight="1" outlineLevel="1" thickTop="1" thickBot="1" x14ac:dyDescent="0.5">
      <c r="A1518" s="693"/>
      <c r="B1518" s="694"/>
      <c r="C1518" s="695"/>
      <c r="D1518" s="28" t="s">
        <v>686</v>
      </c>
      <c r="E1518" s="6"/>
      <c r="Y1518" s="451"/>
      <c r="Z1518" s="451"/>
      <c r="AA1518" s="451"/>
      <c r="AB1518" s="451"/>
      <c r="AC1518" s="452"/>
      <c r="AD1518" s="494"/>
      <c r="AE1518" s="233"/>
      <c r="AF1518" s="233"/>
      <c r="AG1518" s="233"/>
      <c r="AH1518" s="233"/>
      <c r="AI1518" s="625"/>
    </row>
    <row r="1519" spans="1:35" ht="15" customHeight="1" outlineLevel="1" thickTop="1" x14ac:dyDescent="0.45">
      <c r="A1519" s="472" t="s">
        <v>180</v>
      </c>
      <c r="B1519" s="448"/>
      <c r="C1519" s="449"/>
      <c r="D1519" s="287" t="s">
        <v>687</v>
      </c>
      <c r="E1519" s="288"/>
      <c r="F1519" s="288"/>
      <c r="G1519" s="288"/>
      <c r="H1519" s="288"/>
      <c r="I1519" s="288"/>
      <c r="J1519" s="288"/>
      <c r="K1519" s="288"/>
      <c r="L1519" s="288"/>
      <c r="M1519" s="288"/>
      <c r="N1519" s="288"/>
      <c r="O1519" s="288"/>
      <c r="P1519" s="288"/>
      <c r="Q1519" s="288"/>
      <c r="R1519" s="288"/>
      <c r="S1519" s="288"/>
      <c r="T1519" s="288"/>
      <c r="U1519" s="288"/>
      <c r="V1519" s="288"/>
      <c r="W1519" s="288"/>
      <c r="X1519" s="288"/>
      <c r="Y1519" s="162"/>
      <c r="Z1519" s="162"/>
      <c r="AA1519" s="162"/>
      <c r="AB1519" s="162"/>
      <c r="AC1519" s="163"/>
      <c r="AD1519" s="494"/>
      <c r="AE1519" s="233"/>
      <c r="AF1519" s="233"/>
      <c r="AG1519" s="233"/>
      <c r="AH1519" s="233"/>
      <c r="AI1519" s="625"/>
    </row>
    <row r="1520" spans="1:35" ht="15" customHeight="1" outlineLevel="1" x14ac:dyDescent="0.45">
      <c r="A1520" s="472"/>
      <c r="B1520" s="448"/>
      <c r="C1520" s="449"/>
      <c r="D1520" s="282"/>
      <c r="E1520" s="175"/>
      <c r="F1520" s="175"/>
      <c r="G1520" s="175"/>
      <c r="H1520" s="175"/>
      <c r="I1520" s="175"/>
      <c r="J1520" s="175"/>
      <c r="K1520" s="175"/>
      <c r="L1520" s="175"/>
      <c r="M1520" s="175"/>
      <c r="N1520" s="175"/>
      <c r="O1520" s="175"/>
      <c r="P1520" s="175"/>
      <c r="Q1520" s="175"/>
      <c r="R1520" s="175"/>
      <c r="S1520" s="175"/>
      <c r="T1520" s="175"/>
      <c r="U1520" s="175"/>
      <c r="V1520" s="175"/>
      <c r="W1520" s="175"/>
      <c r="X1520" s="175"/>
      <c r="Y1520" s="162"/>
      <c r="Z1520" s="162"/>
      <c r="AA1520" s="162"/>
      <c r="AB1520" s="162"/>
      <c r="AC1520" s="163"/>
      <c r="AD1520" s="494"/>
      <c r="AE1520" s="233"/>
      <c r="AF1520" s="233"/>
      <c r="AG1520" s="233"/>
      <c r="AH1520" s="233"/>
      <c r="AI1520" s="625"/>
    </row>
    <row r="1521" spans="1:35" ht="15" customHeight="1" outlineLevel="1" x14ac:dyDescent="0.45">
      <c r="A1521" s="472"/>
      <c r="B1521" s="448"/>
      <c r="C1521" s="449"/>
      <c r="D1521" s="282"/>
      <c r="E1521" s="175"/>
      <c r="F1521" s="175"/>
      <c r="G1521" s="175"/>
      <c r="H1521" s="175"/>
      <c r="I1521" s="175"/>
      <c r="J1521" s="175"/>
      <c r="K1521" s="175"/>
      <c r="L1521" s="175"/>
      <c r="M1521" s="175"/>
      <c r="N1521" s="175"/>
      <c r="O1521" s="175"/>
      <c r="P1521" s="175"/>
      <c r="Q1521" s="175"/>
      <c r="R1521" s="175"/>
      <c r="S1521" s="175"/>
      <c r="T1521" s="175"/>
      <c r="U1521" s="175"/>
      <c r="V1521" s="175"/>
      <c r="W1521" s="175"/>
      <c r="X1521" s="175"/>
      <c r="Y1521" s="162"/>
      <c r="Z1521" s="162"/>
      <c r="AA1521" s="162"/>
      <c r="AB1521" s="162"/>
      <c r="AC1521" s="163"/>
      <c r="AD1521" s="494"/>
      <c r="AE1521" s="233"/>
      <c r="AF1521" s="233"/>
      <c r="AG1521" s="233"/>
      <c r="AH1521" s="233"/>
      <c r="AI1521" s="625"/>
    </row>
    <row r="1522" spans="1:35" ht="15" customHeight="1" outlineLevel="1" x14ac:dyDescent="0.45">
      <c r="A1522" s="472"/>
      <c r="B1522" s="448"/>
      <c r="C1522" s="449"/>
      <c r="D1522" s="282"/>
      <c r="E1522" s="175"/>
      <c r="F1522" s="175"/>
      <c r="G1522" s="175"/>
      <c r="H1522" s="175"/>
      <c r="I1522" s="175"/>
      <c r="J1522" s="175"/>
      <c r="K1522" s="175"/>
      <c r="L1522" s="175"/>
      <c r="M1522" s="175"/>
      <c r="N1522" s="175"/>
      <c r="O1522" s="175"/>
      <c r="P1522" s="175"/>
      <c r="Q1522" s="175"/>
      <c r="R1522" s="175"/>
      <c r="S1522" s="175"/>
      <c r="T1522" s="175"/>
      <c r="U1522" s="175"/>
      <c r="V1522" s="175"/>
      <c r="W1522" s="175"/>
      <c r="X1522" s="175"/>
      <c r="Y1522" s="162"/>
      <c r="Z1522" s="162"/>
      <c r="AA1522" s="162"/>
      <c r="AB1522" s="162"/>
      <c r="AC1522" s="163"/>
      <c r="AD1522" s="494"/>
      <c r="AE1522" s="233"/>
      <c r="AF1522" s="233"/>
      <c r="AG1522" s="233"/>
      <c r="AH1522" s="233"/>
      <c r="AI1522" s="625"/>
    </row>
    <row r="1523" spans="1:35" ht="15" customHeight="1" outlineLevel="1" thickBot="1" x14ac:dyDescent="0.5">
      <c r="A1523" s="696"/>
      <c r="B1523" s="697"/>
      <c r="C1523" s="698"/>
      <c r="D1523" s="699"/>
      <c r="E1523" s="700"/>
      <c r="F1523" s="700"/>
      <c r="G1523" s="700"/>
      <c r="H1523" s="700"/>
      <c r="I1523" s="700"/>
      <c r="J1523" s="700"/>
      <c r="K1523" s="700"/>
      <c r="L1523" s="700"/>
      <c r="M1523" s="700"/>
      <c r="N1523" s="700"/>
      <c r="O1523" s="700"/>
      <c r="P1523" s="700"/>
      <c r="Q1523" s="700"/>
      <c r="R1523" s="700"/>
      <c r="S1523" s="700"/>
      <c r="T1523" s="700"/>
      <c r="U1523" s="700"/>
      <c r="V1523" s="700"/>
      <c r="W1523" s="700"/>
      <c r="X1523" s="700"/>
      <c r="Y1523" s="616"/>
      <c r="Z1523" s="616"/>
      <c r="AA1523" s="616"/>
      <c r="AB1523" s="616"/>
      <c r="AC1523" s="692"/>
      <c r="AD1523" s="494"/>
      <c r="AE1523" s="233"/>
      <c r="AF1523" s="233"/>
      <c r="AG1523" s="233"/>
      <c r="AH1523" s="233"/>
      <c r="AI1523" s="625"/>
    </row>
    <row r="1524" spans="1:35" ht="15" customHeight="1" outlineLevel="1" thickTop="1" x14ac:dyDescent="0.45">
      <c r="A1524" s="701" t="s">
        <v>116</v>
      </c>
      <c r="B1524" s="702"/>
      <c r="C1524" s="703"/>
      <c r="D1524" s="287" t="s">
        <v>688</v>
      </c>
      <c r="E1524" s="288"/>
      <c r="F1524" s="288"/>
      <c r="G1524" s="288"/>
      <c r="H1524" s="288"/>
      <c r="I1524" s="288"/>
      <c r="J1524" s="288"/>
      <c r="K1524" s="288"/>
      <c r="L1524" s="288"/>
      <c r="M1524" s="288"/>
      <c r="N1524" s="288"/>
      <c r="O1524" s="288"/>
      <c r="P1524" s="288"/>
      <c r="Q1524" s="288"/>
      <c r="R1524" s="288"/>
      <c r="S1524" s="288"/>
      <c r="T1524" s="288"/>
      <c r="U1524" s="289"/>
      <c r="V1524" s="289"/>
      <c r="W1524" s="289"/>
      <c r="X1524" s="289"/>
      <c r="Y1524" s="289"/>
      <c r="Z1524" s="289"/>
      <c r="AA1524" s="289"/>
      <c r="AB1524" s="289"/>
      <c r="AC1524" s="704"/>
      <c r="AD1524" s="366"/>
      <c r="AE1524" s="367"/>
      <c r="AF1524" s="367"/>
      <c r="AG1524" s="367"/>
      <c r="AH1524" s="367"/>
      <c r="AI1524" s="368"/>
    </row>
    <row r="1525" spans="1:35" ht="15" customHeight="1" outlineLevel="1" x14ac:dyDescent="0.45">
      <c r="A1525" s="149"/>
      <c r="B1525" s="150"/>
      <c r="C1525" s="151"/>
      <c r="D1525" s="282"/>
      <c r="E1525" s="175"/>
      <c r="F1525" s="175"/>
      <c r="G1525" s="175"/>
      <c r="H1525" s="175"/>
      <c r="I1525" s="175"/>
      <c r="J1525" s="175"/>
      <c r="K1525" s="175"/>
      <c r="L1525" s="175"/>
      <c r="M1525" s="175"/>
      <c r="N1525" s="175"/>
      <c r="O1525" s="175"/>
      <c r="P1525" s="175"/>
      <c r="Q1525" s="175"/>
      <c r="R1525" s="175"/>
      <c r="S1525" s="175"/>
      <c r="T1525" s="175"/>
      <c r="U1525" s="2"/>
      <c r="V1525" s="2"/>
      <c r="W1525" s="2"/>
      <c r="X1525" s="2"/>
      <c r="Y1525" s="2"/>
      <c r="Z1525" s="2"/>
      <c r="AA1525" s="2"/>
      <c r="AB1525" s="2"/>
      <c r="AC1525" s="39"/>
      <c r="AD1525" s="152"/>
      <c r="AE1525" s="153"/>
      <c r="AF1525" s="153"/>
      <c r="AG1525" s="153"/>
      <c r="AH1525" s="153"/>
      <c r="AI1525" s="275"/>
    </row>
    <row r="1526" spans="1:35" ht="15" customHeight="1" outlineLevel="1" x14ac:dyDescent="0.45">
      <c r="A1526" s="20" t="s">
        <v>668</v>
      </c>
      <c r="B1526" s="21"/>
      <c r="C1526" s="331"/>
      <c r="D1526" s="96" t="s">
        <v>689</v>
      </c>
      <c r="E1526" s="97"/>
      <c r="F1526" s="97"/>
      <c r="G1526" s="97"/>
      <c r="H1526" s="97"/>
      <c r="I1526" s="97"/>
      <c r="J1526" s="97"/>
      <c r="K1526" s="97"/>
      <c r="L1526" s="97"/>
      <c r="M1526" s="97"/>
      <c r="N1526" s="97"/>
      <c r="O1526" s="97"/>
      <c r="P1526" s="97"/>
      <c r="Q1526" s="97"/>
      <c r="R1526" s="97"/>
      <c r="S1526" s="97"/>
      <c r="T1526" s="97"/>
      <c r="U1526" s="97"/>
      <c r="V1526" s="97"/>
      <c r="W1526" s="97"/>
      <c r="X1526" s="97"/>
      <c r="Y1526" s="2"/>
      <c r="Z1526" s="2"/>
      <c r="AA1526" s="2"/>
      <c r="AB1526" s="2"/>
      <c r="AC1526" s="39"/>
      <c r="AD1526" s="152"/>
      <c r="AE1526" s="153"/>
      <c r="AF1526" s="153"/>
      <c r="AG1526" s="153"/>
      <c r="AH1526" s="153"/>
      <c r="AI1526" s="275"/>
    </row>
    <row r="1527" spans="1:35" ht="15" customHeight="1" outlineLevel="1" x14ac:dyDescent="0.45">
      <c r="A1527" s="343" t="s">
        <v>671</v>
      </c>
      <c r="B1527" s="344"/>
      <c r="C1527" s="345"/>
      <c r="D1527" s="279" t="s">
        <v>690</v>
      </c>
      <c r="E1527" s="111"/>
      <c r="F1527" s="111"/>
      <c r="G1527" s="111"/>
      <c r="H1527" s="111"/>
      <c r="I1527" s="111"/>
      <c r="J1527" s="111"/>
      <c r="K1527" s="111"/>
      <c r="L1527" s="111"/>
      <c r="M1527" s="111"/>
      <c r="N1527" s="111"/>
      <c r="O1527" s="111"/>
      <c r="P1527" s="111"/>
      <c r="Q1527" s="111"/>
      <c r="R1527" s="111"/>
      <c r="S1527" s="111"/>
      <c r="T1527" s="111"/>
      <c r="U1527" s="111"/>
      <c r="V1527" s="111"/>
      <c r="W1527" s="111"/>
      <c r="X1527" s="111"/>
      <c r="Y1527" s="48"/>
      <c r="Z1527" s="48"/>
      <c r="AA1527" s="48"/>
      <c r="AB1527" s="48"/>
      <c r="AC1527" s="49"/>
      <c r="AD1527" s="154"/>
      <c r="AE1527" s="155"/>
      <c r="AF1527" s="155"/>
      <c r="AG1527" s="155"/>
      <c r="AH1527" s="155"/>
      <c r="AI1527" s="194"/>
    </row>
    <row r="1528" spans="1:35" ht="15" customHeight="1" outlineLevel="1" x14ac:dyDescent="0.45">
      <c r="A1528" s="17"/>
      <c r="B1528" s="18"/>
      <c r="C1528" s="19"/>
      <c r="D1528" s="54" t="s">
        <v>691</v>
      </c>
      <c r="E1528" s="55"/>
      <c r="F1528" s="55"/>
      <c r="G1528" s="55"/>
      <c r="AD1528" s="198"/>
      <c r="AE1528" s="118"/>
      <c r="AF1528" s="118"/>
      <c r="AG1528" s="118"/>
      <c r="AH1528" s="118"/>
      <c r="AI1528" s="119"/>
    </row>
    <row r="1529" spans="1:35" ht="15" customHeight="1" outlineLevel="1" x14ac:dyDescent="0.45">
      <c r="A1529" s="131" t="s">
        <v>116</v>
      </c>
      <c r="B1529" s="132"/>
      <c r="C1529" s="133"/>
      <c r="D1529" s="116" t="s">
        <v>692</v>
      </c>
      <c r="E1529" s="117"/>
      <c r="F1529" s="117"/>
      <c r="G1529" s="117"/>
      <c r="H1529" s="117"/>
      <c r="I1529" s="117"/>
      <c r="J1529" s="117"/>
      <c r="K1529" s="117"/>
      <c r="L1529" s="117"/>
      <c r="M1529" s="705"/>
      <c r="N1529" s="705"/>
      <c r="O1529" s="705"/>
      <c r="P1529" s="705"/>
      <c r="Q1529" s="705"/>
      <c r="R1529" s="118"/>
      <c r="S1529" s="118"/>
      <c r="T1529" s="118"/>
      <c r="U1529" s="118"/>
      <c r="V1529" s="118"/>
      <c r="W1529" s="118"/>
      <c r="X1529" s="118"/>
      <c r="Y1529" s="118"/>
      <c r="Z1529" s="118"/>
      <c r="AA1529" s="118"/>
      <c r="AB1529" s="118"/>
      <c r="AC1529" s="119"/>
      <c r="AD1529" s="214"/>
      <c r="AE1529" s="215"/>
      <c r="AF1529" s="215"/>
      <c r="AG1529" s="215"/>
      <c r="AH1529" s="215"/>
      <c r="AI1529" s="216"/>
    </row>
    <row r="1530" spans="1:35" ht="15" customHeight="1" outlineLevel="1" x14ac:dyDescent="0.45">
      <c r="A1530" s="164" t="s">
        <v>180</v>
      </c>
      <c r="B1530" s="165"/>
      <c r="C1530" s="166"/>
      <c r="D1530" s="283" t="s">
        <v>693</v>
      </c>
      <c r="E1530" s="284"/>
      <c r="F1530" s="284"/>
      <c r="G1530" s="284"/>
      <c r="H1530" s="284"/>
      <c r="I1530" s="284"/>
      <c r="J1530" s="284"/>
      <c r="K1530" s="284"/>
      <c r="L1530" s="284"/>
      <c r="M1530" s="284"/>
      <c r="N1530" s="284"/>
      <c r="O1530" s="284"/>
      <c r="P1530" s="284"/>
      <c r="Q1530" s="284"/>
      <c r="R1530" s="284"/>
      <c r="S1530" s="284"/>
      <c r="T1530" s="284"/>
      <c r="U1530" s="284"/>
      <c r="V1530" s="284"/>
      <c r="W1530" s="284"/>
      <c r="X1530" s="284"/>
      <c r="Y1530" s="89"/>
      <c r="Z1530" s="89"/>
      <c r="AA1530" s="89"/>
      <c r="AB1530" s="89"/>
      <c r="AC1530" s="291"/>
      <c r="AD1530" s="147" t="s">
        <v>694</v>
      </c>
      <c r="AE1530" s="148"/>
      <c r="AF1530" s="148"/>
      <c r="AG1530" s="148"/>
      <c r="AH1530" s="148"/>
      <c r="AI1530" s="201"/>
    </row>
    <row r="1531" spans="1:35" ht="15" customHeight="1" outlineLevel="1" x14ac:dyDescent="0.45">
      <c r="A1531" s="159"/>
      <c r="B1531" s="160"/>
      <c r="C1531" s="161"/>
      <c r="D1531" s="285"/>
      <c r="E1531" s="286"/>
      <c r="F1531" s="286"/>
      <c r="G1531" s="286"/>
      <c r="H1531" s="286"/>
      <c r="I1531" s="286"/>
      <c r="J1531" s="286"/>
      <c r="K1531" s="286"/>
      <c r="L1531" s="286"/>
      <c r="M1531" s="286"/>
      <c r="N1531" s="286"/>
      <c r="O1531" s="286"/>
      <c r="P1531" s="286"/>
      <c r="Q1531" s="286"/>
      <c r="R1531" s="286"/>
      <c r="S1531" s="286"/>
      <c r="T1531" s="286"/>
      <c r="U1531" s="286"/>
      <c r="V1531" s="286"/>
      <c r="W1531" s="286"/>
      <c r="X1531" s="286"/>
      <c r="Y1531" s="48"/>
      <c r="Z1531" s="48"/>
      <c r="AA1531" s="48"/>
      <c r="AB1531" s="48"/>
      <c r="AC1531" s="49"/>
      <c r="AD1531" s="154"/>
      <c r="AE1531" s="155"/>
      <c r="AF1531" s="155"/>
      <c r="AG1531" s="155"/>
      <c r="AH1531" s="155"/>
      <c r="AI1531" s="194"/>
    </row>
    <row r="1532" spans="1:35" ht="15" customHeight="1" outlineLevel="1" x14ac:dyDescent="0.45">
      <c r="A1532" s="164" t="s">
        <v>180</v>
      </c>
      <c r="B1532" s="165"/>
      <c r="C1532" s="166"/>
      <c r="D1532" s="283" t="s">
        <v>695</v>
      </c>
      <c r="E1532" s="284"/>
      <c r="F1532" s="284"/>
      <c r="G1532" s="284"/>
      <c r="H1532" s="284"/>
      <c r="I1532" s="284"/>
      <c r="J1532" s="284"/>
      <c r="K1532" s="284"/>
      <c r="L1532" s="284"/>
      <c r="M1532" s="284"/>
      <c r="N1532" s="284"/>
      <c r="O1532" s="284"/>
      <c r="P1532" s="284"/>
      <c r="Q1532" s="284"/>
      <c r="R1532" s="284"/>
      <c r="S1532" s="284"/>
      <c r="T1532" s="284"/>
      <c r="U1532" s="284"/>
      <c r="V1532" s="284"/>
      <c r="W1532" s="284"/>
      <c r="X1532" s="284"/>
      <c r="Y1532" s="89"/>
      <c r="Z1532" s="89"/>
      <c r="AA1532" s="89"/>
      <c r="AB1532" s="89"/>
      <c r="AC1532" s="291"/>
      <c r="AD1532" s="147" t="s">
        <v>696</v>
      </c>
      <c r="AE1532" s="148"/>
      <c r="AF1532" s="148"/>
      <c r="AG1532" s="148"/>
      <c r="AH1532" s="148"/>
      <c r="AI1532" s="201"/>
    </row>
    <row r="1533" spans="1:35" ht="15" customHeight="1" outlineLevel="1" x14ac:dyDescent="0.45">
      <c r="A1533" s="159"/>
      <c r="B1533" s="160"/>
      <c r="C1533" s="161"/>
      <c r="D1533" s="285"/>
      <c r="E1533" s="286"/>
      <c r="F1533" s="286"/>
      <c r="G1533" s="286"/>
      <c r="H1533" s="286"/>
      <c r="I1533" s="286"/>
      <c r="J1533" s="286"/>
      <c r="K1533" s="286"/>
      <c r="L1533" s="286"/>
      <c r="M1533" s="286"/>
      <c r="N1533" s="286"/>
      <c r="O1533" s="286"/>
      <c r="P1533" s="286"/>
      <c r="Q1533" s="286"/>
      <c r="R1533" s="286"/>
      <c r="S1533" s="286"/>
      <c r="T1533" s="286"/>
      <c r="U1533" s="286"/>
      <c r="V1533" s="286"/>
      <c r="W1533" s="286"/>
      <c r="X1533" s="286"/>
      <c r="Y1533" s="48"/>
      <c r="Z1533" s="48"/>
      <c r="AA1533" s="48"/>
      <c r="AB1533" s="48"/>
      <c r="AC1533" s="49"/>
      <c r="AD1533" s="154"/>
      <c r="AE1533" s="155"/>
      <c r="AF1533" s="155"/>
      <c r="AG1533" s="155"/>
      <c r="AH1533" s="155"/>
      <c r="AI1533" s="194"/>
    </row>
    <row r="1534" spans="1:35" ht="15" customHeight="1" outlineLevel="1" x14ac:dyDescent="0.45">
      <c r="A1534" s="168" t="s">
        <v>180</v>
      </c>
      <c r="B1534" s="169"/>
      <c r="C1534" s="170"/>
      <c r="D1534" s="116" t="s">
        <v>697</v>
      </c>
      <c r="E1534" s="117"/>
      <c r="F1534" s="117"/>
      <c r="G1534" s="117"/>
      <c r="H1534" s="117"/>
      <c r="I1534" s="117"/>
      <c r="J1534" s="117"/>
      <c r="K1534" s="117"/>
      <c r="L1534" s="117"/>
      <c r="M1534" s="117"/>
      <c r="N1534" s="117"/>
      <c r="O1534" s="117"/>
      <c r="P1534" s="117"/>
      <c r="Q1534" s="117"/>
      <c r="R1534" s="117"/>
      <c r="S1534" s="117"/>
      <c r="T1534" s="117"/>
      <c r="U1534" s="117"/>
      <c r="V1534" s="117"/>
      <c r="W1534" s="117"/>
      <c r="X1534" s="117"/>
      <c r="Y1534" s="52"/>
      <c r="Z1534" s="52"/>
      <c r="AA1534" s="52"/>
      <c r="AB1534" s="52"/>
      <c r="AC1534" s="200"/>
      <c r="AD1534" s="214"/>
      <c r="AE1534" s="215"/>
      <c r="AF1534" s="215"/>
      <c r="AG1534" s="215"/>
      <c r="AH1534" s="215"/>
      <c r="AI1534" s="216"/>
    </row>
    <row r="1535" spans="1:35" ht="15" customHeight="1" outlineLevel="1" x14ac:dyDescent="0.45">
      <c r="A1535" s="168" t="s">
        <v>180</v>
      </c>
      <c r="B1535" s="169"/>
      <c r="C1535" s="170"/>
      <c r="D1535" s="116" t="s">
        <v>698</v>
      </c>
      <c r="E1535" s="117"/>
      <c r="F1535" s="117"/>
      <c r="G1535" s="117"/>
      <c r="H1535" s="117"/>
      <c r="I1535" s="117"/>
      <c r="J1535" s="117"/>
      <c r="K1535" s="117"/>
      <c r="L1535" s="117"/>
      <c r="M1535" s="117"/>
      <c r="N1535" s="117"/>
      <c r="O1535" s="117"/>
      <c r="P1535" s="117"/>
      <c r="Q1535" s="117"/>
      <c r="R1535" s="117"/>
      <c r="S1535" s="117"/>
      <c r="T1535" s="117"/>
      <c r="U1535" s="117"/>
      <c r="V1535" s="117"/>
      <c r="W1535" s="117"/>
      <c r="X1535" s="117"/>
      <c r="Y1535" s="52"/>
      <c r="Z1535" s="52"/>
      <c r="AA1535" s="52"/>
      <c r="AB1535" s="52"/>
      <c r="AC1535" s="200"/>
      <c r="AD1535" s="214"/>
      <c r="AE1535" s="215"/>
      <c r="AF1535" s="215"/>
      <c r="AG1535" s="215"/>
      <c r="AH1535" s="215"/>
      <c r="AI1535" s="216"/>
    </row>
    <row r="1536" spans="1:35" ht="15" customHeight="1" outlineLevel="1" x14ac:dyDescent="0.45">
      <c r="A1536" s="168" t="s">
        <v>180</v>
      </c>
      <c r="B1536" s="169"/>
      <c r="C1536" s="170"/>
      <c r="D1536" s="116" t="s">
        <v>699</v>
      </c>
      <c r="E1536" s="117"/>
      <c r="F1536" s="117"/>
      <c r="G1536" s="117"/>
      <c r="H1536" s="117"/>
      <c r="I1536" s="117"/>
      <c r="J1536" s="117"/>
      <c r="K1536" s="117"/>
      <c r="L1536" s="117"/>
      <c r="M1536" s="117"/>
      <c r="N1536" s="117"/>
      <c r="O1536" s="117"/>
      <c r="P1536" s="117"/>
      <c r="Q1536" s="117"/>
      <c r="R1536" s="117"/>
      <c r="S1536" s="117"/>
      <c r="T1536" s="117"/>
      <c r="U1536" s="117"/>
      <c r="V1536" s="117"/>
      <c r="W1536" s="117"/>
      <c r="X1536" s="117"/>
      <c r="Y1536" s="52"/>
      <c r="Z1536" s="52"/>
      <c r="AA1536" s="52"/>
      <c r="AB1536" s="52"/>
      <c r="AC1536" s="200"/>
      <c r="AD1536" s="214"/>
      <c r="AE1536" s="215"/>
      <c r="AF1536" s="215"/>
      <c r="AG1536" s="215"/>
      <c r="AH1536" s="215"/>
      <c r="AI1536" s="216"/>
    </row>
    <row r="1537" spans="1:35" ht="15" customHeight="1" outlineLevel="1" x14ac:dyDescent="0.45">
      <c r="A1537" s="168" t="s">
        <v>180</v>
      </c>
      <c r="B1537" s="169"/>
      <c r="C1537" s="170"/>
      <c r="D1537" s="116" t="s">
        <v>700</v>
      </c>
      <c r="E1537" s="117"/>
      <c r="F1537" s="117"/>
      <c r="G1537" s="117"/>
      <c r="H1537" s="117"/>
      <c r="I1537" s="117"/>
      <c r="J1537" s="117"/>
      <c r="K1537" s="117"/>
      <c r="L1537" s="117"/>
      <c r="M1537" s="117"/>
      <c r="N1537" s="117"/>
      <c r="O1537" s="117"/>
      <c r="P1537" s="117"/>
      <c r="Q1537" s="117"/>
      <c r="R1537" s="117"/>
      <c r="S1537" s="117"/>
      <c r="T1537" s="117"/>
      <c r="U1537" s="117"/>
      <c r="V1537" s="117"/>
      <c r="W1537" s="117"/>
      <c r="X1537" s="117"/>
      <c r="Y1537" s="52"/>
      <c r="Z1537" s="52"/>
      <c r="AA1537" s="52"/>
      <c r="AB1537" s="52"/>
      <c r="AC1537" s="200"/>
      <c r="AD1537" s="214"/>
      <c r="AE1537" s="215"/>
      <c r="AF1537" s="215"/>
      <c r="AG1537" s="215"/>
      <c r="AH1537" s="215"/>
      <c r="AI1537" s="216"/>
    </row>
    <row r="1538" spans="1:35" ht="15" customHeight="1" outlineLevel="1" x14ac:dyDescent="0.45"/>
    <row r="1539" spans="1:35" ht="15" customHeight="1" outlineLevel="1" x14ac:dyDescent="0.45">
      <c r="A1539" s="176" t="s">
        <v>208</v>
      </c>
      <c r="B1539" s="177"/>
      <c r="C1539" s="177"/>
      <c r="D1539" s="177"/>
      <c r="E1539" s="177"/>
      <c r="F1539" s="177"/>
      <c r="G1539" s="177"/>
      <c r="H1539" s="177"/>
      <c r="I1539" s="177"/>
      <c r="J1539" s="177"/>
      <c r="K1539" s="177"/>
      <c r="L1539" s="177"/>
      <c r="M1539" s="177"/>
      <c r="N1539" s="177"/>
      <c r="O1539" s="177"/>
      <c r="P1539" s="177"/>
      <c r="Q1539" s="177"/>
      <c r="R1539" s="177"/>
      <c r="S1539" s="177"/>
      <c r="T1539" s="177"/>
      <c r="U1539" s="177"/>
      <c r="V1539" s="177"/>
      <c r="W1539" s="177"/>
      <c r="X1539" s="177"/>
      <c r="Y1539" s="177"/>
      <c r="Z1539" s="177"/>
      <c r="AA1539" s="177"/>
      <c r="AB1539" s="177"/>
      <c r="AC1539" s="177"/>
      <c r="AD1539" s="177"/>
      <c r="AE1539" s="177"/>
      <c r="AF1539" s="177"/>
      <c r="AG1539" s="177"/>
      <c r="AH1539" s="177"/>
      <c r="AI1539" s="178"/>
    </row>
    <row r="1540" spans="1:35" ht="15" customHeight="1" outlineLevel="1" x14ac:dyDescent="0.45">
      <c r="A1540" s="256"/>
      <c r="B1540" s="257"/>
      <c r="C1540" s="257"/>
      <c r="D1540" s="257"/>
      <c r="E1540" s="257"/>
      <c r="F1540" s="257"/>
      <c r="G1540" s="257"/>
      <c r="H1540" s="257"/>
      <c r="I1540" s="257"/>
      <c r="J1540" s="257"/>
      <c r="K1540" s="257"/>
      <c r="L1540" s="257"/>
      <c r="M1540" s="257"/>
      <c r="N1540" s="257"/>
      <c r="O1540" s="257"/>
      <c r="P1540" s="257"/>
      <c r="Q1540" s="257"/>
      <c r="R1540" s="257"/>
      <c r="S1540" s="257"/>
      <c r="T1540" s="257"/>
      <c r="U1540" s="257"/>
      <c r="V1540" s="257"/>
      <c r="W1540" s="257"/>
      <c r="X1540" s="257"/>
      <c r="Y1540" s="257"/>
      <c r="Z1540" s="257"/>
      <c r="AA1540" s="257"/>
      <c r="AB1540" s="257"/>
      <c r="AC1540" s="257"/>
      <c r="AD1540" s="257"/>
      <c r="AE1540" s="257"/>
      <c r="AF1540" s="257"/>
      <c r="AG1540" s="257"/>
      <c r="AH1540" s="257"/>
      <c r="AI1540" s="258"/>
    </row>
    <row r="1541" spans="1:35" ht="15" customHeight="1" outlineLevel="1" x14ac:dyDescent="0.45">
      <c r="A1541" s="259"/>
      <c r="B1541" s="260"/>
      <c r="C1541" s="260"/>
      <c r="D1541" s="260"/>
      <c r="E1541" s="260"/>
      <c r="F1541" s="260"/>
      <c r="G1541" s="260"/>
      <c r="H1541" s="260"/>
      <c r="I1541" s="260"/>
      <c r="J1541" s="260"/>
      <c r="K1541" s="260"/>
      <c r="L1541" s="260"/>
      <c r="M1541" s="260"/>
      <c r="N1541" s="260"/>
      <c r="O1541" s="260"/>
      <c r="P1541" s="260"/>
      <c r="Q1541" s="260"/>
      <c r="R1541" s="260"/>
      <c r="S1541" s="260"/>
      <c r="T1541" s="260"/>
      <c r="U1541" s="260"/>
      <c r="V1541" s="260"/>
      <c r="W1541" s="260"/>
      <c r="X1541" s="260"/>
      <c r="Y1541" s="260"/>
      <c r="Z1541" s="260"/>
      <c r="AA1541" s="260"/>
      <c r="AB1541" s="260"/>
      <c r="AC1541" s="260"/>
      <c r="AD1541" s="260"/>
      <c r="AE1541" s="260"/>
      <c r="AF1541" s="260"/>
      <c r="AG1541" s="260"/>
      <c r="AH1541" s="260"/>
      <c r="AI1541" s="261"/>
    </row>
    <row r="1542" spans="1:35" ht="15" customHeight="1" outlineLevel="1" x14ac:dyDescent="0.45">
      <c r="A1542" s="259"/>
      <c r="B1542" s="260"/>
      <c r="C1542" s="260"/>
      <c r="D1542" s="260"/>
      <c r="E1542" s="260"/>
      <c r="F1542" s="260"/>
      <c r="G1542" s="260"/>
      <c r="H1542" s="260"/>
      <c r="I1542" s="260"/>
      <c r="J1542" s="260"/>
      <c r="K1542" s="260"/>
      <c r="L1542" s="260"/>
      <c r="M1542" s="260"/>
      <c r="N1542" s="260"/>
      <c r="O1542" s="260"/>
      <c r="P1542" s="260"/>
      <c r="Q1542" s="260"/>
      <c r="R1542" s="260"/>
      <c r="S1542" s="260"/>
      <c r="T1542" s="260"/>
      <c r="U1542" s="260"/>
      <c r="V1542" s="260"/>
      <c r="W1542" s="260"/>
      <c r="X1542" s="260"/>
      <c r="Y1542" s="260"/>
      <c r="Z1542" s="260"/>
      <c r="AA1542" s="260"/>
      <c r="AB1542" s="260"/>
      <c r="AC1542" s="260"/>
      <c r="AD1542" s="260"/>
      <c r="AE1542" s="260"/>
      <c r="AF1542" s="260"/>
      <c r="AG1542" s="260"/>
      <c r="AH1542" s="260"/>
      <c r="AI1542" s="261"/>
    </row>
    <row r="1543" spans="1:35" ht="15" customHeight="1" outlineLevel="1" x14ac:dyDescent="0.45">
      <c r="A1543" s="259"/>
      <c r="B1543" s="260"/>
      <c r="C1543" s="260"/>
      <c r="D1543" s="260"/>
      <c r="E1543" s="260"/>
      <c r="F1543" s="260"/>
      <c r="G1543" s="260"/>
      <c r="H1543" s="260"/>
      <c r="I1543" s="260"/>
      <c r="J1543" s="260"/>
      <c r="K1543" s="260"/>
      <c r="L1543" s="260"/>
      <c r="M1543" s="260"/>
      <c r="N1543" s="260"/>
      <c r="O1543" s="260"/>
      <c r="P1543" s="260"/>
      <c r="Q1543" s="260"/>
      <c r="R1543" s="260"/>
      <c r="S1543" s="260"/>
      <c r="T1543" s="260"/>
      <c r="U1543" s="260"/>
      <c r="V1543" s="260"/>
      <c r="W1543" s="260"/>
      <c r="X1543" s="260"/>
      <c r="Y1543" s="260"/>
      <c r="Z1543" s="260"/>
      <c r="AA1543" s="260"/>
      <c r="AB1543" s="260"/>
      <c r="AC1543" s="260"/>
      <c r="AD1543" s="260"/>
      <c r="AE1543" s="260"/>
      <c r="AF1543" s="260"/>
      <c r="AG1543" s="260"/>
      <c r="AH1543" s="260"/>
      <c r="AI1543" s="261"/>
    </row>
    <row r="1544" spans="1:35" ht="15" customHeight="1" outlineLevel="1" x14ac:dyDescent="0.45">
      <c r="A1544" s="259"/>
      <c r="B1544" s="260"/>
      <c r="C1544" s="260"/>
      <c r="D1544" s="260"/>
      <c r="E1544" s="260"/>
      <c r="F1544" s="260"/>
      <c r="G1544" s="260"/>
      <c r="H1544" s="260"/>
      <c r="I1544" s="260"/>
      <c r="J1544" s="260"/>
      <c r="K1544" s="260"/>
      <c r="L1544" s="260"/>
      <c r="M1544" s="260"/>
      <c r="N1544" s="260"/>
      <c r="O1544" s="260"/>
      <c r="P1544" s="260"/>
      <c r="Q1544" s="260"/>
      <c r="R1544" s="260"/>
      <c r="S1544" s="260"/>
      <c r="T1544" s="260"/>
      <c r="U1544" s="260"/>
      <c r="V1544" s="260"/>
      <c r="W1544" s="260"/>
      <c r="X1544" s="260"/>
      <c r="Y1544" s="260"/>
      <c r="Z1544" s="260"/>
      <c r="AA1544" s="260"/>
      <c r="AB1544" s="260"/>
      <c r="AC1544" s="260"/>
      <c r="AD1544" s="260"/>
      <c r="AE1544" s="260"/>
      <c r="AF1544" s="260"/>
      <c r="AG1544" s="260"/>
      <c r="AH1544" s="260"/>
      <c r="AI1544" s="261"/>
    </row>
    <row r="1545" spans="1:35" ht="15" customHeight="1" outlineLevel="1" x14ac:dyDescent="0.45">
      <c r="A1545" s="259"/>
      <c r="B1545" s="260"/>
      <c r="C1545" s="260"/>
      <c r="D1545" s="260"/>
      <c r="E1545" s="260"/>
      <c r="F1545" s="260"/>
      <c r="G1545" s="260"/>
      <c r="H1545" s="260"/>
      <c r="I1545" s="260"/>
      <c r="J1545" s="260"/>
      <c r="K1545" s="260"/>
      <c r="L1545" s="260"/>
      <c r="M1545" s="260"/>
      <c r="N1545" s="260"/>
      <c r="O1545" s="260"/>
      <c r="P1545" s="260"/>
      <c r="Q1545" s="260"/>
      <c r="R1545" s="260"/>
      <c r="S1545" s="260"/>
      <c r="T1545" s="260"/>
      <c r="U1545" s="260"/>
      <c r="V1545" s="260"/>
      <c r="W1545" s="260"/>
      <c r="X1545" s="260"/>
      <c r="Y1545" s="260"/>
      <c r="Z1545" s="260"/>
      <c r="AA1545" s="260"/>
      <c r="AB1545" s="260"/>
      <c r="AC1545" s="260"/>
      <c r="AD1545" s="260"/>
      <c r="AE1545" s="260"/>
      <c r="AF1545" s="260"/>
      <c r="AG1545" s="260"/>
      <c r="AH1545" s="260"/>
      <c r="AI1545" s="261"/>
    </row>
    <row r="1546" spans="1:35" ht="15" customHeight="1" outlineLevel="1" x14ac:dyDescent="0.45">
      <c r="A1546" s="259"/>
      <c r="B1546" s="260"/>
      <c r="C1546" s="260"/>
      <c r="D1546" s="260"/>
      <c r="E1546" s="260"/>
      <c r="F1546" s="260"/>
      <c r="G1546" s="260"/>
      <c r="H1546" s="260"/>
      <c r="I1546" s="260"/>
      <c r="J1546" s="260"/>
      <c r="K1546" s="260"/>
      <c r="L1546" s="260"/>
      <c r="M1546" s="260"/>
      <c r="N1546" s="260"/>
      <c r="O1546" s="260"/>
      <c r="P1546" s="260"/>
      <c r="Q1546" s="260"/>
      <c r="R1546" s="260"/>
      <c r="S1546" s="260"/>
      <c r="T1546" s="260"/>
      <c r="U1546" s="260"/>
      <c r="V1546" s="260"/>
      <c r="W1546" s="260"/>
      <c r="X1546" s="260"/>
      <c r="Y1546" s="260"/>
      <c r="Z1546" s="260"/>
      <c r="AA1546" s="260"/>
      <c r="AB1546" s="260"/>
      <c r="AC1546" s="260"/>
      <c r="AD1546" s="260"/>
      <c r="AE1546" s="260"/>
      <c r="AF1546" s="260"/>
      <c r="AG1546" s="260"/>
      <c r="AH1546" s="260"/>
      <c r="AI1546" s="261"/>
    </row>
    <row r="1547" spans="1:35" ht="15" customHeight="1" outlineLevel="1" x14ac:dyDescent="0.45">
      <c r="A1547" s="259"/>
      <c r="B1547" s="260"/>
      <c r="C1547" s="260"/>
      <c r="D1547" s="260"/>
      <c r="E1547" s="260"/>
      <c r="F1547" s="260"/>
      <c r="G1547" s="260"/>
      <c r="H1547" s="260"/>
      <c r="I1547" s="260"/>
      <c r="J1547" s="260"/>
      <c r="K1547" s="260"/>
      <c r="L1547" s="260"/>
      <c r="M1547" s="260"/>
      <c r="N1547" s="260"/>
      <c r="O1547" s="260"/>
      <c r="P1547" s="260"/>
      <c r="Q1547" s="260"/>
      <c r="R1547" s="260"/>
      <c r="S1547" s="260"/>
      <c r="T1547" s="260"/>
      <c r="U1547" s="260"/>
      <c r="V1547" s="260"/>
      <c r="W1547" s="260"/>
      <c r="X1547" s="260"/>
      <c r="Y1547" s="260"/>
      <c r="Z1547" s="260"/>
      <c r="AA1547" s="260"/>
      <c r="AB1547" s="260"/>
      <c r="AC1547" s="260"/>
      <c r="AD1547" s="260"/>
      <c r="AE1547" s="260"/>
      <c r="AF1547" s="260"/>
      <c r="AG1547" s="260"/>
      <c r="AH1547" s="260"/>
      <c r="AI1547" s="261"/>
    </row>
    <row r="1548" spans="1:35" ht="15" customHeight="1" outlineLevel="1" x14ac:dyDescent="0.45">
      <c r="A1548" s="259"/>
      <c r="B1548" s="260"/>
      <c r="C1548" s="260"/>
      <c r="D1548" s="260"/>
      <c r="E1548" s="260"/>
      <c r="F1548" s="260"/>
      <c r="G1548" s="260"/>
      <c r="H1548" s="260"/>
      <c r="I1548" s="260"/>
      <c r="J1548" s="260"/>
      <c r="K1548" s="260"/>
      <c r="L1548" s="260"/>
      <c r="M1548" s="260"/>
      <c r="N1548" s="260"/>
      <c r="O1548" s="260"/>
      <c r="P1548" s="260"/>
      <c r="Q1548" s="260"/>
      <c r="R1548" s="260"/>
      <c r="S1548" s="260"/>
      <c r="T1548" s="260"/>
      <c r="U1548" s="260"/>
      <c r="V1548" s="260"/>
      <c r="W1548" s="260"/>
      <c r="X1548" s="260"/>
      <c r="Y1548" s="260"/>
      <c r="Z1548" s="260"/>
      <c r="AA1548" s="260"/>
      <c r="AB1548" s="260"/>
      <c r="AC1548" s="260"/>
      <c r="AD1548" s="260"/>
      <c r="AE1548" s="260"/>
      <c r="AF1548" s="260"/>
      <c r="AG1548" s="260"/>
      <c r="AH1548" s="260"/>
      <c r="AI1548" s="261"/>
    </row>
    <row r="1549" spans="1:35" ht="15" customHeight="1" outlineLevel="1" x14ac:dyDescent="0.45">
      <c r="A1549" s="259"/>
      <c r="B1549" s="260"/>
      <c r="C1549" s="260"/>
      <c r="D1549" s="260"/>
      <c r="E1549" s="260"/>
      <c r="F1549" s="260"/>
      <c r="G1549" s="260"/>
      <c r="H1549" s="260"/>
      <c r="I1549" s="260"/>
      <c r="J1549" s="260"/>
      <c r="K1549" s="260"/>
      <c r="L1549" s="260"/>
      <c r="M1549" s="260"/>
      <c r="N1549" s="260"/>
      <c r="O1549" s="260"/>
      <c r="P1549" s="260"/>
      <c r="Q1549" s="260"/>
      <c r="R1549" s="260"/>
      <c r="S1549" s="260"/>
      <c r="T1549" s="260"/>
      <c r="U1549" s="260"/>
      <c r="V1549" s="260"/>
      <c r="W1549" s="260"/>
      <c r="X1549" s="260"/>
      <c r="Y1549" s="260"/>
      <c r="Z1549" s="260"/>
      <c r="AA1549" s="260"/>
      <c r="AB1549" s="260"/>
      <c r="AC1549" s="260"/>
      <c r="AD1549" s="260"/>
      <c r="AE1549" s="260"/>
      <c r="AF1549" s="260"/>
      <c r="AG1549" s="260"/>
      <c r="AH1549" s="260"/>
      <c r="AI1549" s="261"/>
    </row>
    <row r="1550" spans="1:35" ht="15" customHeight="1" outlineLevel="1" x14ac:dyDescent="0.45">
      <c r="A1550" s="259"/>
      <c r="B1550" s="260"/>
      <c r="C1550" s="260"/>
      <c r="D1550" s="260"/>
      <c r="E1550" s="260"/>
      <c r="F1550" s="260"/>
      <c r="G1550" s="260"/>
      <c r="H1550" s="260"/>
      <c r="I1550" s="260"/>
      <c r="J1550" s="260"/>
      <c r="K1550" s="260"/>
      <c r="L1550" s="260"/>
      <c r="M1550" s="260"/>
      <c r="N1550" s="260"/>
      <c r="O1550" s="260"/>
      <c r="P1550" s="260"/>
      <c r="Q1550" s="260"/>
      <c r="R1550" s="260"/>
      <c r="S1550" s="260"/>
      <c r="T1550" s="260"/>
      <c r="U1550" s="260"/>
      <c r="V1550" s="260"/>
      <c r="W1550" s="260"/>
      <c r="X1550" s="260"/>
      <c r="Y1550" s="260"/>
      <c r="Z1550" s="260"/>
      <c r="AA1550" s="260"/>
      <c r="AB1550" s="260"/>
      <c r="AC1550" s="260"/>
      <c r="AD1550" s="260"/>
      <c r="AE1550" s="260"/>
      <c r="AF1550" s="260"/>
      <c r="AG1550" s="260"/>
      <c r="AH1550" s="260"/>
      <c r="AI1550" s="261"/>
    </row>
    <row r="1551" spans="1:35" ht="15" customHeight="1" outlineLevel="1" x14ac:dyDescent="0.45">
      <c r="A1551" s="259"/>
      <c r="B1551" s="260"/>
      <c r="C1551" s="260"/>
      <c r="D1551" s="260"/>
      <c r="E1551" s="260"/>
      <c r="F1551" s="260"/>
      <c r="G1551" s="260"/>
      <c r="H1551" s="260"/>
      <c r="I1551" s="260"/>
      <c r="J1551" s="260"/>
      <c r="K1551" s="260"/>
      <c r="L1551" s="260"/>
      <c r="M1551" s="260"/>
      <c r="N1551" s="260"/>
      <c r="O1551" s="260"/>
      <c r="P1551" s="260"/>
      <c r="Q1551" s="260"/>
      <c r="R1551" s="260"/>
      <c r="S1551" s="260"/>
      <c r="T1551" s="260"/>
      <c r="U1551" s="260"/>
      <c r="V1551" s="260"/>
      <c r="W1551" s="260"/>
      <c r="X1551" s="260"/>
      <c r="Y1551" s="260"/>
      <c r="Z1551" s="260"/>
      <c r="AA1551" s="260"/>
      <c r="AB1551" s="260"/>
      <c r="AC1551" s="260"/>
      <c r="AD1551" s="260"/>
      <c r="AE1551" s="260"/>
      <c r="AF1551" s="260"/>
      <c r="AG1551" s="260"/>
      <c r="AH1551" s="260"/>
      <c r="AI1551" s="261"/>
    </row>
    <row r="1552" spans="1:35" ht="15" customHeight="1" outlineLevel="1" x14ac:dyDescent="0.45">
      <c r="A1552" s="259"/>
      <c r="B1552" s="260"/>
      <c r="C1552" s="260"/>
      <c r="D1552" s="260"/>
      <c r="E1552" s="260"/>
      <c r="F1552" s="260"/>
      <c r="G1552" s="260"/>
      <c r="H1552" s="260"/>
      <c r="I1552" s="260"/>
      <c r="J1552" s="260"/>
      <c r="K1552" s="260"/>
      <c r="L1552" s="260"/>
      <c r="M1552" s="260"/>
      <c r="N1552" s="260"/>
      <c r="O1552" s="260"/>
      <c r="P1552" s="260"/>
      <c r="Q1552" s="260"/>
      <c r="R1552" s="260"/>
      <c r="S1552" s="260"/>
      <c r="T1552" s="260"/>
      <c r="U1552" s="260"/>
      <c r="V1552" s="260"/>
      <c r="W1552" s="260"/>
      <c r="X1552" s="260"/>
      <c r="Y1552" s="260"/>
      <c r="Z1552" s="260"/>
      <c r="AA1552" s="260"/>
      <c r="AB1552" s="260"/>
      <c r="AC1552" s="260"/>
      <c r="AD1552" s="260"/>
      <c r="AE1552" s="260"/>
      <c r="AF1552" s="260"/>
      <c r="AG1552" s="260"/>
      <c r="AH1552" s="260"/>
      <c r="AI1552" s="261"/>
    </row>
    <row r="1553" spans="1:35" ht="15" customHeight="1" outlineLevel="1" x14ac:dyDescent="0.45">
      <c r="A1553" s="259"/>
      <c r="B1553" s="260"/>
      <c r="C1553" s="260"/>
      <c r="D1553" s="260"/>
      <c r="E1553" s="260"/>
      <c r="F1553" s="260"/>
      <c r="G1553" s="260"/>
      <c r="H1553" s="260"/>
      <c r="I1553" s="260"/>
      <c r="J1553" s="260"/>
      <c r="K1553" s="260"/>
      <c r="L1553" s="260"/>
      <c r="M1553" s="260"/>
      <c r="N1553" s="260"/>
      <c r="O1553" s="260"/>
      <c r="P1553" s="260"/>
      <c r="Q1553" s="260"/>
      <c r="R1553" s="260"/>
      <c r="S1553" s="260"/>
      <c r="T1553" s="260"/>
      <c r="U1553" s="260"/>
      <c r="V1553" s="260"/>
      <c r="W1553" s="260"/>
      <c r="X1553" s="260"/>
      <c r="Y1553" s="260"/>
      <c r="Z1553" s="260"/>
      <c r="AA1553" s="260"/>
      <c r="AB1553" s="260"/>
      <c r="AC1553" s="260"/>
      <c r="AD1553" s="260"/>
      <c r="AE1553" s="260"/>
      <c r="AF1553" s="260"/>
      <c r="AG1553" s="260"/>
      <c r="AH1553" s="260"/>
      <c r="AI1553" s="261"/>
    </row>
    <row r="1554" spans="1:35" ht="15" customHeight="1" outlineLevel="1" x14ac:dyDescent="0.45">
      <c r="A1554" s="259"/>
      <c r="B1554" s="260"/>
      <c r="C1554" s="260"/>
      <c r="D1554" s="260"/>
      <c r="E1554" s="260"/>
      <c r="F1554" s="260"/>
      <c r="G1554" s="260"/>
      <c r="H1554" s="260"/>
      <c r="I1554" s="260"/>
      <c r="J1554" s="260"/>
      <c r="K1554" s="260"/>
      <c r="L1554" s="260"/>
      <c r="M1554" s="260"/>
      <c r="N1554" s="260"/>
      <c r="O1554" s="260"/>
      <c r="P1554" s="260"/>
      <c r="Q1554" s="260"/>
      <c r="R1554" s="260"/>
      <c r="S1554" s="260"/>
      <c r="T1554" s="260"/>
      <c r="U1554" s="260"/>
      <c r="V1554" s="260"/>
      <c r="W1554" s="260"/>
      <c r="X1554" s="260"/>
      <c r="Y1554" s="260"/>
      <c r="Z1554" s="260"/>
      <c r="AA1554" s="260"/>
      <c r="AB1554" s="260"/>
      <c r="AC1554" s="260"/>
      <c r="AD1554" s="260"/>
      <c r="AE1554" s="260"/>
      <c r="AF1554" s="260"/>
      <c r="AG1554" s="260"/>
      <c r="AH1554" s="260"/>
      <c r="AI1554" s="261"/>
    </row>
    <row r="1555" spans="1:35" ht="15" customHeight="1" outlineLevel="1" x14ac:dyDescent="0.45">
      <c r="A1555" s="259"/>
      <c r="B1555" s="260"/>
      <c r="C1555" s="260"/>
      <c r="D1555" s="260"/>
      <c r="E1555" s="260"/>
      <c r="F1555" s="260"/>
      <c r="G1555" s="260"/>
      <c r="H1555" s="260"/>
      <c r="I1555" s="260"/>
      <c r="J1555" s="260"/>
      <c r="K1555" s="260"/>
      <c r="L1555" s="260"/>
      <c r="M1555" s="260"/>
      <c r="N1555" s="260"/>
      <c r="O1555" s="260"/>
      <c r="P1555" s="260"/>
      <c r="Q1555" s="260"/>
      <c r="R1555" s="260"/>
      <c r="S1555" s="260"/>
      <c r="T1555" s="260"/>
      <c r="U1555" s="260"/>
      <c r="V1555" s="260"/>
      <c r="W1555" s="260"/>
      <c r="X1555" s="260"/>
      <c r="Y1555" s="260"/>
      <c r="Z1555" s="260"/>
      <c r="AA1555" s="260"/>
      <c r="AB1555" s="260"/>
      <c r="AC1555" s="260"/>
      <c r="AD1555" s="260"/>
      <c r="AE1555" s="260"/>
      <c r="AF1555" s="260"/>
      <c r="AG1555" s="260"/>
      <c r="AH1555" s="260"/>
      <c r="AI1555" s="261"/>
    </row>
    <row r="1556" spans="1:35" ht="15" customHeight="1" outlineLevel="1" x14ac:dyDescent="0.45">
      <c r="A1556" s="259"/>
      <c r="B1556" s="260"/>
      <c r="C1556" s="260"/>
      <c r="D1556" s="260"/>
      <c r="E1556" s="260"/>
      <c r="F1556" s="260"/>
      <c r="G1556" s="260"/>
      <c r="H1556" s="260"/>
      <c r="I1556" s="260"/>
      <c r="J1556" s="260"/>
      <c r="K1556" s="260"/>
      <c r="L1556" s="260"/>
      <c r="M1556" s="260"/>
      <c r="N1556" s="260"/>
      <c r="O1556" s="260"/>
      <c r="P1556" s="260"/>
      <c r="Q1556" s="260"/>
      <c r="R1556" s="260"/>
      <c r="S1556" s="260"/>
      <c r="T1556" s="260"/>
      <c r="U1556" s="260"/>
      <c r="V1556" s="260"/>
      <c r="W1556" s="260"/>
      <c r="X1556" s="260"/>
      <c r="Y1556" s="260"/>
      <c r="Z1556" s="260"/>
      <c r="AA1556" s="260"/>
      <c r="AB1556" s="260"/>
      <c r="AC1556" s="260"/>
      <c r="AD1556" s="260"/>
      <c r="AE1556" s="260"/>
      <c r="AF1556" s="260"/>
      <c r="AG1556" s="260"/>
      <c r="AH1556" s="260"/>
      <c r="AI1556" s="261"/>
    </row>
    <row r="1557" spans="1:35" ht="15" customHeight="1" outlineLevel="1" x14ac:dyDescent="0.45">
      <c r="A1557" s="259"/>
      <c r="B1557" s="260"/>
      <c r="C1557" s="260"/>
      <c r="D1557" s="260"/>
      <c r="E1557" s="260"/>
      <c r="F1557" s="260"/>
      <c r="G1557" s="260"/>
      <c r="H1557" s="260"/>
      <c r="I1557" s="260"/>
      <c r="J1557" s="260"/>
      <c r="K1557" s="260"/>
      <c r="L1557" s="260"/>
      <c r="M1557" s="260"/>
      <c r="N1557" s="260"/>
      <c r="O1557" s="260"/>
      <c r="P1557" s="260"/>
      <c r="Q1557" s="260"/>
      <c r="R1557" s="260"/>
      <c r="S1557" s="260"/>
      <c r="T1557" s="260"/>
      <c r="U1557" s="260"/>
      <c r="V1557" s="260"/>
      <c r="W1557" s="260"/>
      <c r="X1557" s="260"/>
      <c r="Y1557" s="260"/>
      <c r="Z1557" s="260"/>
      <c r="AA1557" s="260"/>
      <c r="AB1557" s="260"/>
      <c r="AC1557" s="260"/>
      <c r="AD1557" s="260"/>
      <c r="AE1557" s="260"/>
      <c r="AF1557" s="260"/>
      <c r="AG1557" s="260"/>
      <c r="AH1557" s="260"/>
      <c r="AI1557" s="261"/>
    </row>
    <row r="1558" spans="1:35" ht="15" customHeight="1" outlineLevel="1" x14ac:dyDescent="0.45">
      <c r="A1558" s="259"/>
      <c r="B1558" s="260"/>
      <c r="C1558" s="260"/>
      <c r="D1558" s="260"/>
      <c r="E1558" s="260"/>
      <c r="F1558" s="260"/>
      <c r="G1558" s="260"/>
      <c r="H1558" s="260"/>
      <c r="I1558" s="260"/>
      <c r="J1558" s="260"/>
      <c r="K1558" s="260"/>
      <c r="L1558" s="260"/>
      <c r="M1558" s="260"/>
      <c r="N1558" s="260"/>
      <c r="O1558" s="260"/>
      <c r="P1558" s="260"/>
      <c r="Q1558" s="260"/>
      <c r="R1558" s="260"/>
      <c r="S1558" s="260"/>
      <c r="T1558" s="260"/>
      <c r="U1558" s="260"/>
      <c r="V1558" s="260"/>
      <c r="W1558" s="260"/>
      <c r="X1558" s="260"/>
      <c r="Y1558" s="260"/>
      <c r="Z1558" s="260"/>
      <c r="AA1558" s="260"/>
      <c r="AB1558" s="260"/>
      <c r="AC1558" s="260"/>
      <c r="AD1558" s="260"/>
      <c r="AE1558" s="260"/>
      <c r="AF1558" s="260"/>
      <c r="AG1558" s="260"/>
      <c r="AH1558" s="260"/>
      <c r="AI1558" s="261"/>
    </row>
    <row r="1559" spans="1:35" ht="15" customHeight="1" outlineLevel="1" x14ac:dyDescent="0.45">
      <c r="A1559" s="259"/>
      <c r="B1559" s="260"/>
      <c r="C1559" s="260"/>
      <c r="D1559" s="260"/>
      <c r="E1559" s="260"/>
      <c r="F1559" s="260"/>
      <c r="G1559" s="260"/>
      <c r="H1559" s="260"/>
      <c r="I1559" s="260"/>
      <c r="J1559" s="260"/>
      <c r="K1559" s="260"/>
      <c r="L1559" s="260"/>
      <c r="M1559" s="260"/>
      <c r="N1559" s="260"/>
      <c r="O1559" s="260"/>
      <c r="P1559" s="260"/>
      <c r="Q1559" s="260"/>
      <c r="R1559" s="260"/>
      <c r="S1559" s="260"/>
      <c r="T1559" s="260"/>
      <c r="U1559" s="260"/>
      <c r="V1559" s="260"/>
      <c r="W1559" s="260"/>
      <c r="X1559" s="260"/>
      <c r="Y1559" s="260"/>
      <c r="Z1559" s="260"/>
      <c r="AA1559" s="260"/>
      <c r="AB1559" s="260"/>
      <c r="AC1559" s="260"/>
      <c r="AD1559" s="260"/>
      <c r="AE1559" s="260"/>
      <c r="AF1559" s="260"/>
      <c r="AG1559" s="260"/>
      <c r="AH1559" s="260"/>
      <c r="AI1559" s="261"/>
    </row>
    <row r="1560" spans="1:35" ht="15" customHeight="1" outlineLevel="1" x14ac:dyDescent="0.45">
      <c r="A1560" s="259"/>
      <c r="B1560" s="260"/>
      <c r="C1560" s="260"/>
      <c r="D1560" s="260"/>
      <c r="E1560" s="260"/>
      <c r="F1560" s="260"/>
      <c r="G1560" s="260"/>
      <c r="H1560" s="260"/>
      <c r="I1560" s="260"/>
      <c r="J1560" s="260"/>
      <c r="K1560" s="260"/>
      <c r="L1560" s="260"/>
      <c r="M1560" s="260"/>
      <c r="N1560" s="260"/>
      <c r="O1560" s="260"/>
      <c r="P1560" s="260"/>
      <c r="Q1560" s="260"/>
      <c r="R1560" s="260"/>
      <c r="S1560" s="260"/>
      <c r="T1560" s="260"/>
      <c r="U1560" s="260"/>
      <c r="V1560" s="260"/>
      <c r="W1560" s="260"/>
      <c r="X1560" s="260"/>
      <c r="Y1560" s="260"/>
      <c r="Z1560" s="260"/>
      <c r="AA1560" s="260"/>
      <c r="AB1560" s="260"/>
      <c r="AC1560" s="260"/>
      <c r="AD1560" s="260"/>
      <c r="AE1560" s="260"/>
      <c r="AF1560" s="260"/>
      <c r="AG1560" s="260"/>
      <c r="AH1560" s="260"/>
      <c r="AI1560" s="261"/>
    </row>
    <row r="1561" spans="1:35" ht="15" customHeight="1" outlineLevel="1" x14ac:dyDescent="0.45">
      <c r="A1561" s="259"/>
      <c r="B1561" s="260"/>
      <c r="C1561" s="260"/>
      <c r="D1561" s="260"/>
      <c r="E1561" s="260"/>
      <c r="F1561" s="260"/>
      <c r="G1561" s="260"/>
      <c r="H1561" s="260"/>
      <c r="I1561" s="260"/>
      <c r="J1561" s="260"/>
      <c r="K1561" s="260"/>
      <c r="L1561" s="260"/>
      <c r="M1561" s="260"/>
      <c r="N1561" s="260"/>
      <c r="O1561" s="260"/>
      <c r="P1561" s="260"/>
      <c r="Q1561" s="260"/>
      <c r="R1561" s="260"/>
      <c r="S1561" s="260"/>
      <c r="T1561" s="260"/>
      <c r="U1561" s="260"/>
      <c r="V1561" s="260"/>
      <c r="W1561" s="260"/>
      <c r="X1561" s="260"/>
      <c r="Y1561" s="260"/>
      <c r="Z1561" s="260"/>
      <c r="AA1561" s="260"/>
      <c r="AB1561" s="260"/>
      <c r="AC1561" s="260"/>
      <c r="AD1561" s="260"/>
      <c r="AE1561" s="260"/>
      <c r="AF1561" s="260"/>
      <c r="AG1561" s="260"/>
      <c r="AH1561" s="260"/>
      <c r="AI1561" s="261"/>
    </row>
    <row r="1562" spans="1:35" ht="15" customHeight="1" outlineLevel="1" x14ac:dyDescent="0.45">
      <c r="A1562" s="259"/>
      <c r="B1562" s="260"/>
      <c r="C1562" s="260"/>
      <c r="D1562" s="260"/>
      <c r="E1562" s="260"/>
      <c r="F1562" s="260"/>
      <c r="G1562" s="260"/>
      <c r="H1562" s="260"/>
      <c r="I1562" s="260"/>
      <c r="J1562" s="260"/>
      <c r="K1562" s="260"/>
      <c r="L1562" s="260"/>
      <c r="M1562" s="260"/>
      <c r="N1562" s="260"/>
      <c r="O1562" s="260"/>
      <c r="P1562" s="260"/>
      <c r="Q1562" s="260"/>
      <c r="R1562" s="260"/>
      <c r="S1562" s="260"/>
      <c r="T1562" s="260"/>
      <c r="U1562" s="260"/>
      <c r="V1562" s="260"/>
      <c r="W1562" s="260"/>
      <c r="X1562" s="260"/>
      <c r="Y1562" s="260"/>
      <c r="Z1562" s="260"/>
      <c r="AA1562" s="260"/>
      <c r="AB1562" s="260"/>
      <c r="AC1562" s="260"/>
      <c r="AD1562" s="260"/>
      <c r="AE1562" s="260"/>
      <c r="AF1562" s="260"/>
      <c r="AG1562" s="260"/>
      <c r="AH1562" s="260"/>
      <c r="AI1562" s="261"/>
    </row>
    <row r="1563" spans="1:35" ht="15" customHeight="1" outlineLevel="1" x14ac:dyDescent="0.45">
      <c r="A1563" s="259"/>
      <c r="B1563" s="260"/>
      <c r="C1563" s="260"/>
      <c r="D1563" s="260"/>
      <c r="E1563" s="260"/>
      <c r="F1563" s="260"/>
      <c r="G1563" s="260"/>
      <c r="H1563" s="260"/>
      <c r="I1563" s="260"/>
      <c r="J1563" s="260"/>
      <c r="K1563" s="260"/>
      <c r="L1563" s="260"/>
      <c r="M1563" s="260"/>
      <c r="N1563" s="260"/>
      <c r="O1563" s="260"/>
      <c r="P1563" s="260"/>
      <c r="Q1563" s="260"/>
      <c r="R1563" s="260"/>
      <c r="S1563" s="260"/>
      <c r="T1563" s="260"/>
      <c r="U1563" s="260"/>
      <c r="V1563" s="260"/>
      <c r="W1563" s="260"/>
      <c r="X1563" s="260"/>
      <c r="Y1563" s="260"/>
      <c r="Z1563" s="260"/>
      <c r="AA1563" s="260"/>
      <c r="AB1563" s="260"/>
      <c r="AC1563" s="260"/>
      <c r="AD1563" s="260"/>
      <c r="AE1563" s="260"/>
      <c r="AF1563" s="260"/>
      <c r="AG1563" s="260"/>
      <c r="AH1563" s="260"/>
      <c r="AI1563" s="261"/>
    </row>
    <row r="1564" spans="1:35" ht="15" customHeight="1" outlineLevel="1" x14ac:dyDescent="0.45">
      <c r="A1564" s="259"/>
      <c r="B1564" s="260"/>
      <c r="C1564" s="260"/>
      <c r="D1564" s="260"/>
      <c r="E1564" s="260"/>
      <c r="F1564" s="260"/>
      <c r="G1564" s="260"/>
      <c r="H1564" s="260"/>
      <c r="I1564" s="260"/>
      <c r="J1564" s="260"/>
      <c r="K1564" s="260"/>
      <c r="L1564" s="260"/>
      <c r="M1564" s="260"/>
      <c r="N1564" s="260"/>
      <c r="O1564" s="260"/>
      <c r="P1564" s="260"/>
      <c r="Q1564" s="260"/>
      <c r="R1564" s="260"/>
      <c r="S1564" s="260"/>
      <c r="T1564" s="260"/>
      <c r="U1564" s="260"/>
      <c r="V1564" s="260"/>
      <c r="W1564" s="260"/>
      <c r="X1564" s="260"/>
      <c r="Y1564" s="260"/>
      <c r="Z1564" s="260"/>
      <c r="AA1564" s="260"/>
      <c r="AB1564" s="260"/>
      <c r="AC1564" s="260"/>
      <c r="AD1564" s="260"/>
      <c r="AE1564" s="260"/>
      <c r="AF1564" s="260"/>
      <c r="AG1564" s="260"/>
      <c r="AH1564" s="260"/>
      <c r="AI1564" s="261"/>
    </row>
    <row r="1565" spans="1:35" ht="15" customHeight="1" outlineLevel="1" x14ac:dyDescent="0.45">
      <c r="A1565" s="262"/>
      <c r="B1565" s="263"/>
      <c r="C1565" s="263"/>
      <c r="D1565" s="263"/>
      <c r="E1565" s="263"/>
      <c r="F1565" s="263"/>
      <c r="G1565" s="263"/>
      <c r="H1565" s="263"/>
      <c r="I1565" s="263"/>
      <c r="J1565" s="263"/>
      <c r="K1565" s="263"/>
      <c r="L1565" s="263"/>
      <c r="M1565" s="263"/>
      <c r="N1565" s="263"/>
      <c r="O1565" s="263"/>
      <c r="P1565" s="263"/>
      <c r="Q1565" s="263"/>
      <c r="R1565" s="263"/>
      <c r="S1565" s="263"/>
      <c r="T1565" s="263"/>
      <c r="U1565" s="263"/>
      <c r="V1565" s="263"/>
      <c r="W1565" s="263"/>
      <c r="X1565" s="263"/>
      <c r="Y1565" s="263"/>
      <c r="Z1565" s="263"/>
      <c r="AA1565" s="263"/>
      <c r="AB1565" s="263"/>
      <c r="AC1565" s="263"/>
      <c r="AD1565" s="263"/>
      <c r="AE1565" s="263"/>
      <c r="AF1565" s="263"/>
      <c r="AG1565" s="263"/>
      <c r="AH1565" s="263"/>
      <c r="AI1565" s="264"/>
    </row>
    <row r="1566" spans="1:35" ht="15" customHeight="1" outlineLevel="1" x14ac:dyDescent="0.45"/>
    <row r="1567" spans="1:35" ht="15" customHeight="1" outlineLevel="1" x14ac:dyDescent="0.45">
      <c r="A1567" s="14" t="s">
        <v>701</v>
      </c>
      <c r="B1567" s="14"/>
      <c r="C1567" s="14"/>
      <c r="D1567" s="14"/>
      <c r="E1567" s="14"/>
      <c r="F1567" s="14"/>
      <c r="G1567" s="15"/>
      <c r="H1567" s="15"/>
      <c r="I1567" s="15"/>
      <c r="J1567" s="15"/>
      <c r="K1567" s="15"/>
      <c r="L1567" s="15"/>
      <c r="M1567" s="15"/>
      <c r="N1567" s="15"/>
      <c r="O1567" s="15"/>
      <c r="P1567" s="15"/>
      <c r="Q1567" s="15"/>
      <c r="R1567" s="15"/>
      <c r="S1567" s="15"/>
      <c r="T1567" s="15"/>
      <c r="U1567" s="15"/>
      <c r="V1567" s="15"/>
      <c r="W1567" s="15"/>
      <c r="X1567" s="15"/>
      <c r="Y1567" s="15"/>
      <c r="Z1567" s="15"/>
      <c r="AA1567" s="15"/>
      <c r="AB1567" s="15"/>
      <c r="AC1567" s="66"/>
      <c r="AD1567" s="66"/>
      <c r="AE1567" s="66"/>
      <c r="AF1567" s="66"/>
      <c r="AG1567" s="66"/>
      <c r="AH1567" s="66"/>
      <c r="AI1567" s="66"/>
    </row>
    <row r="1568" spans="1:35" ht="15" customHeight="1" outlineLevel="1" x14ac:dyDescent="0.45"/>
    <row r="1569" ht="15" customHeight="1" outlineLevel="1" x14ac:dyDescent="0.45"/>
    <row r="1570" ht="15" customHeight="1" outlineLevel="1" x14ac:dyDescent="0.45"/>
    <row r="1571" ht="15" customHeight="1" outlineLevel="1" x14ac:dyDescent="0.45"/>
    <row r="1572" ht="15" customHeight="1" outlineLevel="1" x14ac:dyDescent="0.45"/>
    <row r="1573" ht="15" customHeight="1" outlineLevel="1" x14ac:dyDescent="0.45"/>
    <row r="1574" ht="15" customHeight="1" outlineLevel="1" x14ac:dyDescent="0.45"/>
    <row r="1575" ht="15" customHeight="1" outlineLevel="1" x14ac:dyDescent="0.45"/>
    <row r="1576" ht="15" customHeight="1" outlineLevel="1" x14ac:dyDescent="0.45"/>
    <row r="1577" ht="15" customHeight="1" outlineLevel="1" x14ac:dyDescent="0.45"/>
    <row r="1578" ht="15" customHeight="1" outlineLevel="1" x14ac:dyDescent="0.45"/>
    <row r="1579" ht="15" customHeight="1" outlineLevel="1" x14ac:dyDescent="0.45"/>
    <row r="1580" ht="15" customHeight="1" outlineLevel="1" x14ac:dyDescent="0.45"/>
    <row r="1581" ht="15" customHeight="1" outlineLevel="1" x14ac:dyDescent="0.45"/>
    <row r="1582" ht="15" customHeight="1" outlineLevel="1" x14ac:dyDescent="0.45"/>
    <row r="1583" ht="15" customHeight="1" outlineLevel="1" x14ac:dyDescent="0.45"/>
    <row r="1584" ht="15" customHeight="1" outlineLevel="1" x14ac:dyDescent="0.45"/>
    <row r="1585" ht="15" customHeight="1" outlineLevel="1" x14ac:dyDescent="0.45"/>
    <row r="1586" ht="15" customHeight="1" outlineLevel="1" x14ac:dyDescent="0.45"/>
    <row r="1587" ht="15" customHeight="1" outlineLevel="1" x14ac:dyDescent="0.45"/>
    <row r="1588" ht="15" customHeight="1" outlineLevel="1" x14ac:dyDescent="0.45"/>
    <row r="1589" ht="15" customHeight="1" outlineLevel="1" x14ac:dyDescent="0.45"/>
    <row r="1590" ht="15" customHeight="1" outlineLevel="1" x14ac:dyDescent="0.45"/>
    <row r="1591" ht="15" customHeight="1" outlineLevel="1" x14ac:dyDescent="0.45"/>
    <row r="1592" ht="15" customHeight="1" outlineLevel="1" x14ac:dyDescent="0.45"/>
    <row r="1593" ht="15" customHeight="1" outlineLevel="1" x14ac:dyDescent="0.45"/>
    <row r="1594" ht="15" customHeight="1" outlineLevel="1" x14ac:dyDescent="0.45"/>
    <row r="1595" ht="15" customHeight="1" outlineLevel="1" x14ac:dyDescent="0.45"/>
    <row r="1596" ht="15" customHeight="1" outlineLevel="1" x14ac:dyDescent="0.45"/>
    <row r="1597" ht="15" customHeight="1" outlineLevel="1" x14ac:dyDescent="0.45"/>
    <row r="1598" ht="15" customHeight="1" outlineLevel="1" x14ac:dyDescent="0.45"/>
    <row r="1599" ht="15" customHeight="1" outlineLevel="1" x14ac:dyDescent="0.45"/>
    <row r="1600" ht="15" customHeight="1" outlineLevel="1" x14ac:dyDescent="0.45"/>
    <row r="1601" spans="1:35" ht="15" customHeight="1" outlineLevel="1" x14ac:dyDescent="0.45"/>
    <row r="1602" spans="1:35" ht="15" customHeight="1" outlineLevel="1" x14ac:dyDescent="0.45"/>
    <row r="1603" spans="1:35" ht="15" customHeight="1" outlineLevel="1" x14ac:dyDescent="0.45"/>
    <row r="1604" spans="1:35" ht="15" customHeight="1" outlineLevel="1" x14ac:dyDescent="0.45"/>
    <row r="1605" spans="1:35" ht="15" customHeight="1" outlineLevel="1" x14ac:dyDescent="0.45"/>
    <row r="1606" spans="1:35" ht="15" customHeight="1" outlineLevel="1" x14ac:dyDescent="0.45"/>
    <row r="1607" spans="1:35" ht="15" customHeight="1" outlineLevel="1" x14ac:dyDescent="0.45"/>
    <row r="1608" spans="1:35" ht="15" customHeight="1" outlineLevel="1" x14ac:dyDescent="0.45"/>
    <row r="1609" spans="1:35" ht="15" customHeight="1" outlineLevel="1" x14ac:dyDescent="0.45"/>
    <row r="1610" spans="1:35" ht="15" customHeight="1" outlineLevel="1" x14ac:dyDescent="0.45"/>
    <row r="1611" spans="1:35" ht="15" customHeight="1" outlineLevel="1" x14ac:dyDescent="0.45"/>
    <row r="1612" spans="1:35" ht="15" customHeight="1" outlineLevel="1" x14ac:dyDescent="0.45"/>
    <row r="1613" spans="1:35" ht="15" customHeight="1" outlineLevel="1" x14ac:dyDescent="0.45"/>
    <row r="1614" spans="1:35" ht="15" customHeight="1" outlineLevel="1" x14ac:dyDescent="0.45"/>
    <row r="1615" spans="1:35" ht="15" customHeight="1" x14ac:dyDescent="0.45"/>
    <row r="1616" spans="1:35" ht="15" customHeight="1" x14ac:dyDescent="0.45">
      <c r="A1616" s="14" t="s">
        <v>702</v>
      </c>
      <c r="B1616" s="14"/>
      <c r="C1616" s="14"/>
      <c r="D1616" s="14"/>
      <c r="E1616" s="14"/>
      <c r="F1616" s="15" t="s">
        <v>703</v>
      </c>
      <c r="G1616" s="15"/>
      <c r="H1616" s="15"/>
      <c r="I1616" s="15"/>
      <c r="J1616" s="15"/>
      <c r="K1616" s="15"/>
      <c r="L1616" s="15"/>
      <c r="M1616" s="15"/>
      <c r="N1616" s="15"/>
      <c r="O1616" s="15"/>
      <c r="P1616" s="15"/>
      <c r="Q1616" s="15"/>
      <c r="R1616" s="15"/>
      <c r="S1616" s="15"/>
      <c r="T1616" s="15"/>
      <c r="U1616" s="15"/>
      <c r="V1616" s="15"/>
      <c r="W1616" s="15"/>
      <c r="X1616" s="15"/>
      <c r="Y1616" s="15"/>
      <c r="Z1616" s="15"/>
      <c r="AA1616" s="15"/>
      <c r="AB1616" s="15"/>
      <c r="AC1616" s="66" t="s">
        <v>701</v>
      </c>
      <c r="AD1616" s="66"/>
      <c r="AE1616" s="66"/>
      <c r="AF1616" s="66"/>
      <c r="AG1616" s="66"/>
      <c r="AH1616" s="66"/>
      <c r="AI1616" s="66"/>
    </row>
    <row r="1617" spans="1:35" ht="15" customHeight="1" x14ac:dyDescent="0.45"/>
    <row r="1618" spans="1:35" ht="15" customHeight="1" thickBot="1" x14ac:dyDescent="0.5">
      <c r="A1618" s="78" t="s">
        <v>98</v>
      </c>
      <c r="B1618" s="79"/>
      <c r="C1618" s="80"/>
      <c r="D1618" s="78" t="s">
        <v>99</v>
      </c>
      <c r="E1618" s="79"/>
      <c r="F1618" s="79"/>
      <c r="G1618" s="79"/>
      <c r="H1618" s="79"/>
      <c r="I1618" s="79"/>
      <c r="J1618" s="79"/>
      <c r="K1618" s="79"/>
      <c r="L1618" s="79"/>
      <c r="M1618" s="79"/>
      <c r="N1618" s="79"/>
      <c r="O1618" s="79"/>
      <c r="P1618" s="79"/>
      <c r="Q1618" s="79"/>
      <c r="R1618" s="79"/>
      <c r="S1618" s="79"/>
      <c r="T1618" s="79"/>
      <c r="U1618" s="79"/>
      <c r="V1618" s="79"/>
      <c r="W1618" s="79"/>
      <c r="X1618" s="79"/>
      <c r="Y1618" s="79"/>
      <c r="Z1618" s="79"/>
      <c r="AA1618" s="79"/>
      <c r="AB1618" s="79"/>
      <c r="AC1618" s="80"/>
      <c r="AD1618" s="78" t="s">
        <v>100</v>
      </c>
      <c r="AE1618" s="79"/>
      <c r="AF1618" s="79"/>
      <c r="AG1618" s="79"/>
      <c r="AH1618" s="79"/>
      <c r="AI1618" s="80"/>
    </row>
    <row r="1619" spans="1:35" ht="15" customHeight="1" thickTop="1" x14ac:dyDescent="0.45">
      <c r="A1619" s="706" t="s">
        <v>101</v>
      </c>
      <c r="B1619" s="707"/>
      <c r="C1619" s="708"/>
      <c r="D1619" s="96" t="s">
        <v>704</v>
      </c>
      <c r="E1619" s="97"/>
      <c r="F1619" s="97"/>
      <c r="G1619" s="97"/>
      <c r="H1619" s="97"/>
      <c r="I1619" s="97"/>
      <c r="J1619" s="97"/>
      <c r="K1619" s="97"/>
      <c r="L1619" s="97"/>
      <c r="M1619" s="97"/>
      <c r="N1619" s="97"/>
      <c r="Y1619" s="2"/>
      <c r="Z1619" s="2"/>
      <c r="AA1619" s="2"/>
      <c r="AB1619" s="2"/>
      <c r="AC1619" s="39"/>
      <c r="AD1619" s="366"/>
      <c r="AE1619" s="367"/>
      <c r="AF1619" s="367"/>
      <c r="AG1619" s="367"/>
      <c r="AH1619" s="367"/>
      <c r="AI1619" s="368"/>
    </row>
    <row r="1620" spans="1:35" ht="15" customHeight="1" x14ac:dyDescent="0.45">
      <c r="A1620" s="343"/>
      <c r="B1620" s="344"/>
      <c r="C1620" s="345"/>
      <c r="D1620" s="279" t="s">
        <v>705</v>
      </c>
      <c r="E1620" s="111"/>
      <c r="F1620" s="111"/>
      <c r="G1620" s="111"/>
      <c r="H1620" s="111"/>
      <c r="Y1620" s="48"/>
      <c r="Z1620" s="48"/>
      <c r="AA1620" s="48"/>
      <c r="AB1620" s="48"/>
      <c r="AC1620" s="49"/>
      <c r="AD1620" s="154"/>
      <c r="AE1620" s="155"/>
      <c r="AF1620" s="155"/>
      <c r="AG1620" s="155"/>
      <c r="AH1620" s="155"/>
      <c r="AI1620" s="194"/>
    </row>
    <row r="1621" spans="1:35" ht="15" customHeight="1" x14ac:dyDescent="0.45">
      <c r="A1621" s="37"/>
      <c r="B1621" s="38"/>
      <c r="C1621" s="38"/>
      <c r="D1621" s="54" t="s">
        <v>706</v>
      </c>
      <c r="E1621" s="55"/>
      <c r="F1621" s="55"/>
      <c r="G1621" s="55"/>
      <c r="H1621" s="55"/>
      <c r="I1621" s="18"/>
      <c r="J1621" s="18"/>
      <c r="K1621" s="18"/>
      <c r="L1621" s="18"/>
      <c r="M1621" s="18"/>
      <c r="N1621" s="18"/>
      <c r="O1621" s="18"/>
      <c r="P1621" s="18"/>
      <c r="Q1621" s="18"/>
      <c r="R1621" s="18"/>
      <c r="S1621" s="18"/>
      <c r="T1621" s="18"/>
      <c r="U1621" s="18"/>
      <c r="V1621" s="18"/>
      <c r="W1621" s="18"/>
      <c r="X1621" s="18"/>
      <c r="Y1621" s="651"/>
      <c r="Z1621" s="651"/>
      <c r="AA1621" s="651"/>
      <c r="AB1621" s="651"/>
      <c r="AC1621" s="709"/>
      <c r="AD1621" s="233"/>
      <c r="AE1621" s="233"/>
      <c r="AF1621" s="233"/>
      <c r="AG1621" s="233"/>
      <c r="AH1621" s="233"/>
      <c r="AI1621" s="625"/>
    </row>
    <row r="1622" spans="1:35" ht="15" customHeight="1" x14ac:dyDescent="0.45">
      <c r="A1622" s="164" t="s">
        <v>180</v>
      </c>
      <c r="B1622" s="165"/>
      <c r="C1622" s="165"/>
      <c r="D1622" s="283" t="s">
        <v>707</v>
      </c>
      <c r="E1622" s="284"/>
      <c r="F1622" s="284"/>
      <c r="G1622" s="284"/>
      <c r="H1622" s="284"/>
      <c r="I1622" s="284"/>
      <c r="J1622" s="284"/>
      <c r="K1622" s="284"/>
      <c r="L1622" s="284"/>
      <c r="M1622" s="284"/>
      <c r="N1622" s="284"/>
      <c r="O1622" s="284"/>
      <c r="P1622" s="284"/>
      <c r="Q1622" s="284"/>
      <c r="R1622" s="284"/>
      <c r="S1622" s="284"/>
      <c r="T1622" s="284"/>
      <c r="U1622" s="284"/>
      <c r="V1622" s="284"/>
      <c r="W1622" s="284"/>
      <c r="X1622" s="284"/>
      <c r="Y1622" s="2"/>
      <c r="Z1622" s="2"/>
      <c r="AA1622" s="2"/>
      <c r="AB1622" s="2"/>
      <c r="AC1622" s="39"/>
      <c r="AD1622" s="710" t="s">
        <v>708</v>
      </c>
      <c r="AE1622" s="148"/>
      <c r="AF1622" s="148"/>
      <c r="AG1622" s="148"/>
      <c r="AH1622" s="148"/>
      <c r="AI1622" s="201"/>
    </row>
    <row r="1623" spans="1:35" ht="15" customHeight="1" x14ac:dyDescent="0.45">
      <c r="A1623" s="159"/>
      <c r="B1623" s="160"/>
      <c r="C1623" s="160"/>
      <c r="D1623" s="285"/>
      <c r="E1623" s="286"/>
      <c r="F1623" s="286"/>
      <c r="G1623" s="286"/>
      <c r="H1623" s="286"/>
      <c r="I1623" s="286"/>
      <c r="J1623" s="286"/>
      <c r="K1623" s="286"/>
      <c r="L1623" s="286"/>
      <c r="M1623" s="286"/>
      <c r="N1623" s="286"/>
      <c r="O1623" s="286"/>
      <c r="P1623" s="286"/>
      <c r="Q1623" s="286"/>
      <c r="R1623" s="286"/>
      <c r="S1623" s="286"/>
      <c r="T1623" s="286"/>
      <c r="U1623" s="286"/>
      <c r="V1623" s="286"/>
      <c r="W1623" s="286"/>
      <c r="X1623" s="286"/>
      <c r="Y1623" s="48"/>
      <c r="Z1623" s="48"/>
      <c r="AA1623" s="48"/>
      <c r="AB1623" s="48"/>
      <c r="AC1623" s="49"/>
      <c r="AD1623" s="155"/>
      <c r="AE1623" s="155"/>
      <c r="AF1623" s="155"/>
      <c r="AG1623" s="155"/>
      <c r="AH1623" s="155"/>
      <c r="AI1623" s="194"/>
    </row>
    <row r="1624" spans="1:35" ht="15" customHeight="1" x14ac:dyDescent="0.45">
      <c r="A1624" s="202" t="s">
        <v>155</v>
      </c>
      <c r="B1624" s="376"/>
      <c r="C1624" s="376"/>
      <c r="D1624" s="116" t="s">
        <v>709</v>
      </c>
      <c r="E1624" s="117"/>
      <c r="F1624" s="117"/>
      <c r="G1624" s="117"/>
      <c r="H1624" s="117"/>
      <c r="I1624" s="117"/>
      <c r="J1624" s="117"/>
      <c r="K1624" s="117"/>
      <c r="L1624" s="117"/>
      <c r="M1624" s="117"/>
      <c r="N1624" s="117"/>
      <c r="O1624" s="117"/>
      <c r="P1624" s="117"/>
      <c r="Q1624" s="117"/>
      <c r="R1624" s="117"/>
      <c r="S1624" s="117"/>
      <c r="T1624" s="117"/>
      <c r="U1624" s="117"/>
      <c r="V1624" s="117"/>
      <c r="W1624" s="117"/>
      <c r="X1624" s="117"/>
      <c r="Y1624" s="53" t="str">
        <f>IF(OR(ISBLANK(General_Info_Rail_No_Tracks_Total),ISBLANK(General_Info_Rail_Railway_Design_Speed)),"No Value",IF(OR(AND(General_Info_Rail_No_Tracks_Total=1,General_Info_Rail_Railway_Design_Speed&gt;0,General_Info_Rail_Railway_Design_Speed&lt;=50),AND(General_Info_Rail_No_Tracks_Total&gt;=2,General_Info_Rail_Railway_Design_Speed&gt;0,General_Info_Rail_Railway_Design_Speed&lt;=15)),"FLB",IF(OR(AND(General_Info_Rail_No_Tracks_Total=1,General_Info_Rail_Railway_Design_Speed&gt;50),AND(General_Info_Rail_No_Tracks_Total&gt;=2,General_Info_Rail_Railway_Design_Speed&gt;15)),"FLBG")))</f>
        <v>No Value</v>
      </c>
      <c r="Z1624" s="53"/>
      <c r="AA1624" s="53"/>
      <c r="AB1624" s="53"/>
      <c r="AC1624" s="463"/>
      <c r="AD1624" s="155" t="s">
        <v>701</v>
      </c>
      <c r="AE1624" s="155"/>
      <c r="AF1624" s="155"/>
      <c r="AG1624" s="155"/>
      <c r="AH1624" s="155"/>
      <c r="AI1624" s="194"/>
    </row>
    <row r="1625" spans="1:35" ht="15" customHeight="1" x14ac:dyDescent="0.45">
      <c r="A1625" s="159" t="s">
        <v>180</v>
      </c>
      <c r="B1625" s="160"/>
      <c r="C1625" s="160"/>
      <c r="D1625" s="116" t="s">
        <v>710</v>
      </c>
      <c r="E1625" s="117"/>
      <c r="F1625" s="117"/>
      <c r="G1625" s="117"/>
      <c r="H1625" s="117"/>
      <c r="I1625" s="117"/>
      <c r="J1625" s="117"/>
      <c r="K1625" s="117"/>
      <c r="L1625" s="117"/>
      <c r="M1625" s="117"/>
      <c r="N1625" s="117"/>
      <c r="O1625" s="117"/>
      <c r="P1625" s="117"/>
      <c r="Q1625" s="117"/>
      <c r="R1625" s="117"/>
      <c r="S1625" s="117"/>
      <c r="T1625" s="117"/>
      <c r="U1625" s="117"/>
      <c r="V1625" s="117"/>
      <c r="W1625" s="117"/>
      <c r="X1625" s="117"/>
      <c r="Y1625" s="53" t="str">
        <f>IF(OR(ISBLANK(GCWS_Observe_Gates_N_or_E_Approach),ISBLANK(GCWS_Observe_Gates_S_or_W_Approach),ISBLANK(GCWS_Observe_Light_Units_N_or_E_Approach),ISBLANK(GCWS_Observe_Light_Units_S_or_W_Approach),Y1624="No Value"),"No Value",IF(AND(AND(GCWS_Observe_Gates_N_or_E_Approach="Yes",GCWS_Observe_Gates_S_or_W_Approach="Yes"),Y1624="FLBG"),"Yes",IF(AND(OR(GCWS_Observe_Gates_N_or_E_Approach="No",GCWS_Observe_Gates_S_or_W_Approach="No"),Y1624="FLBG"),"No",IF(AND(GCWS_Observe_Light_Units_N_or_E_Approach="Yes",GCWS_Observe_Light_Units_S_or_W_Approach="Yes",Y1624="FLB"),"Yes","No"))))</f>
        <v>No Value</v>
      </c>
      <c r="Z1625" s="53"/>
      <c r="AA1625" s="53"/>
      <c r="AB1625" s="53"/>
      <c r="AC1625" s="463"/>
      <c r="AD1625" s="155" t="s">
        <v>711</v>
      </c>
      <c r="AE1625" s="155"/>
      <c r="AF1625" s="155"/>
      <c r="AG1625" s="155"/>
      <c r="AH1625" s="155"/>
      <c r="AI1625" s="194"/>
    </row>
    <row r="1626" spans="1:35" ht="15" customHeight="1" x14ac:dyDescent="0.45">
      <c r="A1626" s="327" t="s">
        <v>155</v>
      </c>
      <c r="B1626" s="327"/>
      <c r="C1626" s="327"/>
      <c r="D1626" s="283" t="s">
        <v>712</v>
      </c>
      <c r="E1626" s="284"/>
      <c r="F1626" s="284"/>
      <c r="G1626" s="284"/>
      <c r="H1626" s="284"/>
      <c r="I1626" s="284"/>
      <c r="J1626" s="284"/>
      <c r="K1626" s="284"/>
      <c r="L1626" s="284"/>
      <c r="M1626" s="284"/>
      <c r="N1626" s="284"/>
      <c r="O1626" s="284"/>
      <c r="P1626" s="284"/>
      <c r="Q1626" s="284"/>
      <c r="R1626" s="284"/>
      <c r="S1626" s="284"/>
      <c r="T1626" s="284"/>
      <c r="U1626" s="284"/>
      <c r="V1626" s="284"/>
      <c r="W1626" s="284"/>
      <c r="X1626" s="284"/>
      <c r="Y1626" s="364" t="str">
        <f>IF(OR(Gates_GCWS_Warrant_Public_9_2_1_a="No Value",Gates_GCWS_Warrant_Public_9_2_1_b="No Value",Gates_GCWS_Warrant_Public_9_2_1_c="No Value",Gates_GCWS_Warrant_Public_9_2_1_d="No Value",Gates_GCWS_Warrant_Public_9_2_1_e="No Value"),"No Value",IF(AND(OR(Gates_GCWS_Warrant_Public_9_2_1_a="Yes",Gates_GCWS_Warrant_Public_9_2_1_b="Yes",Gates_GCWS_Warrant_Public_9_2_1_c="Yes",Gates_GCWS_Warrant_Public_9_2_1_d="Yes",Gates_GCWS_Warrant_Public_9_2_1_e="Yes"),OR(GCWS_Observe_Gates_N_or_E_Approach="Yes",GCWS_Observe_Gates_S_or_W_Approach="Yes")),"Yes",IF(AND(OR(Gates_GCWS_Warrant_Public_9_2_1_a="Yes",Gates_GCWS_Warrant_Public_9_2_1_b="Yes",Gates_GCWS_Warrant_Public_9_2_1_c="Yes",Gates_GCWS_Warrant_Public_9_2_1_d="Yes",Gates_GCWS_Warrant_Public_9_2_1_e="Yes"),OR(GCWS_Observe_Gates_N_or_E_Approach="No",GCWS_Observe_Gates_S_or_W_Approach="No")),"No","N/A")))</f>
        <v>No Value</v>
      </c>
      <c r="Z1626" s="364"/>
      <c r="AA1626" s="364"/>
      <c r="AB1626" s="364"/>
      <c r="AC1626" s="365"/>
      <c r="AD1626" s="148" t="s">
        <v>713</v>
      </c>
      <c r="AE1626" s="148"/>
      <c r="AF1626" s="148"/>
      <c r="AG1626" s="148"/>
      <c r="AH1626" s="148"/>
      <c r="AI1626" s="148"/>
    </row>
    <row r="1627" spans="1:35" ht="15" customHeight="1" x14ac:dyDescent="0.45">
      <c r="A1627" s="370"/>
      <c r="B1627" s="370"/>
      <c r="C1627" s="370"/>
      <c r="D1627" s="285"/>
      <c r="E1627" s="286"/>
      <c r="F1627" s="286"/>
      <c r="G1627" s="286"/>
      <c r="H1627" s="286"/>
      <c r="I1627" s="286"/>
      <c r="J1627" s="286"/>
      <c r="K1627" s="286"/>
      <c r="L1627" s="286"/>
      <c r="M1627" s="286"/>
      <c r="N1627" s="286"/>
      <c r="O1627" s="286"/>
      <c r="P1627" s="286"/>
      <c r="Q1627" s="286"/>
      <c r="R1627" s="286"/>
      <c r="S1627" s="286"/>
      <c r="T1627" s="286"/>
      <c r="U1627" s="286"/>
      <c r="V1627" s="286"/>
      <c r="W1627" s="286"/>
      <c r="X1627" s="286"/>
      <c r="Y1627" s="112"/>
      <c r="Z1627" s="112"/>
      <c r="AA1627" s="112"/>
      <c r="AB1627" s="112"/>
      <c r="AC1627" s="375"/>
      <c r="AD1627" s="155"/>
      <c r="AE1627" s="155"/>
      <c r="AF1627" s="155"/>
      <c r="AG1627" s="155"/>
      <c r="AH1627" s="155"/>
      <c r="AI1627" s="155"/>
    </row>
    <row r="1628" spans="1:35" ht="15" customHeight="1" x14ac:dyDescent="0.45">
      <c r="A1628" s="376" t="s">
        <v>155</v>
      </c>
      <c r="B1628" s="376"/>
      <c r="C1628" s="376"/>
      <c r="D1628" s="116" t="s">
        <v>714</v>
      </c>
      <c r="E1628" s="117"/>
      <c r="F1628" s="117"/>
      <c r="G1628" s="117"/>
      <c r="H1628" s="117"/>
      <c r="I1628" s="117"/>
      <c r="J1628" s="117"/>
      <c r="K1628" s="117"/>
      <c r="L1628" s="117"/>
      <c r="M1628" s="117"/>
      <c r="N1628" s="117"/>
      <c r="O1628" s="117"/>
      <c r="P1628" s="117"/>
      <c r="Q1628" s="117"/>
      <c r="R1628" s="117"/>
      <c r="S1628" s="117"/>
      <c r="T1628" s="117"/>
      <c r="U1628" s="117"/>
      <c r="V1628" s="117"/>
      <c r="W1628" s="117"/>
      <c r="X1628" s="117"/>
      <c r="Y1628" s="52"/>
      <c r="Z1628" s="52"/>
      <c r="AA1628" s="52"/>
      <c r="AB1628" s="52"/>
      <c r="AC1628" s="200"/>
      <c r="AD1628" s="215" t="s">
        <v>715</v>
      </c>
      <c r="AE1628" s="215"/>
      <c r="AF1628" s="215"/>
      <c r="AG1628" s="215"/>
      <c r="AH1628" s="215"/>
      <c r="AI1628" s="215"/>
    </row>
    <row r="1629" spans="1:35" ht="15" customHeight="1" x14ac:dyDescent="0.45">
      <c r="A1629" s="265" t="s">
        <v>180</v>
      </c>
      <c r="B1629" s="266"/>
      <c r="C1629" s="267"/>
      <c r="D1629" s="284" t="s">
        <v>716</v>
      </c>
      <c r="E1629" s="284"/>
      <c r="F1629" s="284"/>
      <c r="G1629" s="284"/>
      <c r="H1629" s="284"/>
      <c r="I1629" s="284"/>
      <c r="J1629" s="284"/>
      <c r="K1629" s="284"/>
      <c r="L1629" s="284"/>
      <c r="M1629" s="284"/>
      <c r="N1629" s="284"/>
      <c r="O1629" s="284"/>
      <c r="P1629" s="284"/>
      <c r="Q1629" s="284"/>
      <c r="R1629" s="284"/>
      <c r="S1629" s="284"/>
      <c r="T1629" s="284"/>
      <c r="U1629" s="284"/>
      <c r="V1629" s="284"/>
      <c r="W1629" s="284"/>
      <c r="X1629" s="284"/>
      <c r="Y1629" s="89"/>
      <c r="Z1629" s="89"/>
      <c r="AA1629" s="89"/>
      <c r="AB1629" s="89"/>
      <c r="AC1629" s="291"/>
      <c r="AD1629" s="147" t="s">
        <v>717</v>
      </c>
      <c r="AE1629" s="148"/>
      <c r="AF1629" s="148"/>
      <c r="AG1629" s="148"/>
      <c r="AH1629" s="148"/>
      <c r="AI1629" s="201"/>
    </row>
    <row r="1630" spans="1:35" ht="15" customHeight="1" x14ac:dyDescent="0.45">
      <c r="A1630" s="276"/>
      <c r="B1630" s="277"/>
      <c r="C1630" s="278"/>
      <c r="D1630" s="286"/>
      <c r="E1630" s="286"/>
      <c r="F1630" s="286"/>
      <c r="G1630" s="286"/>
      <c r="H1630" s="286"/>
      <c r="I1630" s="286"/>
      <c r="J1630" s="286"/>
      <c r="K1630" s="286"/>
      <c r="L1630" s="286"/>
      <c r="M1630" s="286"/>
      <c r="N1630" s="286"/>
      <c r="O1630" s="286"/>
      <c r="P1630" s="286"/>
      <c r="Q1630" s="286"/>
      <c r="R1630" s="286"/>
      <c r="S1630" s="286"/>
      <c r="T1630" s="286"/>
      <c r="U1630" s="286"/>
      <c r="V1630" s="286"/>
      <c r="W1630" s="286"/>
      <c r="X1630" s="286"/>
      <c r="Y1630" s="48"/>
      <c r="Z1630" s="48"/>
      <c r="AA1630" s="48"/>
      <c r="AB1630" s="48"/>
      <c r="AC1630" s="49"/>
      <c r="AD1630" s="154"/>
      <c r="AE1630" s="155"/>
      <c r="AF1630" s="155"/>
      <c r="AG1630" s="155"/>
      <c r="AH1630" s="155"/>
      <c r="AI1630" s="194"/>
    </row>
    <row r="1631" spans="1:35" ht="15" customHeight="1" x14ac:dyDescent="0.45">
      <c r="A1631" s="711"/>
      <c r="D1631" s="6"/>
      <c r="Y1631" s="712"/>
      <c r="Z1631" s="712"/>
      <c r="AA1631" s="712"/>
      <c r="AB1631" s="712"/>
      <c r="AC1631" s="712"/>
      <c r="AD1631" s="226"/>
      <c r="AE1631" s="226"/>
      <c r="AF1631" s="226"/>
      <c r="AG1631" s="226"/>
      <c r="AH1631" s="226"/>
      <c r="AI1631" s="226"/>
    </row>
    <row r="1632" spans="1:35" ht="15" customHeight="1" x14ac:dyDescent="0.45">
      <c r="A1632" s="176" t="s">
        <v>208</v>
      </c>
      <c r="B1632" s="177"/>
      <c r="C1632" s="177"/>
      <c r="D1632" s="177"/>
      <c r="E1632" s="177"/>
      <c r="F1632" s="177"/>
      <c r="G1632" s="177"/>
      <c r="H1632" s="177"/>
      <c r="I1632" s="177"/>
      <c r="J1632" s="177"/>
      <c r="K1632" s="177"/>
      <c r="L1632" s="177"/>
      <c r="M1632" s="177"/>
      <c r="N1632" s="177"/>
      <c r="O1632" s="177"/>
      <c r="P1632" s="177"/>
      <c r="Q1632" s="177"/>
      <c r="R1632" s="177"/>
      <c r="S1632" s="177"/>
      <c r="T1632" s="177"/>
      <c r="U1632" s="177"/>
      <c r="V1632" s="177"/>
      <c r="W1632" s="177"/>
      <c r="X1632" s="177"/>
      <c r="Y1632" s="177"/>
      <c r="Z1632" s="177"/>
      <c r="AA1632" s="177"/>
      <c r="AB1632" s="177"/>
      <c r="AC1632" s="177"/>
      <c r="AD1632" s="177"/>
      <c r="AE1632" s="177"/>
      <c r="AF1632" s="177"/>
      <c r="AG1632" s="177"/>
      <c r="AH1632" s="177"/>
      <c r="AI1632" s="178"/>
    </row>
    <row r="1633" spans="1:35" ht="15" customHeight="1" x14ac:dyDescent="0.45">
      <c r="A1633" s="256"/>
      <c r="B1633" s="257"/>
      <c r="C1633" s="257"/>
      <c r="D1633" s="257"/>
      <c r="E1633" s="257"/>
      <c r="F1633" s="257"/>
      <c r="G1633" s="257"/>
      <c r="H1633" s="257"/>
      <c r="I1633" s="257"/>
      <c r="J1633" s="257"/>
      <c r="K1633" s="257"/>
      <c r="L1633" s="257"/>
      <c r="M1633" s="257"/>
      <c r="N1633" s="257"/>
      <c r="O1633" s="257"/>
      <c r="P1633" s="257"/>
      <c r="Q1633" s="257"/>
      <c r="R1633" s="257"/>
      <c r="S1633" s="257"/>
      <c r="T1633" s="257"/>
      <c r="U1633" s="257"/>
      <c r="V1633" s="257"/>
      <c r="W1633" s="257"/>
      <c r="X1633" s="257"/>
      <c r="Y1633" s="257"/>
      <c r="Z1633" s="257"/>
      <c r="AA1633" s="257"/>
      <c r="AB1633" s="257"/>
      <c r="AC1633" s="257"/>
      <c r="AD1633" s="257"/>
      <c r="AE1633" s="257"/>
      <c r="AF1633" s="257"/>
      <c r="AG1633" s="257"/>
      <c r="AH1633" s="257"/>
      <c r="AI1633" s="258"/>
    </row>
    <row r="1634" spans="1:35" ht="15" customHeight="1" x14ac:dyDescent="0.45">
      <c r="A1634" s="259"/>
      <c r="B1634" s="260"/>
      <c r="C1634" s="260"/>
      <c r="D1634" s="260"/>
      <c r="E1634" s="260"/>
      <c r="F1634" s="260"/>
      <c r="G1634" s="260"/>
      <c r="H1634" s="260"/>
      <c r="I1634" s="260"/>
      <c r="J1634" s="260"/>
      <c r="K1634" s="260"/>
      <c r="L1634" s="260"/>
      <c r="M1634" s="260"/>
      <c r="N1634" s="260"/>
      <c r="O1634" s="260"/>
      <c r="P1634" s="260"/>
      <c r="Q1634" s="260"/>
      <c r="R1634" s="260"/>
      <c r="S1634" s="260"/>
      <c r="T1634" s="260"/>
      <c r="U1634" s="260"/>
      <c r="V1634" s="260"/>
      <c r="W1634" s="260"/>
      <c r="X1634" s="260"/>
      <c r="Y1634" s="260"/>
      <c r="Z1634" s="260"/>
      <c r="AA1634" s="260"/>
      <c r="AB1634" s="260"/>
      <c r="AC1634" s="260"/>
      <c r="AD1634" s="260"/>
      <c r="AE1634" s="260"/>
      <c r="AF1634" s="260"/>
      <c r="AG1634" s="260"/>
      <c r="AH1634" s="260"/>
      <c r="AI1634" s="261"/>
    </row>
    <row r="1635" spans="1:35" ht="15" customHeight="1" x14ac:dyDescent="0.45">
      <c r="A1635" s="259"/>
      <c r="B1635" s="260"/>
      <c r="C1635" s="260"/>
      <c r="D1635" s="260"/>
      <c r="E1635" s="260"/>
      <c r="F1635" s="260"/>
      <c r="G1635" s="260"/>
      <c r="H1635" s="260"/>
      <c r="I1635" s="260"/>
      <c r="J1635" s="260"/>
      <c r="K1635" s="260"/>
      <c r="L1635" s="260"/>
      <c r="M1635" s="260"/>
      <c r="N1635" s="260"/>
      <c r="O1635" s="260"/>
      <c r="P1635" s="260"/>
      <c r="Q1635" s="260"/>
      <c r="R1635" s="260"/>
      <c r="S1635" s="260"/>
      <c r="T1635" s="260"/>
      <c r="U1635" s="260"/>
      <c r="V1635" s="260"/>
      <c r="W1635" s="260"/>
      <c r="X1635" s="260"/>
      <c r="Y1635" s="260"/>
      <c r="Z1635" s="260"/>
      <c r="AA1635" s="260"/>
      <c r="AB1635" s="260"/>
      <c r="AC1635" s="260"/>
      <c r="AD1635" s="260"/>
      <c r="AE1635" s="260"/>
      <c r="AF1635" s="260"/>
      <c r="AG1635" s="260"/>
      <c r="AH1635" s="260"/>
      <c r="AI1635" s="261"/>
    </row>
    <row r="1636" spans="1:35" ht="15" customHeight="1" x14ac:dyDescent="0.45">
      <c r="A1636" s="259"/>
      <c r="B1636" s="260"/>
      <c r="C1636" s="260"/>
      <c r="D1636" s="260"/>
      <c r="E1636" s="260"/>
      <c r="F1636" s="260"/>
      <c r="G1636" s="260"/>
      <c r="H1636" s="260"/>
      <c r="I1636" s="260"/>
      <c r="J1636" s="260"/>
      <c r="K1636" s="260"/>
      <c r="L1636" s="260"/>
      <c r="M1636" s="260"/>
      <c r="N1636" s="260"/>
      <c r="O1636" s="260"/>
      <c r="P1636" s="260"/>
      <c r="Q1636" s="260"/>
      <c r="R1636" s="260"/>
      <c r="S1636" s="260"/>
      <c r="T1636" s="260"/>
      <c r="U1636" s="260"/>
      <c r="V1636" s="260"/>
      <c r="W1636" s="260"/>
      <c r="X1636" s="260"/>
      <c r="Y1636" s="260"/>
      <c r="Z1636" s="260"/>
      <c r="AA1636" s="260"/>
      <c r="AB1636" s="260"/>
      <c r="AC1636" s="260"/>
      <c r="AD1636" s="260"/>
      <c r="AE1636" s="260"/>
      <c r="AF1636" s="260"/>
      <c r="AG1636" s="260"/>
      <c r="AH1636" s="260"/>
      <c r="AI1636" s="261"/>
    </row>
    <row r="1637" spans="1:35" ht="15" customHeight="1" x14ac:dyDescent="0.45">
      <c r="A1637" s="259"/>
      <c r="B1637" s="260"/>
      <c r="C1637" s="260"/>
      <c r="D1637" s="260"/>
      <c r="E1637" s="260"/>
      <c r="F1637" s="260"/>
      <c r="G1637" s="260"/>
      <c r="H1637" s="260"/>
      <c r="I1637" s="260"/>
      <c r="J1637" s="260"/>
      <c r="K1637" s="260"/>
      <c r="L1637" s="260"/>
      <c r="M1637" s="260"/>
      <c r="N1637" s="260"/>
      <c r="O1637" s="260"/>
      <c r="P1637" s="260"/>
      <c r="Q1637" s="260"/>
      <c r="R1637" s="260"/>
      <c r="S1637" s="260"/>
      <c r="T1637" s="260"/>
      <c r="U1637" s="260"/>
      <c r="V1637" s="260"/>
      <c r="W1637" s="260"/>
      <c r="X1637" s="260"/>
      <c r="Y1637" s="260"/>
      <c r="Z1637" s="260"/>
      <c r="AA1637" s="260"/>
      <c r="AB1637" s="260"/>
      <c r="AC1637" s="260"/>
      <c r="AD1637" s="260"/>
      <c r="AE1637" s="260"/>
      <c r="AF1637" s="260"/>
      <c r="AG1637" s="260"/>
      <c r="AH1637" s="260"/>
      <c r="AI1637" s="261"/>
    </row>
    <row r="1638" spans="1:35" ht="15" customHeight="1" x14ac:dyDescent="0.45">
      <c r="A1638" s="259"/>
      <c r="B1638" s="260"/>
      <c r="C1638" s="260"/>
      <c r="D1638" s="260"/>
      <c r="E1638" s="260"/>
      <c r="F1638" s="260"/>
      <c r="G1638" s="260"/>
      <c r="H1638" s="260"/>
      <c r="I1638" s="260"/>
      <c r="J1638" s="260"/>
      <c r="K1638" s="260"/>
      <c r="L1638" s="260"/>
      <c r="M1638" s="260"/>
      <c r="N1638" s="260"/>
      <c r="O1638" s="260"/>
      <c r="P1638" s="260"/>
      <c r="Q1638" s="260"/>
      <c r="R1638" s="260"/>
      <c r="S1638" s="260"/>
      <c r="T1638" s="260"/>
      <c r="U1638" s="260"/>
      <c r="V1638" s="260"/>
      <c r="W1638" s="260"/>
      <c r="X1638" s="260"/>
      <c r="Y1638" s="260"/>
      <c r="Z1638" s="260"/>
      <c r="AA1638" s="260"/>
      <c r="AB1638" s="260"/>
      <c r="AC1638" s="260"/>
      <c r="AD1638" s="260"/>
      <c r="AE1638" s="260"/>
      <c r="AF1638" s="260"/>
      <c r="AG1638" s="260"/>
      <c r="AH1638" s="260"/>
      <c r="AI1638" s="261"/>
    </row>
    <row r="1639" spans="1:35" ht="15" customHeight="1" x14ac:dyDescent="0.45">
      <c r="A1639" s="259"/>
      <c r="B1639" s="260"/>
      <c r="C1639" s="260"/>
      <c r="D1639" s="260"/>
      <c r="E1639" s="260"/>
      <c r="F1639" s="260"/>
      <c r="G1639" s="260"/>
      <c r="H1639" s="260"/>
      <c r="I1639" s="260"/>
      <c r="J1639" s="260"/>
      <c r="K1639" s="260"/>
      <c r="L1639" s="260"/>
      <c r="M1639" s="260"/>
      <c r="N1639" s="260"/>
      <c r="O1639" s="260"/>
      <c r="P1639" s="260"/>
      <c r="Q1639" s="260"/>
      <c r="R1639" s="260"/>
      <c r="S1639" s="260"/>
      <c r="T1639" s="260"/>
      <c r="U1639" s="260"/>
      <c r="V1639" s="260"/>
      <c r="W1639" s="260"/>
      <c r="X1639" s="260"/>
      <c r="Y1639" s="260"/>
      <c r="Z1639" s="260"/>
      <c r="AA1639" s="260"/>
      <c r="AB1639" s="260"/>
      <c r="AC1639" s="260"/>
      <c r="AD1639" s="260"/>
      <c r="AE1639" s="260"/>
      <c r="AF1639" s="260"/>
      <c r="AG1639" s="260"/>
      <c r="AH1639" s="260"/>
      <c r="AI1639" s="261"/>
    </row>
    <row r="1640" spans="1:35" ht="15" customHeight="1" x14ac:dyDescent="0.45">
      <c r="A1640" s="259"/>
      <c r="B1640" s="260"/>
      <c r="C1640" s="260"/>
      <c r="D1640" s="260"/>
      <c r="E1640" s="260"/>
      <c r="F1640" s="260"/>
      <c r="G1640" s="260"/>
      <c r="H1640" s="260"/>
      <c r="I1640" s="260"/>
      <c r="J1640" s="260"/>
      <c r="K1640" s="260"/>
      <c r="L1640" s="260"/>
      <c r="M1640" s="260"/>
      <c r="N1640" s="260"/>
      <c r="O1640" s="260"/>
      <c r="P1640" s="260"/>
      <c r="Q1640" s="260"/>
      <c r="R1640" s="260"/>
      <c r="S1640" s="260"/>
      <c r="T1640" s="260"/>
      <c r="U1640" s="260"/>
      <c r="V1640" s="260"/>
      <c r="W1640" s="260"/>
      <c r="X1640" s="260"/>
      <c r="Y1640" s="260"/>
      <c r="Z1640" s="260"/>
      <c r="AA1640" s="260"/>
      <c r="AB1640" s="260"/>
      <c r="AC1640" s="260"/>
      <c r="AD1640" s="260"/>
      <c r="AE1640" s="260"/>
      <c r="AF1640" s="260"/>
      <c r="AG1640" s="260"/>
      <c r="AH1640" s="260"/>
      <c r="AI1640" s="261"/>
    </row>
    <row r="1641" spans="1:35" ht="15" customHeight="1" x14ac:dyDescent="0.45">
      <c r="A1641" s="259"/>
      <c r="B1641" s="260"/>
      <c r="C1641" s="260"/>
      <c r="D1641" s="260"/>
      <c r="E1641" s="260"/>
      <c r="F1641" s="260"/>
      <c r="G1641" s="260"/>
      <c r="H1641" s="260"/>
      <c r="I1641" s="260"/>
      <c r="J1641" s="260"/>
      <c r="K1641" s="260"/>
      <c r="L1641" s="260"/>
      <c r="M1641" s="260"/>
      <c r="N1641" s="260"/>
      <c r="O1641" s="260"/>
      <c r="P1641" s="260"/>
      <c r="Q1641" s="260"/>
      <c r="R1641" s="260"/>
      <c r="S1641" s="260"/>
      <c r="T1641" s="260"/>
      <c r="U1641" s="260"/>
      <c r="V1641" s="260"/>
      <c r="W1641" s="260"/>
      <c r="X1641" s="260"/>
      <c r="Y1641" s="260"/>
      <c r="Z1641" s="260"/>
      <c r="AA1641" s="260"/>
      <c r="AB1641" s="260"/>
      <c r="AC1641" s="260"/>
      <c r="AD1641" s="260"/>
      <c r="AE1641" s="260"/>
      <c r="AF1641" s="260"/>
      <c r="AG1641" s="260"/>
      <c r="AH1641" s="260"/>
      <c r="AI1641" s="261"/>
    </row>
    <row r="1642" spans="1:35" ht="15" customHeight="1" x14ac:dyDescent="0.45">
      <c r="A1642" s="259"/>
      <c r="B1642" s="260"/>
      <c r="C1642" s="260"/>
      <c r="D1642" s="260"/>
      <c r="E1642" s="260"/>
      <c r="F1642" s="260"/>
      <c r="G1642" s="260"/>
      <c r="H1642" s="260"/>
      <c r="I1642" s="260"/>
      <c r="J1642" s="260"/>
      <c r="K1642" s="260"/>
      <c r="L1642" s="260"/>
      <c r="M1642" s="260"/>
      <c r="N1642" s="260"/>
      <c r="O1642" s="260"/>
      <c r="P1642" s="260"/>
      <c r="Q1642" s="260"/>
      <c r="R1642" s="260"/>
      <c r="S1642" s="260"/>
      <c r="T1642" s="260"/>
      <c r="U1642" s="260"/>
      <c r="V1642" s="260"/>
      <c r="W1642" s="260"/>
      <c r="X1642" s="260"/>
      <c r="Y1642" s="260"/>
      <c r="Z1642" s="260"/>
      <c r="AA1642" s="260"/>
      <c r="AB1642" s="260"/>
      <c r="AC1642" s="260"/>
      <c r="AD1642" s="260"/>
      <c r="AE1642" s="260"/>
      <c r="AF1642" s="260"/>
      <c r="AG1642" s="260"/>
      <c r="AH1642" s="260"/>
      <c r="AI1642" s="261"/>
    </row>
    <row r="1643" spans="1:35" ht="15" customHeight="1" x14ac:dyDescent="0.45">
      <c r="A1643" s="259"/>
      <c r="B1643" s="260"/>
      <c r="C1643" s="260"/>
      <c r="D1643" s="260"/>
      <c r="E1643" s="260"/>
      <c r="F1643" s="260"/>
      <c r="G1643" s="260"/>
      <c r="H1643" s="260"/>
      <c r="I1643" s="260"/>
      <c r="J1643" s="260"/>
      <c r="K1643" s="260"/>
      <c r="L1643" s="260"/>
      <c r="M1643" s="260"/>
      <c r="N1643" s="260"/>
      <c r="O1643" s="260"/>
      <c r="P1643" s="260"/>
      <c r="Q1643" s="260"/>
      <c r="R1643" s="260"/>
      <c r="S1643" s="260"/>
      <c r="T1643" s="260"/>
      <c r="U1643" s="260"/>
      <c r="V1643" s="260"/>
      <c r="W1643" s="260"/>
      <c r="X1643" s="260"/>
      <c r="Y1643" s="260"/>
      <c r="Z1643" s="260"/>
      <c r="AA1643" s="260"/>
      <c r="AB1643" s="260"/>
      <c r="AC1643" s="260"/>
      <c r="AD1643" s="260"/>
      <c r="AE1643" s="260"/>
      <c r="AF1643" s="260"/>
      <c r="AG1643" s="260"/>
      <c r="AH1643" s="260"/>
      <c r="AI1643" s="261"/>
    </row>
    <row r="1644" spans="1:35" ht="15" customHeight="1" x14ac:dyDescent="0.45">
      <c r="A1644" s="259"/>
      <c r="B1644" s="260"/>
      <c r="C1644" s="260"/>
      <c r="D1644" s="260"/>
      <c r="E1644" s="260"/>
      <c r="F1644" s="260"/>
      <c r="G1644" s="260"/>
      <c r="H1644" s="260"/>
      <c r="I1644" s="260"/>
      <c r="J1644" s="260"/>
      <c r="K1644" s="260"/>
      <c r="L1644" s="260"/>
      <c r="M1644" s="260"/>
      <c r="N1644" s="260"/>
      <c r="O1644" s="260"/>
      <c r="P1644" s="260"/>
      <c r="Q1644" s="260"/>
      <c r="R1644" s="260"/>
      <c r="S1644" s="260"/>
      <c r="T1644" s="260"/>
      <c r="U1644" s="260"/>
      <c r="V1644" s="260"/>
      <c r="W1644" s="260"/>
      <c r="X1644" s="260"/>
      <c r="Y1644" s="260"/>
      <c r="Z1644" s="260"/>
      <c r="AA1644" s="260"/>
      <c r="AB1644" s="260"/>
      <c r="AC1644" s="260"/>
      <c r="AD1644" s="260"/>
      <c r="AE1644" s="260"/>
      <c r="AF1644" s="260"/>
      <c r="AG1644" s="260"/>
      <c r="AH1644" s="260"/>
      <c r="AI1644" s="261"/>
    </row>
    <row r="1645" spans="1:35" ht="15" customHeight="1" x14ac:dyDescent="0.45">
      <c r="A1645" s="259"/>
      <c r="B1645" s="260"/>
      <c r="C1645" s="260"/>
      <c r="D1645" s="260"/>
      <c r="E1645" s="260"/>
      <c r="F1645" s="260"/>
      <c r="G1645" s="260"/>
      <c r="H1645" s="260"/>
      <c r="I1645" s="260"/>
      <c r="J1645" s="260"/>
      <c r="K1645" s="260"/>
      <c r="L1645" s="260"/>
      <c r="M1645" s="260"/>
      <c r="N1645" s="260"/>
      <c r="O1645" s="260"/>
      <c r="P1645" s="260"/>
      <c r="Q1645" s="260"/>
      <c r="R1645" s="260"/>
      <c r="S1645" s="260"/>
      <c r="T1645" s="260"/>
      <c r="U1645" s="260"/>
      <c r="V1645" s="260"/>
      <c r="W1645" s="260"/>
      <c r="X1645" s="260"/>
      <c r="Y1645" s="260"/>
      <c r="Z1645" s="260"/>
      <c r="AA1645" s="260"/>
      <c r="AB1645" s="260"/>
      <c r="AC1645" s="260"/>
      <c r="AD1645" s="260"/>
      <c r="AE1645" s="260"/>
      <c r="AF1645" s="260"/>
      <c r="AG1645" s="260"/>
      <c r="AH1645" s="260"/>
      <c r="AI1645" s="261"/>
    </row>
    <row r="1646" spans="1:35" ht="15" customHeight="1" x14ac:dyDescent="0.45">
      <c r="A1646" s="259"/>
      <c r="B1646" s="260"/>
      <c r="C1646" s="260"/>
      <c r="D1646" s="260"/>
      <c r="E1646" s="260"/>
      <c r="F1646" s="260"/>
      <c r="G1646" s="260"/>
      <c r="H1646" s="260"/>
      <c r="I1646" s="260"/>
      <c r="J1646" s="260"/>
      <c r="K1646" s="260"/>
      <c r="L1646" s="260"/>
      <c r="M1646" s="260"/>
      <c r="N1646" s="260"/>
      <c r="O1646" s="260"/>
      <c r="P1646" s="260"/>
      <c r="Q1646" s="260"/>
      <c r="R1646" s="260"/>
      <c r="S1646" s="260"/>
      <c r="T1646" s="260"/>
      <c r="U1646" s="260"/>
      <c r="V1646" s="260"/>
      <c r="W1646" s="260"/>
      <c r="X1646" s="260"/>
      <c r="Y1646" s="260"/>
      <c r="Z1646" s="260"/>
      <c r="AA1646" s="260"/>
      <c r="AB1646" s="260"/>
      <c r="AC1646" s="260"/>
      <c r="AD1646" s="260"/>
      <c r="AE1646" s="260"/>
      <c r="AF1646" s="260"/>
      <c r="AG1646" s="260"/>
      <c r="AH1646" s="260"/>
      <c r="AI1646" s="261"/>
    </row>
    <row r="1647" spans="1:35" ht="15" customHeight="1" x14ac:dyDescent="0.45">
      <c r="A1647" s="259"/>
      <c r="B1647" s="260"/>
      <c r="C1647" s="260"/>
      <c r="D1647" s="260"/>
      <c r="E1647" s="260"/>
      <c r="F1647" s="260"/>
      <c r="G1647" s="260"/>
      <c r="H1647" s="260"/>
      <c r="I1647" s="260"/>
      <c r="J1647" s="260"/>
      <c r="K1647" s="260"/>
      <c r="L1647" s="260"/>
      <c r="M1647" s="260"/>
      <c r="N1647" s="260"/>
      <c r="O1647" s="260"/>
      <c r="P1647" s="260"/>
      <c r="Q1647" s="260"/>
      <c r="R1647" s="260"/>
      <c r="S1647" s="260"/>
      <c r="T1647" s="260"/>
      <c r="U1647" s="260"/>
      <c r="V1647" s="260"/>
      <c r="W1647" s="260"/>
      <c r="X1647" s="260"/>
      <c r="Y1647" s="260"/>
      <c r="Z1647" s="260"/>
      <c r="AA1647" s="260"/>
      <c r="AB1647" s="260"/>
      <c r="AC1647" s="260"/>
      <c r="AD1647" s="260"/>
      <c r="AE1647" s="260"/>
      <c r="AF1647" s="260"/>
      <c r="AG1647" s="260"/>
      <c r="AH1647" s="260"/>
      <c r="AI1647" s="261"/>
    </row>
    <row r="1648" spans="1:35" ht="15" customHeight="1" x14ac:dyDescent="0.45">
      <c r="A1648" s="259"/>
      <c r="B1648" s="260"/>
      <c r="C1648" s="260"/>
      <c r="D1648" s="260"/>
      <c r="E1648" s="260"/>
      <c r="F1648" s="260"/>
      <c r="G1648" s="260"/>
      <c r="H1648" s="260"/>
      <c r="I1648" s="260"/>
      <c r="J1648" s="260"/>
      <c r="K1648" s="260"/>
      <c r="L1648" s="260"/>
      <c r="M1648" s="260"/>
      <c r="N1648" s="260"/>
      <c r="O1648" s="260"/>
      <c r="P1648" s="260"/>
      <c r="Q1648" s="260"/>
      <c r="R1648" s="260"/>
      <c r="S1648" s="260"/>
      <c r="T1648" s="260"/>
      <c r="U1648" s="260"/>
      <c r="V1648" s="260"/>
      <c r="W1648" s="260"/>
      <c r="X1648" s="260"/>
      <c r="Y1648" s="260"/>
      <c r="Z1648" s="260"/>
      <c r="AA1648" s="260"/>
      <c r="AB1648" s="260"/>
      <c r="AC1648" s="260"/>
      <c r="AD1648" s="260"/>
      <c r="AE1648" s="260"/>
      <c r="AF1648" s="260"/>
      <c r="AG1648" s="260"/>
      <c r="AH1648" s="260"/>
      <c r="AI1648" s="261"/>
    </row>
    <row r="1649" spans="1:35" ht="15" customHeight="1" x14ac:dyDescent="0.45">
      <c r="A1649" s="259"/>
      <c r="B1649" s="260"/>
      <c r="C1649" s="260"/>
      <c r="D1649" s="260"/>
      <c r="E1649" s="260"/>
      <c r="F1649" s="260"/>
      <c r="G1649" s="260"/>
      <c r="H1649" s="260"/>
      <c r="I1649" s="260"/>
      <c r="J1649" s="260"/>
      <c r="K1649" s="260"/>
      <c r="L1649" s="260"/>
      <c r="M1649" s="260"/>
      <c r="N1649" s="260"/>
      <c r="O1649" s="260"/>
      <c r="P1649" s="260"/>
      <c r="Q1649" s="260"/>
      <c r="R1649" s="260"/>
      <c r="S1649" s="260"/>
      <c r="T1649" s="260"/>
      <c r="U1649" s="260"/>
      <c r="V1649" s="260"/>
      <c r="W1649" s="260"/>
      <c r="X1649" s="260"/>
      <c r="Y1649" s="260"/>
      <c r="Z1649" s="260"/>
      <c r="AA1649" s="260"/>
      <c r="AB1649" s="260"/>
      <c r="AC1649" s="260"/>
      <c r="AD1649" s="260"/>
      <c r="AE1649" s="260"/>
      <c r="AF1649" s="260"/>
      <c r="AG1649" s="260"/>
      <c r="AH1649" s="260"/>
      <c r="AI1649" s="261"/>
    </row>
    <row r="1650" spans="1:35" ht="15" customHeight="1" x14ac:dyDescent="0.45">
      <c r="A1650" s="259"/>
      <c r="B1650" s="260"/>
      <c r="C1650" s="260"/>
      <c r="D1650" s="260"/>
      <c r="E1650" s="260"/>
      <c r="F1650" s="260"/>
      <c r="G1650" s="260"/>
      <c r="H1650" s="260"/>
      <c r="I1650" s="260"/>
      <c r="J1650" s="260"/>
      <c r="K1650" s="260"/>
      <c r="L1650" s="260"/>
      <c r="M1650" s="260"/>
      <c r="N1650" s="260"/>
      <c r="O1650" s="260"/>
      <c r="P1650" s="260"/>
      <c r="Q1650" s="260"/>
      <c r="R1650" s="260"/>
      <c r="S1650" s="260"/>
      <c r="T1650" s="260"/>
      <c r="U1650" s="260"/>
      <c r="V1650" s="260"/>
      <c r="W1650" s="260"/>
      <c r="X1650" s="260"/>
      <c r="Y1650" s="260"/>
      <c r="Z1650" s="260"/>
      <c r="AA1650" s="260"/>
      <c r="AB1650" s="260"/>
      <c r="AC1650" s="260"/>
      <c r="AD1650" s="260"/>
      <c r="AE1650" s="260"/>
      <c r="AF1650" s="260"/>
      <c r="AG1650" s="260"/>
      <c r="AH1650" s="260"/>
      <c r="AI1650" s="261"/>
    </row>
    <row r="1651" spans="1:35" ht="15" customHeight="1" x14ac:dyDescent="0.45">
      <c r="A1651" s="259"/>
      <c r="B1651" s="260"/>
      <c r="C1651" s="260"/>
      <c r="D1651" s="260"/>
      <c r="E1651" s="260"/>
      <c r="F1651" s="260"/>
      <c r="G1651" s="260"/>
      <c r="H1651" s="260"/>
      <c r="I1651" s="260"/>
      <c r="J1651" s="260"/>
      <c r="K1651" s="260"/>
      <c r="L1651" s="260"/>
      <c r="M1651" s="260"/>
      <c r="N1651" s="260"/>
      <c r="O1651" s="260"/>
      <c r="P1651" s="260"/>
      <c r="Q1651" s="260"/>
      <c r="R1651" s="260"/>
      <c r="S1651" s="260"/>
      <c r="T1651" s="260"/>
      <c r="U1651" s="260"/>
      <c r="V1651" s="260"/>
      <c r="W1651" s="260"/>
      <c r="X1651" s="260"/>
      <c r="Y1651" s="260"/>
      <c r="Z1651" s="260"/>
      <c r="AA1651" s="260"/>
      <c r="AB1651" s="260"/>
      <c r="AC1651" s="260"/>
      <c r="AD1651" s="260"/>
      <c r="AE1651" s="260"/>
      <c r="AF1651" s="260"/>
      <c r="AG1651" s="260"/>
      <c r="AH1651" s="260"/>
      <c r="AI1651" s="261"/>
    </row>
    <row r="1652" spans="1:35" ht="15" customHeight="1" x14ac:dyDescent="0.45">
      <c r="A1652" s="259"/>
      <c r="B1652" s="260"/>
      <c r="C1652" s="260"/>
      <c r="D1652" s="260"/>
      <c r="E1652" s="260"/>
      <c r="F1652" s="260"/>
      <c r="G1652" s="260"/>
      <c r="H1652" s="260"/>
      <c r="I1652" s="260"/>
      <c r="J1652" s="260"/>
      <c r="K1652" s="260"/>
      <c r="L1652" s="260"/>
      <c r="M1652" s="260"/>
      <c r="N1652" s="260"/>
      <c r="O1652" s="260"/>
      <c r="P1652" s="260"/>
      <c r="Q1652" s="260"/>
      <c r="R1652" s="260"/>
      <c r="S1652" s="260"/>
      <c r="T1652" s="260"/>
      <c r="U1652" s="260"/>
      <c r="V1652" s="260"/>
      <c r="W1652" s="260"/>
      <c r="X1652" s="260"/>
      <c r="Y1652" s="260"/>
      <c r="Z1652" s="260"/>
      <c r="AA1652" s="260"/>
      <c r="AB1652" s="260"/>
      <c r="AC1652" s="260"/>
      <c r="AD1652" s="260"/>
      <c r="AE1652" s="260"/>
      <c r="AF1652" s="260"/>
      <c r="AG1652" s="260"/>
      <c r="AH1652" s="260"/>
      <c r="AI1652" s="261"/>
    </row>
    <row r="1653" spans="1:35" ht="15" customHeight="1" x14ac:dyDescent="0.45">
      <c r="A1653" s="259"/>
      <c r="B1653" s="260"/>
      <c r="C1653" s="260"/>
      <c r="D1653" s="260"/>
      <c r="E1653" s="260"/>
      <c r="F1653" s="260"/>
      <c r="G1653" s="260"/>
      <c r="H1653" s="260"/>
      <c r="I1653" s="260"/>
      <c r="J1653" s="260"/>
      <c r="K1653" s="260"/>
      <c r="L1653" s="260"/>
      <c r="M1653" s="260"/>
      <c r="N1653" s="260"/>
      <c r="O1653" s="260"/>
      <c r="P1653" s="260"/>
      <c r="Q1653" s="260"/>
      <c r="R1653" s="260"/>
      <c r="S1653" s="260"/>
      <c r="T1653" s="260"/>
      <c r="U1653" s="260"/>
      <c r="V1653" s="260"/>
      <c r="W1653" s="260"/>
      <c r="X1653" s="260"/>
      <c r="Y1653" s="260"/>
      <c r="Z1653" s="260"/>
      <c r="AA1653" s="260"/>
      <c r="AB1653" s="260"/>
      <c r="AC1653" s="260"/>
      <c r="AD1653" s="260"/>
      <c r="AE1653" s="260"/>
      <c r="AF1653" s="260"/>
      <c r="AG1653" s="260"/>
      <c r="AH1653" s="260"/>
      <c r="AI1653" s="261"/>
    </row>
    <row r="1654" spans="1:35" ht="15" customHeight="1" x14ac:dyDescent="0.45">
      <c r="A1654" s="259"/>
      <c r="B1654" s="260"/>
      <c r="C1654" s="260"/>
      <c r="D1654" s="260"/>
      <c r="E1654" s="260"/>
      <c r="F1654" s="260"/>
      <c r="G1654" s="260"/>
      <c r="H1654" s="260"/>
      <c r="I1654" s="260"/>
      <c r="J1654" s="260"/>
      <c r="K1654" s="260"/>
      <c r="L1654" s="260"/>
      <c r="M1654" s="260"/>
      <c r="N1654" s="260"/>
      <c r="O1654" s="260"/>
      <c r="P1654" s="260"/>
      <c r="Q1654" s="260"/>
      <c r="R1654" s="260"/>
      <c r="S1654" s="260"/>
      <c r="T1654" s="260"/>
      <c r="U1654" s="260"/>
      <c r="V1654" s="260"/>
      <c r="W1654" s="260"/>
      <c r="X1654" s="260"/>
      <c r="Y1654" s="260"/>
      <c r="Z1654" s="260"/>
      <c r="AA1654" s="260"/>
      <c r="AB1654" s="260"/>
      <c r="AC1654" s="260"/>
      <c r="AD1654" s="260"/>
      <c r="AE1654" s="260"/>
      <c r="AF1654" s="260"/>
      <c r="AG1654" s="260"/>
      <c r="AH1654" s="260"/>
      <c r="AI1654" s="261"/>
    </row>
    <row r="1655" spans="1:35" ht="15" customHeight="1" x14ac:dyDescent="0.45">
      <c r="A1655" s="259"/>
      <c r="B1655" s="260"/>
      <c r="C1655" s="260"/>
      <c r="D1655" s="260"/>
      <c r="E1655" s="260"/>
      <c r="F1655" s="260"/>
      <c r="G1655" s="260"/>
      <c r="H1655" s="260"/>
      <c r="I1655" s="260"/>
      <c r="J1655" s="260"/>
      <c r="K1655" s="260"/>
      <c r="L1655" s="260"/>
      <c r="M1655" s="260"/>
      <c r="N1655" s="260"/>
      <c r="O1655" s="260"/>
      <c r="P1655" s="260"/>
      <c r="Q1655" s="260"/>
      <c r="R1655" s="260"/>
      <c r="S1655" s="260"/>
      <c r="T1655" s="260"/>
      <c r="U1655" s="260"/>
      <c r="V1655" s="260"/>
      <c r="W1655" s="260"/>
      <c r="X1655" s="260"/>
      <c r="Y1655" s="260"/>
      <c r="Z1655" s="260"/>
      <c r="AA1655" s="260"/>
      <c r="AB1655" s="260"/>
      <c r="AC1655" s="260"/>
      <c r="AD1655" s="260"/>
      <c r="AE1655" s="260"/>
      <c r="AF1655" s="260"/>
      <c r="AG1655" s="260"/>
      <c r="AH1655" s="260"/>
      <c r="AI1655" s="261"/>
    </row>
    <row r="1656" spans="1:35" ht="15" customHeight="1" x14ac:dyDescent="0.45">
      <c r="A1656" s="259"/>
      <c r="B1656" s="260"/>
      <c r="C1656" s="260"/>
      <c r="D1656" s="260"/>
      <c r="E1656" s="260"/>
      <c r="F1656" s="260"/>
      <c r="G1656" s="260"/>
      <c r="H1656" s="260"/>
      <c r="I1656" s="260"/>
      <c r="J1656" s="260"/>
      <c r="K1656" s="260"/>
      <c r="L1656" s="260"/>
      <c r="M1656" s="260"/>
      <c r="N1656" s="260"/>
      <c r="O1656" s="260"/>
      <c r="P1656" s="260"/>
      <c r="Q1656" s="260"/>
      <c r="R1656" s="260"/>
      <c r="S1656" s="260"/>
      <c r="T1656" s="260"/>
      <c r="U1656" s="260"/>
      <c r="V1656" s="260"/>
      <c r="W1656" s="260"/>
      <c r="X1656" s="260"/>
      <c r="Y1656" s="260"/>
      <c r="Z1656" s="260"/>
      <c r="AA1656" s="260"/>
      <c r="AB1656" s="260"/>
      <c r="AC1656" s="260"/>
      <c r="AD1656" s="260"/>
      <c r="AE1656" s="260"/>
      <c r="AF1656" s="260"/>
      <c r="AG1656" s="260"/>
      <c r="AH1656" s="260"/>
      <c r="AI1656" s="261"/>
    </row>
    <row r="1657" spans="1:35" ht="15" customHeight="1" x14ac:dyDescent="0.45">
      <c r="A1657" s="259"/>
      <c r="B1657" s="260"/>
      <c r="C1657" s="260"/>
      <c r="D1657" s="260"/>
      <c r="E1657" s="260"/>
      <c r="F1657" s="260"/>
      <c r="G1657" s="260"/>
      <c r="H1657" s="260"/>
      <c r="I1657" s="260"/>
      <c r="J1657" s="260"/>
      <c r="K1657" s="260"/>
      <c r="L1657" s="260"/>
      <c r="M1657" s="260"/>
      <c r="N1657" s="260"/>
      <c r="O1657" s="260"/>
      <c r="P1657" s="260"/>
      <c r="Q1657" s="260"/>
      <c r="R1657" s="260"/>
      <c r="S1657" s="260"/>
      <c r="T1657" s="260"/>
      <c r="U1657" s="260"/>
      <c r="V1657" s="260"/>
      <c r="W1657" s="260"/>
      <c r="X1657" s="260"/>
      <c r="Y1657" s="260"/>
      <c r="Z1657" s="260"/>
      <c r="AA1657" s="260"/>
      <c r="AB1657" s="260"/>
      <c r="AC1657" s="260"/>
      <c r="AD1657" s="260"/>
      <c r="AE1657" s="260"/>
      <c r="AF1657" s="260"/>
      <c r="AG1657" s="260"/>
      <c r="AH1657" s="260"/>
      <c r="AI1657" s="261"/>
    </row>
    <row r="1658" spans="1:35" ht="15" customHeight="1" x14ac:dyDescent="0.45">
      <c r="A1658" s="259"/>
      <c r="B1658" s="260"/>
      <c r="C1658" s="260"/>
      <c r="D1658" s="260"/>
      <c r="E1658" s="260"/>
      <c r="F1658" s="260"/>
      <c r="G1658" s="260"/>
      <c r="H1658" s="260"/>
      <c r="I1658" s="260"/>
      <c r="J1658" s="260"/>
      <c r="K1658" s="260"/>
      <c r="L1658" s="260"/>
      <c r="M1658" s="260"/>
      <c r="N1658" s="260"/>
      <c r="O1658" s="260"/>
      <c r="P1658" s="260"/>
      <c r="Q1658" s="260"/>
      <c r="R1658" s="260"/>
      <c r="S1658" s="260"/>
      <c r="T1658" s="260"/>
      <c r="U1658" s="260"/>
      <c r="V1658" s="260"/>
      <c r="W1658" s="260"/>
      <c r="X1658" s="260"/>
      <c r="Y1658" s="260"/>
      <c r="Z1658" s="260"/>
      <c r="AA1658" s="260"/>
      <c r="AB1658" s="260"/>
      <c r="AC1658" s="260"/>
      <c r="AD1658" s="260"/>
      <c r="AE1658" s="260"/>
      <c r="AF1658" s="260"/>
      <c r="AG1658" s="260"/>
      <c r="AH1658" s="260"/>
      <c r="AI1658" s="261"/>
    </row>
    <row r="1659" spans="1:35" ht="15" customHeight="1" x14ac:dyDescent="0.45">
      <c r="A1659" s="259"/>
      <c r="B1659" s="260"/>
      <c r="C1659" s="260"/>
      <c r="D1659" s="260"/>
      <c r="E1659" s="260"/>
      <c r="F1659" s="260"/>
      <c r="G1659" s="260"/>
      <c r="H1659" s="260"/>
      <c r="I1659" s="260"/>
      <c r="J1659" s="260"/>
      <c r="K1659" s="260"/>
      <c r="L1659" s="260"/>
      <c r="M1659" s="260"/>
      <c r="N1659" s="260"/>
      <c r="O1659" s="260"/>
      <c r="P1659" s="260"/>
      <c r="Q1659" s="260"/>
      <c r="R1659" s="260"/>
      <c r="S1659" s="260"/>
      <c r="T1659" s="260"/>
      <c r="U1659" s="260"/>
      <c r="V1659" s="260"/>
      <c r="W1659" s="260"/>
      <c r="X1659" s="260"/>
      <c r="Y1659" s="260"/>
      <c r="Z1659" s="260"/>
      <c r="AA1659" s="260"/>
      <c r="AB1659" s="260"/>
      <c r="AC1659" s="260"/>
      <c r="AD1659" s="260"/>
      <c r="AE1659" s="260"/>
      <c r="AF1659" s="260"/>
      <c r="AG1659" s="260"/>
      <c r="AH1659" s="260"/>
      <c r="AI1659" s="261"/>
    </row>
    <row r="1660" spans="1:35" ht="15" customHeight="1" x14ac:dyDescent="0.45">
      <c r="A1660" s="259"/>
      <c r="B1660" s="260"/>
      <c r="C1660" s="260"/>
      <c r="D1660" s="260"/>
      <c r="E1660" s="260"/>
      <c r="F1660" s="260"/>
      <c r="G1660" s="260"/>
      <c r="H1660" s="260"/>
      <c r="I1660" s="260"/>
      <c r="J1660" s="260"/>
      <c r="K1660" s="260"/>
      <c r="L1660" s="260"/>
      <c r="M1660" s="260"/>
      <c r="N1660" s="260"/>
      <c r="O1660" s="260"/>
      <c r="P1660" s="260"/>
      <c r="Q1660" s="260"/>
      <c r="R1660" s="260"/>
      <c r="S1660" s="260"/>
      <c r="T1660" s="260"/>
      <c r="U1660" s="260"/>
      <c r="V1660" s="260"/>
      <c r="W1660" s="260"/>
      <c r="X1660" s="260"/>
      <c r="Y1660" s="260"/>
      <c r="Z1660" s="260"/>
      <c r="AA1660" s="260"/>
      <c r="AB1660" s="260"/>
      <c r="AC1660" s="260"/>
      <c r="AD1660" s="260"/>
      <c r="AE1660" s="260"/>
      <c r="AF1660" s="260"/>
      <c r="AG1660" s="260"/>
      <c r="AH1660" s="260"/>
      <c r="AI1660" s="261"/>
    </row>
    <row r="1661" spans="1:35" ht="15" customHeight="1" x14ac:dyDescent="0.45">
      <c r="A1661" s="259"/>
      <c r="B1661" s="260"/>
      <c r="C1661" s="260"/>
      <c r="D1661" s="260"/>
      <c r="E1661" s="260"/>
      <c r="F1661" s="260"/>
      <c r="G1661" s="260"/>
      <c r="H1661" s="260"/>
      <c r="I1661" s="260"/>
      <c r="J1661" s="260"/>
      <c r="K1661" s="260"/>
      <c r="L1661" s="260"/>
      <c r="M1661" s="260"/>
      <c r="N1661" s="260"/>
      <c r="O1661" s="260"/>
      <c r="P1661" s="260"/>
      <c r="Q1661" s="260"/>
      <c r="R1661" s="260"/>
      <c r="S1661" s="260"/>
      <c r="T1661" s="260"/>
      <c r="U1661" s="260"/>
      <c r="V1661" s="260"/>
      <c r="W1661" s="260"/>
      <c r="X1661" s="260"/>
      <c r="Y1661" s="260"/>
      <c r="Z1661" s="260"/>
      <c r="AA1661" s="260"/>
      <c r="AB1661" s="260"/>
      <c r="AC1661" s="260"/>
      <c r="AD1661" s="260"/>
      <c r="AE1661" s="260"/>
      <c r="AF1661" s="260"/>
      <c r="AG1661" s="260"/>
      <c r="AH1661" s="260"/>
      <c r="AI1661" s="261"/>
    </row>
    <row r="1662" spans="1:35" ht="15" customHeight="1" x14ac:dyDescent="0.45">
      <c r="A1662" s="259"/>
      <c r="B1662" s="260"/>
      <c r="C1662" s="260"/>
      <c r="D1662" s="260"/>
      <c r="E1662" s="260"/>
      <c r="F1662" s="260"/>
      <c r="G1662" s="260"/>
      <c r="H1662" s="260"/>
      <c r="I1662" s="260"/>
      <c r="J1662" s="260"/>
      <c r="K1662" s="260"/>
      <c r="L1662" s="260"/>
      <c r="M1662" s="260"/>
      <c r="N1662" s="260"/>
      <c r="O1662" s="260"/>
      <c r="P1662" s="260"/>
      <c r="Q1662" s="260"/>
      <c r="R1662" s="260"/>
      <c r="S1662" s="260"/>
      <c r="T1662" s="260"/>
      <c r="U1662" s="260"/>
      <c r="V1662" s="260"/>
      <c r="W1662" s="260"/>
      <c r="X1662" s="260"/>
      <c r="Y1662" s="260"/>
      <c r="Z1662" s="260"/>
      <c r="AA1662" s="260"/>
      <c r="AB1662" s="260"/>
      <c r="AC1662" s="260"/>
      <c r="AD1662" s="260"/>
      <c r="AE1662" s="260"/>
      <c r="AF1662" s="260"/>
      <c r="AG1662" s="260"/>
      <c r="AH1662" s="260"/>
      <c r="AI1662" s="261"/>
    </row>
    <row r="1663" spans="1:35" ht="15" customHeight="1" x14ac:dyDescent="0.45">
      <c r="A1663" s="259"/>
      <c r="B1663" s="260"/>
      <c r="C1663" s="260"/>
      <c r="D1663" s="260"/>
      <c r="E1663" s="260"/>
      <c r="F1663" s="260"/>
      <c r="G1663" s="260"/>
      <c r="H1663" s="260"/>
      <c r="I1663" s="260"/>
      <c r="J1663" s="260"/>
      <c r="K1663" s="260"/>
      <c r="L1663" s="260"/>
      <c r="M1663" s="260"/>
      <c r="N1663" s="260"/>
      <c r="O1663" s="260"/>
      <c r="P1663" s="260"/>
      <c r="Q1663" s="260"/>
      <c r="R1663" s="260"/>
      <c r="S1663" s="260"/>
      <c r="T1663" s="260"/>
      <c r="U1663" s="260"/>
      <c r="V1663" s="260"/>
      <c r="W1663" s="260"/>
      <c r="X1663" s="260"/>
      <c r="Y1663" s="260"/>
      <c r="Z1663" s="260"/>
      <c r="AA1663" s="260"/>
      <c r="AB1663" s="260"/>
      <c r="AC1663" s="260"/>
      <c r="AD1663" s="260"/>
      <c r="AE1663" s="260"/>
      <c r="AF1663" s="260"/>
      <c r="AG1663" s="260"/>
      <c r="AH1663" s="260"/>
      <c r="AI1663" s="261"/>
    </row>
    <row r="1664" spans="1:35" ht="15" customHeight="1" x14ac:dyDescent="0.45">
      <c r="A1664" s="259"/>
      <c r="B1664" s="260"/>
      <c r="C1664" s="260"/>
      <c r="D1664" s="260"/>
      <c r="E1664" s="260"/>
      <c r="F1664" s="260"/>
      <c r="G1664" s="260"/>
      <c r="H1664" s="260"/>
      <c r="I1664" s="260"/>
      <c r="J1664" s="260"/>
      <c r="K1664" s="260"/>
      <c r="L1664" s="260"/>
      <c r="M1664" s="260"/>
      <c r="N1664" s="260"/>
      <c r="O1664" s="260"/>
      <c r="P1664" s="260"/>
      <c r="Q1664" s="260"/>
      <c r="R1664" s="260"/>
      <c r="S1664" s="260"/>
      <c r="T1664" s="260"/>
      <c r="U1664" s="260"/>
      <c r="V1664" s="260"/>
      <c r="W1664" s="260"/>
      <c r="X1664" s="260"/>
      <c r="Y1664" s="260"/>
      <c r="Z1664" s="260"/>
      <c r="AA1664" s="260"/>
      <c r="AB1664" s="260"/>
      <c r="AC1664" s="260"/>
      <c r="AD1664" s="260"/>
      <c r="AE1664" s="260"/>
      <c r="AF1664" s="260"/>
      <c r="AG1664" s="260"/>
      <c r="AH1664" s="260"/>
      <c r="AI1664" s="261"/>
    </row>
    <row r="1665" spans="1:35" ht="15" customHeight="1" x14ac:dyDescent="0.45">
      <c r="A1665" s="259"/>
      <c r="B1665" s="260"/>
      <c r="C1665" s="260"/>
      <c r="D1665" s="260"/>
      <c r="E1665" s="260"/>
      <c r="F1665" s="260"/>
      <c r="G1665" s="260"/>
      <c r="H1665" s="260"/>
      <c r="I1665" s="260"/>
      <c r="J1665" s="260"/>
      <c r="K1665" s="260"/>
      <c r="L1665" s="260"/>
      <c r="M1665" s="260"/>
      <c r="N1665" s="260"/>
      <c r="O1665" s="260"/>
      <c r="P1665" s="260"/>
      <c r="Q1665" s="260"/>
      <c r="R1665" s="260"/>
      <c r="S1665" s="260"/>
      <c r="T1665" s="260"/>
      <c r="U1665" s="260"/>
      <c r="V1665" s="260"/>
      <c r="W1665" s="260"/>
      <c r="X1665" s="260"/>
      <c r="Y1665" s="260"/>
      <c r="Z1665" s="260"/>
      <c r="AA1665" s="260"/>
      <c r="AB1665" s="260"/>
      <c r="AC1665" s="260"/>
      <c r="AD1665" s="260"/>
      <c r="AE1665" s="260"/>
      <c r="AF1665" s="260"/>
      <c r="AG1665" s="260"/>
      <c r="AH1665" s="260"/>
      <c r="AI1665" s="261"/>
    </row>
    <row r="1666" spans="1:35" ht="15" customHeight="1" x14ac:dyDescent="0.45">
      <c r="A1666" s="259"/>
      <c r="B1666" s="260"/>
      <c r="C1666" s="260"/>
      <c r="D1666" s="260"/>
      <c r="E1666" s="260"/>
      <c r="F1666" s="260"/>
      <c r="G1666" s="260"/>
      <c r="H1666" s="260"/>
      <c r="I1666" s="260"/>
      <c r="J1666" s="260"/>
      <c r="K1666" s="260"/>
      <c r="L1666" s="260"/>
      <c r="M1666" s="260"/>
      <c r="N1666" s="260"/>
      <c r="O1666" s="260"/>
      <c r="P1666" s="260"/>
      <c r="Q1666" s="260"/>
      <c r="R1666" s="260"/>
      <c r="S1666" s="260"/>
      <c r="T1666" s="260"/>
      <c r="U1666" s="260"/>
      <c r="V1666" s="260"/>
      <c r="W1666" s="260"/>
      <c r="X1666" s="260"/>
      <c r="Y1666" s="260"/>
      <c r="Z1666" s="260"/>
      <c r="AA1666" s="260"/>
      <c r="AB1666" s="260"/>
      <c r="AC1666" s="260"/>
      <c r="AD1666" s="260"/>
      <c r="AE1666" s="260"/>
      <c r="AF1666" s="260"/>
      <c r="AG1666" s="260"/>
      <c r="AH1666" s="260"/>
      <c r="AI1666" s="261"/>
    </row>
    <row r="1667" spans="1:35" ht="15" customHeight="1" x14ac:dyDescent="0.45">
      <c r="A1667" s="259"/>
      <c r="B1667" s="260"/>
      <c r="C1667" s="260"/>
      <c r="D1667" s="260"/>
      <c r="E1667" s="260"/>
      <c r="F1667" s="260"/>
      <c r="G1667" s="260"/>
      <c r="H1667" s="260"/>
      <c r="I1667" s="260"/>
      <c r="J1667" s="260"/>
      <c r="K1667" s="260"/>
      <c r="L1667" s="260"/>
      <c r="M1667" s="260"/>
      <c r="N1667" s="260"/>
      <c r="O1667" s="260"/>
      <c r="P1667" s="260"/>
      <c r="Q1667" s="260"/>
      <c r="R1667" s="260"/>
      <c r="S1667" s="260"/>
      <c r="T1667" s="260"/>
      <c r="U1667" s="260"/>
      <c r="V1667" s="260"/>
      <c r="W1667" s="260"/>
      <c r="X1667" s="260"/>
      <c r="Y1667" s="260"/>
      <c r="Z1667" s="260"/>
      <c r="AA1667" s="260"/>
      <c r="AB1667" s="260"/>
      <c r="AC1667" s="260"/>
      <c r="AD1667" s="260"/>
      <c r="AE1667" s="260"/>
      <c r="AF1667" s="260"/>
      <c r="AG1667" s="260"/>
      <c r="AH1667" s="260"/>
      <c r="AI1667" s="261"/>
    </row>
    <row r="1668" spans="1:35" ht="15" customHeight="1" x14ac:dyDescent="0.45">
      <c r="A1668" s="259"/>
      <c r="B1668" s="260"/>
      <c r="C1668" s="260"/>
      <c r="D1668" s="260"/>
      <c r="E1668" s="260"/>
      <c r="F1668" s="260"/>
      <c r="G1668" s="260"/>
      <c r="H1668" s="260"/>
      <c r="I1668" s="260"/>
      <c r="J1668" s="260"/>
      <c r="K1668" s="260"/>
      <c r="L1668" s="260"/>
      <c r="M1668" s="260"/>
      <c r="N1668" s="260"/>
      <c r="O1668" s="260"/>
      <c r="P1668" s="260"/>
      <c r="Q1668" s="260"/>
      <c r="R1668" s="260"/>
      <c r="S1668" s="260"/>
      <c r="T1668" s="260"/>
      <c r="U1668" s="260"/>
      <c r="V1668" s="260"/>
      <c r="W1668" s="260"/>
      <c r="X1668" s="260"/>
      <c r="Y1668" s="260"/>
      <c r="Z1668" s="260"/>
      <c r="AA1668" s="260"/>
      <c r="AB1668" s="260"/>
      <c r="AC1668" s="260"/>
      <c r="AD1668" s="260"/>
      <c r="AE1668" s="260"/>
      <c r="AF1668" s="260"/>
      <c r="AG1668" s="260"/>
      <c r="AH1668" s="260"/>
      <c r="AI1668" s="261"/>
    </row>
    <row r="1669" spans="1:35" ht="15" customHeight="1" x14ac:dyDescent="0.45">
      <c r="A1669" s="262"/>
      <c r="B1669" s="263"/>
      <c r="C1669" s="263"/>
      <c r="D1669" s="263"/>
      <c r="E1669" s="263"/>
      <c r="F1669" s="263"/>
      <c r="G1669" s="263"/>
      <c r="H1669" s="263"/>
      <c r="I1669" s="263"/>
      <c r="J1669" s="263"/>
      <c r="K1669" s="263"/>
      <c r="L1669" s="263"/>
      <c r="M1669" s="263"/>
      <c r="N1669" s="263"/>
      <c r="O1669" s="263"/>
      <c r="P1669" s="263"/>
      <c r="Q1669" s="263"/>
      <c r="R1669" s="263"/>
      <c r="S1669" s="263"/>
      <c r="T1669" s="263"/>
      <c r="U1669" s="263"/>
      <c r="V1669" s="263"/>
      <c r="W1669" s="263"/>
      <c r="X1669" s="263"/>
      <c r="Y1669" s="263"/>
      <c r="Z1669" s="263"/>
      <c r="AA1669" s="263"/>
      <c r="AB1669" s="263"/>
      <c r="AC1669" s="263"/>
      <c r="AD1669" s="263"/>
      <c r="AE1669" s="263"/>
      <c r="AF1669" s="263"/>
      <c r="AG1669" s="263"/>
      <c r="AH1669" s="263"/>
      <c r="AI1669" s="264"/>
    </row>
    <row r="1670" spans="1:35" ht="15" customHeight="1" x14ac:dyDescent="0.45"/>
    <row r="1671" spans="1:35" ht="15" customHeight="1" x14ac:dyDescent="0.45">
      <c r="A1671" s="713" t="s">
        <v>718</v>
      </c>
      <c r="B1671" s="713"/>
      <c r="C1671" s="713"/>
      <c r="D1671" s="713"/>
      <c r="E1671" s="713"/>
      <c r="F1671" s="713"/>
      <c r="G1671" s="713"/>
      <c r="H1671" s="713"/>
      <c r="I1671" s="713"/>
      <c r="J1671" s="713"/>
      <c r="K1671" s="713"/>
      <c r="L1671" s="713"/>
      <c r="M1671" s="713"/>
      <c r="N1671" s="713"/>
      <c r="O1671" s="713"/>
      <c r="P1671" s="713"/>
      <c r="Q1671" s="713"/>
      <c r="R1671" s="713"/>
      <c r="S1671" s="713"/>
      <c r="T1671" s="713"/>
      <c r="U1671" s="713"/>
      <c r="V1671" s="713"/>
      <c r="W1671" s="713"/>
      <c r="X1671" s="713"/>
      <c r="Y1671" s="713"/>
      <c r="Z1671" s="713"/>
      <c r="AA1671" s="713"/>
      <c r="AB1671" s="713"/>
      <c r="AC1671" s="713"/>
      <c r="AD1671" s="713"/>
      <c r="AE1671" s="713"/>
      <c r="AF1671" s="713"/>
      <c r="AG1671" s="713"/>
      <c r="AH1671" s="713"/>
      <c r="AI1671" s="713"/>
    </row>
    <row r="1672" spans="1:35" ht="15" customHeight="1" x14ac:dyDescent="0.45"/>
    <row r="1673" spans="1:35" x14ac:dyDescent="0.45">
      <c r="A1673" s="231" t="s">
        <v>719</v>
      </c>
    </row>
    <row r="1674" spans="1:35" x14ac:dyDescent="0.45">
      <c r="A1674" s="231"/>
    </row>
    <row r="1675" spans="1:35" ht="15" customHeight="1" x14ac:dyDescent="0.45">
      <c r="A1675" s="350" t="s">
        <v>720</v>
      </c>
      <c r="B1675" s="6" t="s">
        <v>721</v>
      </c>
    </row>
    <row r="1676" spans="1:35" ht="15" customHeight="1" x14ac:dyDescent="0.45">
      <c r="A1676" s="350" t="s">
        <v>720</v>
      </c>
      <c r="B1676" s="6" t="s">
        <v>722</v>
      </c>
    </row>
    <row r="1677" spans="1:35" ht="15" customHeight="1" x14ac:dyDescent="0.45">
      <c r="B1677" s="6" t="s">
        <v>723</v>
      </c>
    </row>
    <row r="1678" spans="1:35" ht="15" customHeight="1" x14ac:dyDescent="0.45">
      <c r="A1678" s="350" t="s">
        <v>720</v>
      </c>
      <c r="B1678" s="6" t="s">
        <v>724</v>
      </c>
    </row>
    <row r="1679" spans="1:35" ht="15" customHeight="1" x14ac:dyDescent="0.45">
      <c r="A1679" s="350"/>
      <c r="B1679" s="6" t="s">
        <v>725</v>
      </c>
    </row>
    <row r="1680" spans="1:35" ht="15" customHeight="1" x14ac:dyDescent="0.45">
      <c r="A1680" s="350" t="s">
        <v>720</v>
      </c>
      <c r="B1680" s="6" t="s">
        <v>726</v>
      </c>
    </row>
    <row r="1681" spans="1:4" ht="15" customHeight="1" x14ac:dyDescent="0.45">
      <c r="A1681" s="350" t="s">
        <v>720</v>
      </c>
      <c r="B1681" s="6" t="s">
        <v>727</v>
      </c>
    </row>
    <row r="1682" spans="1:4" ht="15" customHeight="1" x14ac:dyDescent="0.45"/>
    <row r="1683" spans="1:4" ht="15" customHeight="1" x14ac:dyDescent="0.45"/>
    <row r="1684" spans="1:4" ht="15" customHeight="1" x14ac:dyDescent="0.45">
      <c r="A1684" s="231" t="s">
        <v>728</v>
      </c>
    </row>
    <row r="1685" spans="1:4" ht="15" customHeight="1" x14ac:dyDescent="0.45">
      <c r="A1685" s="350" t="s">
        <v>720</v>
      </c>
      <c r="B1685" s="6" t="s">
        <v>729</v>
      </c>
    </row>
    <row r="1686" spans="1:4" ht="15" customHeight="1" x14ac:dyDescent="0.45">
      <c r="A1686" s="350" t="s">
        <v>720</v>
      </c>
      <c r="B1686" s="6" t="s">
        <v>730</v>
      </c>
    </row>
    <row r="1687" spans="1:4" ht="15" customHeight="1" x14ac:dyDescent="0.45">
      <c r="A1687" s="350" t="s">
        <v>720</v>
      </c>
      <c r="B1687" s="6" t="s">
        <v>731</v>
      </c>
    </row>
    <row r="1688" spans="1:4" ht="15" customHeight="1" x14ac:dyDescent="0.45">
      <c r="A1688" s="350" t="s">
        <v>720</v>
      </c>
      <c r="B1688" s="6" t="s">
        <v>732</v>
      </c>
    </row>
    <row r="1689" spans="1:4" ht="15" customHeight="1" x14ac:dyDescent="0.45"/>
    <row r="1690" spans="1:4" ht="15" customHeight="1" x14ac:dyDescent="0.45"/>
    <row r="1691" spans="1:4" ht="15" customHeight="1" x14ac:dyDescent="0.45">
      <c r="A1691" s="231" t="s">
        <v>733</v>
      </c>
    </row>
    <row r="1692" spans="1:4" ht="15" customHeight="1" x14ac:dyDescent="0.45">
      <c r="A1692" s="350" t="s">
        <v>720</v>
      </c>
      <c r="B1692" s="6" t="s">
        <v>734</v>
      </c>
    </row>
    <row r="1693" spans="1:4" ht="15" customHeight="1" x14ac:dyDescent="0.45">
      <c r="C1693" s="350" t="s">
        <v>43</v>
      </c>
      <c r="D1693" s="450" t="s">
        <v>735</v>
      </c>
    </row>
    <row r="1694" spans="1:4" ht="15" customHeight="1" x14ac:dyDescent="0.45">
      <c r="C1694" s="350" t="s">
        <v>43</v>
      </c>
      <c r="D1694" s="450" t="s">
        <v>736</v>
      </c>
    </row>
    <row r="1695" spans="1:4" ht="15" customHeight="1" x14ac:dyDescent="0.45">
      <c r="C1695" s="350" t="s">
        <v>43</v>
      </c>
      <c r="D1695" s="450" t="s">
        <v>737</v>
      </c>
    </row>
    <row r="1696" spans="1:4" ht="15" customHeight="1" x14ac:dyDescent="0.45">
      <c r="C1696" s="350" t="s">
        <v>43</v>
      </c>
      <c r="D1696" s="450" t="s">
        <v>738</v>
      </c>
    </row>
    <row r="1697" spans="1:35" ht="15" customHeight="1" x14ac:dyDescent="0.45">
      <c r="C1697" s="350" t="s">
        <v>43</v>
      </c>
      <c r="D1697" s="450" t="s">
        <v>739</v>
      </c>
    </row>
    <row r="1698" spans="1:35" ht="15" customHeight="1" x14ac:dyDescent="0.45">
      <c r="C1698" s="350" t="s">
        <v>43</v>
      </c>
      <c r="D1698" s="450" t="s">
        <v>740</v>
      </c>
    </row>
    <row r="1699" spans="1:35" ht="15" customHeight="1" x14ac:dyDescent="0.45">
      <c r="C1699" s="350" t="s">
        <v>43</v>
      </c>
      <c r="D1699" s="450" t="s">
        <v>741</v>
      </c>
    </row>
    <row r="1700" spans="1:35" ht="15" customHeight="1" x14ac:dyDescent="0.45">
      <c r="C1700" s="350" t="s">
        <v>43</v>
      </c>
      <c r="D1700" s="450" t="s">
        <v>742</v>
      </c>
    </row>
    <row r="1701" spans="1:35" ht="15" customHeight="1" x14ac:dyDescent="0.45">
      <c r="C1701" s="350" t="s">
        <v>43</v>
      </c>
      <c r="D1701" s="450" t="s">
        <v>743</v>
      </c>
    </row>
    <row r="1702" spans="1:35" ht="15" customHeight="1" x14ac:dyDescent="0.45">
      <c r="C1702" s="350" t="s">
        <v>43</v>
      </c>
      <c r="D1702" s="450" t="s">
        <v>744</v>
      </c>
    </row>
    <row r="1703" spans="1:35" ht="15" customHeight="1" x14ac:dyDescent="0.45"/>
    <row r="1704" spans="1:35" ht="15" customHeight="1" x14ac:dyDescent="0.45">
      <c r="A1704" s="417" t="s">
        <v>208</v>
      </c>
      <c r="B1704" s="418"/>
      <c r="C1704" s="418"/>
      <c r="D1704" s="418"/>
      <c r="E1704" s="418"/>
      <c r="F1704" s="418"/>
      <c r="G1704" s="418"/>
      <c r="H1704" s="418"/>
      <c r="I1704" s="418"/>
      <c r="J1704" s="418"/>
      <c r="K1704" s="418"/>
      <c r="L1704" s="418"/>
      <c r="M1704" s="418"/>
      <c r="N1704" s="418"/>
      <c r="O1704" s="418"/>
      <c r="P1704" s="418"/>
      <c r="Q1704" s="418"/>
      <c r="R1704" s="418"/>
      <c r="S1704" s="418"/>
      <c r="T1704" s="418"/>
      <c r="U1704" s="418"/>
      <c r="V1704" s="418"/>
      <c r="W1704" s="418"/>
      <c r="X1704" s="418"/>
      <c r="Y1704" s="418"/>
      <c r="Z1704" s="418"/>
      <c r="AA1704" s="418"/>
      <c r="AB1704" s="418"/>
      <c r="AC1704" s="418"/>
      <c r="AD1704" s="418"/>
      <c r="AE1704" s="418"/>
      <c r="AF1704" s="418"/>
      <c r="AG1704" s="418"/>
      <c r="AH1704" s="418"/>
      <c r="AI1704" s="419"/>
    </row>
    <row r="1705" spans="1:35" ht="15" customHeight="1" x14ac:dyDescent="0.45">
      <c r="A1705" s="60" t="s">
        <v>72</v>
      </c>
      <c r="B1705" s="61"/>
      <c r="C1705" s="61"/>
      <c r="D1705" s="61"/>
      <c r="E1705" s="61"/>
      <c r="F1705" s="61"/>
      <c r="G1705" s="61"/>
      <c r="H1705" s="61"/>
      <c r="I1705" s="61"/>
      <c r="J1705" s="61"/>
      <c r="K1705" s="61"/>
      <c r="L1705" s="61"/>
      <c r="M1705" s="61"/>
      <c r="N1705" s="61"/>
      <c r="O1705" s="61"/>
      <c r="P1705" s="61"/>
      <c r="Q1705" s="61"/>
      <c r="R1705" s="61"/>
      <c r="S1705" s="61"/>
      <c r="T1705" s="61"/>
      <c r="U1705" s="61"/>
      <c r="V1705" s="61"/>
      <c r="W1705" s="61"/>
      <c r="X1705" s="61"/>
      <c r="Y1705" s="61"/>
      <c r="Z1705" s="61"/>
      <c r="AA1705" s="61"/>
      <c r="AB1705" s="61"/>
      <c r="AC1705" s="61"/>
      <c r="AD1705" s="61"/>
      <c r="AE1705" s="61"/>
      <c r="AF1705" s="61"/>
      <c r="AG1705" s="61"/>
      <c r="AH1705" s="61"/>
      <c r="AI1705" s="62"/>
    </row>
    <row r="1706" spans="1:35" ht="15" customHeight="1" x14ac:dyDescent="0.45">
      <c r="A1706" s="60"/>
      <c r="B1706" s="61"/>
      <c r="C1706" s="61"/>
      <c r="D1706" s="61"/>
      <c r="E1706" s="61"/>
      <c r="F1706" s="61"/>
      <c r="G1706" s="61"/>
      <c r="H1706" s="61"/>
      <c r="I1706" s="61"/>
      <c r="J1706" s="61"/>
      <c r="K1706" s="61"/>
      <c r="L1706" s="61"/>
      <c r="M1706" s="61"/>
      <c r="N1706" s="61"/>
      <c r="O1706" s="61"/>
      <c r="P1706" s="61"/>
      <c r="Q1706" s="61"/>
      <c r="R1706" s="61"/>
      <c r="S1706" s="61"/>
      <c r="T1706" s="61"/>
      <c r="U1706" s="61"/>
      <c r="V1706" s="61"/>
      <c r="W1706" s="61"/>
      <c r="X1706" s="61"/>
      <c r="Y1706" s="61"/>
      <c r="Z1706" s="61"/>
      <c r="AA1706" s="61"/>
      <c r="AB1706" s="61"/>
      <c r="AC1706" s="61"/>
      <c r="AD1706" s="61"/>
      <c r="AE1706" s="61"/>
      <c r="AF1706" s="61"/>
      <c r="AG1706" s="61"/>
      <c r="AH1706" s="61"/>
      <c r="AI1706" s="62"/>
    </row>
    <row r="1707" spans="1:35" ht="15" customHeight="1" x14ac:dyDescent="0.45">
      <c r="A1707" s="60"/>
      <c r="B1707" s="61"/>
      <c r="C1707" s="61"/>
      <c r="D1707" s="61"/>
      <c r="E1707" s="61"/>
      <c r="F1707" s="61"/>
      <c r="G1707" s="61"/>
      <c r="H1707" s="61"/>
      <c r="I1707" s="61"/>
      <c r="J1707" s="61"/>
      <c r="K1707" s="61"/>
      <c r="L1707" s="61"/>
      <c r="M1707" s="61"/>
      <c r="N1707" s="61"/>
      <c r="O1707" s="61"/>
      <c r="P1707" s="61"/>
      <c r="Q1707" s="61"/>
      <c r="R1707" s="61"/>
      <c r="S1707" s="61"/>
      <c r="T1707" s="61"/>
      <c r="U1707" s="61"/>
      <c r="V1707" s="61"/>
      <c r="W1707" s="61"/>
      <c r="X1707" s="61"/>
      <c r="Y1707" s="61"/>
      <c r="Z1707" s="61"/>
      <c r="AA1707" s="61"/>
      <c r="AB1707" s="61"/>
      <c r="AC1707" s="61"/>
      <c r="AD1707" s="61"/>
      <c r="AE1707" s="61"/>
      <c r="AF1707" s="61"/>
      <c r="AG1707" s="61"/>
      <c r="AH1707" s="61"/>
      <c r="AI1707" s="62"/>
    </row>
    <row r="1708" spans="1:35" ht="15" customHeight="1" x14ac:dyDescent="0.45">
      <c r="A1708" s="60"/>
      <c r="B1708" s="61"/>
      <c r="C1708" s="61"/>
      <c r="D1708" s="61"/>
      <c r="E1708" s="61"/>
      <c r="F1708" s="61"/>
      <c r="G1708" s="61"/>
      <c r="H1708" s="61"/>
      <c r="I1708" s="61"/>
      <c r="J1708" s="61"/>
      <c r="K1708" s="61"/>
      <c r="L1708" s="61"/>
      <c r="M1708" s="61"/>
      <c r="N1708" s="61"/>
      <c r="O1708" s="61"/>
      <c r="P1708" s="61"/>
      <c r="Q1708" s="61"/>
      <c r="R1708" s="61"/>
      <c r="S1708" s="61"/>
      <c r="T1708" s="61"/>
      <c r="U1708" s="61"/>
      <c r="V1708" s="61"/>
      <c r="W1708" s="61"/>
      <c r="X1708" s="61"/>
      <c r="Y1708" s="61"/>
      <c r="Z1708" s="61"/>
      <c r="AA1708" s="61"/>
      <c r="AB1708" s="61"/>
      <c r="AC1708" s="61"/>
      <c r="AD1708" s="61"/>
      <c r="AE1708" s="61"/>
      <c r="AF1708" s="61"/>
      <c r="AG1708" s="61"/>
      <c r="AH1708" s="61"/>
      <c r="AI1708" s="62"/>
    </row>
    <row r="1709" spans="1:35" ht="15" customHeight="1" x14ac:dyDescent="0.45">
      <c r="A1709" s="60"/>
      <c r="B1709" s="61"/>
      <c r="C1709" s="61"/>
      <c r="D1709" s="61"/>
      <c r="E1709" s="61"/>
      <c r="F1709" s="61"/>
      <c r="G1709" s="61"/>
      <c r="H1709" s="61"/>
      <c r="I1709" s="61"/>
      <c r="J1709" s="61"/>
      <c r="K1709" s="61"/>
      <c r="L1709" s="61"/>
      <c r="M1709" s="61"/>
      <c r="N1709" s="61"/>
      <c r="O1709" s="61"/>
      <c r="P1709" s="61"/>
      <c r="Q1709" s="61"/>
      <c r="R1709" s="61"/>
      <c r="S1709" s="61"/>
      <c r="T1709" s="61"/>
      <c r="U1709" s="61"/>
      <c r="V1709" s="61"/>
      <c r="W1709" s="61"/>
      <c r="X1709" s="61"/>
      <c r="Y1709" s="61"/>
      <c r="Z1709" s="61"/>
      <c r="AA1709" s="61"/>
      <c r="AB1709" s="61"/>
      <c r="AC1709" s="61"/>
      <c r="AD1709" s="61"/>
      <c r="AE1709" s="61"/>
      <c r="AF1709" s="61"/>
      <c r="AG1709" s="61"/>
      <c r="AH1709" s="61"/>
      <c r="AI1709" s="62"/>
    </row>
    <row r="1710" spans="1:35" ht="15" customHeight="1" x14ac:dyDescent="0.45">
      <c r="A1710" s="60"/>
      <c r="B1710" s="61"/>
      <c r="C1710" s="61"/>
      <c r="D1710" s="61"/>
      <c r="E1710" s="61"/>
      <c r="F1710" s="61"/>
      <c r="G1710" s="61"/>
      <c r="H1710" s="61"/>
      <c r="I1710" s="61"/>
      <c r="J1710" s="61"/>
      <c r="K1710" s="61"/>
      <c r="L1710" s="61"/>
      <c r="M1710" s="61"/>
      <c r="N1710" s="61"/>
      <c r="O1710" s="61"/>
      <c r="P1710" s="61"/>
      <c r="Q1710" s="61"/>
      <c r="R1710" s="61"/>
      <c r="S1710" s="61"/>
      <c r="T1710" s="61"/>
      <c r="U1710" s="61"/>
      <c r="V1710" s="61"/>
      <c r="W1710" s="61"/>
      <c r="X1710" s="61"/>
      <c r="Y1710" s="61"/>
      <c r="Z1710" s="61"/>
      <c r="AA1710" s="61"/>
      <c r="AB1710" s="61"/>
      <c r="AC1710" s="61"/>
      <c r="AD1710" s="61"/>
      <c r="AE1710" s="61"/>
      <c r="AF1710" s="61"/>
      <c r="AG1710" s="61"/>
      <c r="AH1710" s="61"/>
      <c r="AI1710" s="62"/>
    </row>
    <row r="1711" spans="1:35" ht="15" customHeight="1" x14ac:dyDescent="0.45">
      <c r="A1711" s="60"/>
      <c r="B1711" s="61"/>
      <c r="C1711" s="61"/>
      <c r="D1711" s="61"/>
      <c r="E1711" s="61"/>
      <c r="F1711" s="61"/>
      <c r="G1711" s="61"/>
      <c r="H1711" s="61"/>
      <c r="I1711" s="61"/>
      <c r="J1711" s="61"/>
      <c r="K1711" s="61"/>
      <c r="L1711" s="61"/>
      <c r="M1711" s="61"/>
      <c r="N1711" s="61"/>
      <c r="O1711" s="61"/>
      <c r="P1711" s="61"/>
      <c r="Q1711" s="61"/>
      <c r="R1711" s="61"/>
      <c r="S1711" s="61"/>
      <c r="T1711" s="61"/>
      <c r="U1711" s="61"/>
      <c r="V1711" s="61"/>
      <c r="W1711" s="61"/>
      <c r="X1711" s="61"/>
      <c r="Y1711" s="61"/>
      <c r="Z1711" s="61"/>
      <c r="AA1711" s="61"/>
      <c r="AB1711" s="61"/>
      <c r="AC1711" s="61"/>
      <c r="AD1711" s="61"/>
      <c r="AE1711" s="61"/>
      <c r="AF1711" s="61"/>
      <c r="AG1711" s="61"/>
      <c r="AH1711" s="61"/>
      <c r="AI1711" s="62"/>
    </row>
    <row r="1712" spans="1:35" ht="15" customHeight="1" x14ac:dyDescent="0.45">
      <c r="A1712" s="60"/>
      <c r="B1712" s="61"/>
      <c r="C1712" s="61"/>
      <c r="D1712" s="61"/>
      <c r="E1712" s="61"/>
      <c r="F1712" s="61"/>
      <c r="G1712" s="61"/>
      <c r="H1712" s="61"/>
      <c r="I1712" s="61"/>
      <c r="J1712" s="61"/>
      <c r="K1712" s="61"/>
      <c r="L1712" s="61"/>
      <c r="M1712" s="61"/>
      <c r="N1712" s="61"/>
      <c r="O1712" s="61"/>
      <c r="P1712" s="61"/>
      <c r="Q1712" s="61"/>
      <c r="R1712" s="61"/>
      <c r="S1712" s="61"/>
      <c r="T1712" s="61"/>
      <c r="U1712" s="61"/>
      <c r="V1712" s="61"/>
      <c r="W1712" s="61"/>
      <c r="X1712" s="61"/>
      <c r="Y1712" s="61"/>
      <c r="Z1712" s="61"/>
      <c r="AA1712" s="61"/>
      <c r="AB1712" s="61"/>
      <c r="AC1712" s="61"/>
      <c r="AD1712" s="61"/>
      <c r="AE1712" s="61"/>
      <c r="AF1712" s="61"/>
      <c r="AG1712" s="61"/>
      <c r="AH1712" s="61"/>
      <c r="AI1712" s="62"/>
    </row>
    <row r="1713" spans="1:35" ht="15" customHeight="1" x14ac:dyDescent="0.45">
      <c r="A1713" s="60"/>
      <c r="B1713" s="61"/>
      <c r="C1713" s="61"/>
      <c r="D1713" s="61"/>
      <c r="E1713" s="61"/>
      <c r="F1713" s="61"/>
      <c r="G1713" s="61"/>
      <c r="H1713" s="61"/>
      <c r="I1713" s="61"/>
      <c r="J1713" s="61"/>
      <c r="K1713" s="61"/>
      <c r="L1713" s="61"/>
      <c r="M1713" s="61"/>
      <c r="N1713" s="61"/>
      <c r="O1713" s="61"/>
      <c r="P1713" s="61"/>
      <c r="Q1713" s="61"/>
      <c r="R1713" s="61"/>
      <c r="S1713" s="61"/>
      <c r="T1713" s="61"/>
      <c r="U1713" s="61"/>
      <c r="V1713" s="61"/>
      <c r="W1713" s="61"/>
      <c r="X1713" s="61"/>
      <c r="Y1713" s="61"/>
      <c r="Z1713" s="61"/>
      <c r="AA1713" s="61"/>
      <c r="AB1713" s="61"/>
      <c r="AC1713" s="61"/>
      <c r="AD1713" s="61"/>
      <c r="AE1713" s="61"/>
      <c r="AF1713" s="61"/>
      <c r="AG1713" s="61"/>
      <c r="AH1713" s="61"/>
      <c r="AI1713" s="62"/>
    </row>
    <row r="1714" spans="1:35" ht="15" customHeight="1" x14ac:dyDescent="0.45">
      <c r="A1714" s="60"/>
      <c r="B1714" s="61"/>
      <c r="C1714" s="61"/>
      <c r="D1714" s="61"/>
      <c r="E1714" s="61"/>
      <c r="F1714" s="61"/>
      <c r="G1714" s="61"/>
      <c r="H1714" s="61"/>
      <c r="I1714" s="61"/>
      <c r="J1714" s="61"/>
      <c r="K1714" s="61"/>
      <c r="L1714" s="61"/>
      <c r="M1714" s="61"/>
      <c r="N1714" s="61"/>
      <c r="O1714" s="61"/>
      <c r="P1714" s="61"/>
      <c r="Q1714" s="61"/>
      <c r="R1714" s="61"/>
      <c r="S1714" s="61"/>
      <c r="T1714" s="61"/>
      <c r="U1714" s="61"/>
      <c r="V1714" s="61"/>
      <c r="W1714" s="61"/>
      <c r="X1714" s="61"/>
      <c r="Y1714" s="61"/>
      <c r="Z1714" s="61"/>
      <c r="AA1714" s="61"/>
      <c r="AB1714" s="61"/>
      <c r="AC1714" s="61"/>
      <c r="AD1714" s="61"/>
      <c r="AE1714" s="61"/>
      <c r="AF1714" s="61"/>
      <c r="AG1714" s="61"/>
      <c r="AH1714" s="61"/>
      <c r="AI1714" s="62"/>
    </row>
    <row r="1715" spans="1:35" ht="15" customHeight="1" x14ac:dyDescent="0.45">
      <c r="A1715" s="60"/>
      <c r="B1715" s="61"/>
      <c r="C1715" s="61"/>
      <c r="D1715" s="61"/>
      <c r="E1715" s="61"/>
      <c r="F1715" s="61"/>
      <c r="G1715" s="61"/>
      <c r="H1715" s="61"/>
      <c r="I1715" s="61"/>
      <c r="J1715" s="61"/>
      <c r="K1715" s="61"/>
      <c r="L1715" s="61"/>
      <c r="M1715" s="61"/>
      <c r="N1715" s="61"/>
      <c r="O1715" s="61"/>
      <c r="P1715" s="61"/>
      <c r="Q1715" s="61"/>
      <c r="R1715" s="61"/>
      <c r="S1715" s="61"/>
      <c r="T1715" s="61"/>
      <c r="U1715" s="61"/>
      <c r="V1715" s="61"/>
      <c r="W1715" s="61"/>
      <c r="X1715" s="61"/>
      <c r="Y1715" s="61"/>
      <c r="Z1715" s="61"/>
      <c r="AA1715" s="61"/>
      <c r="AB1715" s="61"/>
      <c r="AC1715" s="61"/>
      <c r="AD1715" s="61"/>
      <c r="AE1715" s="61"/>
      <c r="AF1715" s="61"/>
      <c r="AG1715" s="61"/>
      <c r="AH1715" s="61"/>
      <c r="AI1715" s="62"/>
    </row>
    <row r="1716" spans="1:35" ht="15" customHeight="1" x14ac:dyDescent="0.45">
      <c r="A1716" s="60"/>
      <c r="B1716" s="61"/>
      <c r="C1716" s="61"/>
      <c r="D1716" s="61"/>
      <c r="E1716" s="61"/>
      <c r="F1716" s="61"/>
      <c r="G1716" s="61"/>
      <c r="H1716" s="61"/>
      <c r="I1716" s="61"/>
      <c r="J1716" s="61"/>
      <c r="K1716" s="61"/>
      <c r="L1716" s="61"/>
      <c r="M1716" s="61"/>
      <c r="N1716" s="61"/>
      <c r="O1716" s="61"/>
      <c r="P1716" s="61"/>
      <c r="Q1716" s="61"/>
      <c r="R1716" s="61"/>
      <c r="S1716" s="61"/>
      <c r="T1716" s="61"/>
      <c r="U1716" s="61"/>
      <c r="V1716" s="61"/>
      <c r="W1716" s="61"/>
      <c r="X1716" s="61"/>
      <c r="Y1716" s="61"/>
      <c r="Z1716" s="61"/>
      <c r="AA1716" s="61"/>
      <c r="AB1716" s="61"/>
      <c r="AC1716" s="61"/>
      <c r="AD1716" s="61"/>
      <c r="AE1716" s="61"/>
      <c r="AF1716" s="61"/>
      <c r="AG1716" s="61"/>
      <c r="AH1716" s="61"/>
      <c r="AI1716" s="62"/>
    </row>
    <row r="1717" spans="1:35" ht="15" customHeight="1" x14ac:dyDescent="0.45">
      <c r="A1717" s="60"/>
      <c r="B1717" s="61"/>
      <c r="C1717" s="61"/>
      <c r="D1717" s="61"/>
      <c r="E1717" s="61"/>
      <c r="F1717" s="61"/>
      <c r="G1717" s="61"/>
      <c r="H1717" s="61"/>
      <c r="I1717" s="61"/>
      <c r="J1717" s="61"/>
      <c r="K1717" s="61"/>
      <c r="L1717" s="61"/>
      <c r="M1717" s="61"/>
      <c r="N1717" s="61"/>
      <c r="O1717" s="61"/>
      <c r="P1717" s="61"/>
      <c r="Q1717" s="61"/>
      <c r="R1717" s="61"/>
      <c r="S1717" s="61"/>
      <c r="T1717" s="61"/>
      <c r="U1717" s="61"/>
      <c r="V1717" s="61"/>
      <c r="W1717" s="61"/>
      <c r="X1717" s="61"/>
      <c r="Y1717" s="61"/>
      <c r="Z1717" s="61"/>
      <c r="AA1717" s="61"/>
      <c r="AB1717" s="61"/>
      <c r="AC1717" s="61"/>
      <c r="AD1717" s="61"/>
      <c r="AE1717" s="61"/>
      <c r="AF1717" s="61"/>
      <c r="AG1717" s="61"/>
      <c r="AH1717" s="61"/>
      <c r="AI1717" s="62"/>
    </row>
    <row r="1718" spans="1:35" ht="15" customHeight="1" x14ac:dyDescent="0.45">
      <c r="A1718" s="714"/>
      <c r="B1718" s="715"/>
      <c r="C1718" s="715"/>
      <c r="D1718" s="715"/>
      <c r="E1718" s="715"/>
      <c r="F1718" s="715"/>
      <c r="G1718" s="715"/>
      <c r="H1718" s="715"/>
      <c r="I1718" s="715"/>
      <c r="J1718" s="715"/>
      <c r="K1718" s="715"/>
      <c r="L1718" s="715"/>
      <c r="M1718" s="715"/>
      <c r="N1718" s="715"/>
      <c r="O1718" s="715"/>
      <c r="P1718" s="715"/>
      <c r="Q1718" s="715"/>
      <c r="R1718" s="715"/>
      <c r="S1718" s="715"/>
      <c r="T1718" s="715"/>
      <c r="U1718" s="715"/>
      <c r="V1718" s="715"/>
      <c r="W1718" s="715"/>
      <c r="X1718" s="715"/>
      <c r="Y1718" s="715"/>
      <c r="Z1718" s="715"/>
      <c r="AA1718" s="715"/>
      <c r="AB1718" s="715"/>
      <c r="AC1718" s="715"/>
      <c r="AD1718" s="715"/>
      <c r="AE1718" s="715"/>
      <c r="AF1718" s="715"/>
      <c r="AG1718" s="715"/>
      <c r="AH1718" s="715"/>
      <c r="AI1718" s="716"/>
    </row>
    <row r="1719" spans="1:35" ht="15" customHeight="1" x14ac:dyDescent="0.45">
      <c r="A1719" s="15" t="s">
        <v>745</v>
      </c>
      <c r="B1719" s="15"/>
      <c r="C1719" s="15"/>
      <c r="D1719" s="15"/>
      <c r="E1719" s="15"/>
      <c r="F1719" s="15"/>
      <c r="G1719" s="15"/>
      <c r="H1719" s="15"/>
      <c r="I1719" s="15"/>
      <c r="J1719" s="15"/>
      <c r="K1719" s="15"/>
      <c r="L1719" s="15"/>
      <c r="M1719" s="15"/>
      <c r="N1719" s="15"/>
      <c r="O1719" s="15"/>
      <c r="P1719" s="15"/>
      <c r="Q1719" s="15"/>
      <c r="R1719" s="15"/>
      <c r="S1719" s="15"/>
      <c r="T1719" s="15"/>
      <c r="U1719" s="15"/>
      <c r="V1719" s="15"/>
      <c r="W1719" s="15"/>
      <c r="X1719" s="15"/>
      <c r="Y1719" s="15"/>
      <c r="Z1719" s="15"/>
      <c r="AA1719" s="15"/>
      <c r="AB1719" s="15"/>
      <c r="AC1719" s="15"/>
      <c r="AD1719" s="15"/>
      <c r="AE1719" s="15"/>
      <c r="AF1719" s="15"/>
      <c r="AG1719" s="15"/>
      <c r="AH1719" s="15"/>
      <c r="AI1719" s="15"/>
    </row>
    <row r="1720" spans="1:35" ht="15" customHeight="1" x14ac:dyDescent="0.45"/>
    <row r="1721" spans="1:35" ht="15" customHeight="1" x14ac:dyDescent="0.45">
      <c r="A1721" s="717" t="s">
        <v>746</v>
      </c>
      <c r="B1721" s="717"/>
      <c r="C1721" s="717"/>
      <c r="D1721" s="717"/>
      <c r="E1721" s="717"/>
      <c r="F1721" s="717"/>
      <c r="G1721" s="717"/>
      <c r="H1721" s="717"/>
      <c r="I1721" s="717"/>
      <c r="J1721" s="717"/>
      <c r="K1721" s="717"/>
      <c r="L1721" s="717"/>
      <c r="M1721" s="717"/>
      <c r="N1721" s="717"/>
      <c r="O1721" s="717"/>
      <c r="P1721" s="717"/>
      <c r="Q1721" s="717"/>
      <c r="R1721" s="717"/>
      <c r="S1721" s="717"/>
      <c r="T1721" s="717"/>
      <c r="U1721" s="717"/>
      <c r="V1721" s="717"/>
      <c r="W1721" s="717"/>
      <c r="X1721" s="717"/>
      <c r="Y1721" s="717"/>
      <c r="Z1721" s="717"/>
      <c r="AA1721" s="717"/>
      <c r="AB1721" s="717"/>
      <c r="AC1721" s="717"/>
      <c r="AD1721" s="717"/>
      <c r="AE1721" s="717"/>
      <c r="AF1721" s="717"/>
      <c r="AG1721" s="717"/>
      <c r="AH1721" s="717"/>
      <c r="AI1721" s="717"/>
    </row>
    <row r="1722" spans="1:35" ht="15" customHeight="1" x14ac:dyDescent="0.45"/>
    <row r="1723" spans="1:35" ht="15" customHeight="1" x14ac:dyDescent="0.45"/>
    <row r="1724" spans="1:35" ht="15" customHeight="1" x14ac:dyDescent="0.45"/>
    <row r="1725" spans="1:35" ht="15" customHeight="1" x14ac:dyDescent="0.45"/>
    <row r="1726" spans="1:35" ht="15" customHeight="1" x14ac:dyDescent="0.45"/>
    <row r="1727" spans="1:35" ht="15" customHeight="1" x14ac:dyDescent="0.45"/>
    <row r="1728" spans="1:35" ht="15" customHeight="1" x14ac:dyDescent="0.45"/>
    <row r="1729" spans="1:35" ht="15" customHeight="1" x14ac:dyDescent="0.45"/>
    <row r="1730" spans="1:35" ht="15" customHeight="1" x14ac:dyDescent="0.45"/>
    <row r="1731" spans="1:35" ht="15" customHeight="1" x14ac:dyDescent="0.45"/>
    <row r="1732" spans="1:35" ht="15" customHeight="1" x14ac:dyDescent="0.45"/>
    <row r="1733" spans="1:35" ht="15" customHeight="1" x14ac:dyDescent="0.45"/>
    <row r="1734" spans="1:35" ht="15" customHeight="1" x14ac:dyDescent="0.45"/>
    <row r="1735" spans="1:35" ht="15" customHeight="1" x14ac:dyDescent="0.45"/>
    <row r="1736" spans="1:35" ht="15" customHeight="1" x14ac:dyDescent="0.45"/>
    <row r="1737" spans="1:35" ht="15" customHeight="1" x14ac:dyDescent="0.45"/>
    <row r="1738" spans="1:35" ht="15" customHeight="1" x14ac:dyDescent="0.45"/>
    <row r="1739" spans="1:35" ht="15" customHeight="1" x14ac:dyDescent="0.45"/>
    <row r="1740" spans="1:35" ht="15" customHeight="1" x14ac:dyDescent="0.45"/>
    <row r="1741" spans="1:35" ht="15" customHeight="1" x14ac:dyDescent="0.45"/>
    <row r="1742" spans="1:35" ht="15" customHeight="1" x14ac:dyDescent="0.45"/>
    <row r="1743" spans="1:35" ht="15" customHeight="1" x14ac:dyDescent="0.45"/>
    <row r="1744" spans="1:35" ht="15" customHeight="1" x14ac:dyDescent="0.45">
      <c r="A1744" s="717" t="s">
        <v>747</v>
      </c>
      <c r="B1744" s="717"/>
      <c r="C1744" s="717"/>
      <c r="D1744" s="717"/>
      <c r="E1744" s="717"/>
      <c r="F1744" s="717"/>
      <c r="G1744" s="717"/>
      <c r="H1744" s="717"/>
      <c r="I1744" s="717"/>
      <c r="J1744" s="717"/>
      <c r="K1744" s="717"/>
      <c r="L1744" s="717"/>
      <c r="M1744" s="717"/>
      <c r="N1744" s="717"/>
      <c r="O1744" s="717"/>
      <c r="P1744" s="717"/>
      <c r="Q1744" s="717"/>
      <c r="R1744" s="717"/>
      <c r="S1744" s="717"/>
      <c r="T1744" s="717"/>
      <c r="U1744" s="717"/>
      <c r="V1744" s="717"/>
      <c r="W1744" s="717"/>
      <c r="X1744" s="717"/>
      <c r="Y1744" s="717"/>
      <c r="Z1744" s="717"/>
      <c r="AA1744" s="717"/>
      <c r="AB1744" s="717"/>
      <c r="AC1744" s="717"/>
      <c r="AD1744" s="717"/>
      <c r="AE1744" s="717"/>
      <c r="AF1744" s="717"/>
      <c r="AG1744" s="717"/>
      <c r="AH1744" s="717"/>
      <c r="AI1744" s="717"/>
    </row>
    <row r="1745" ht="15" customHeight="1" x14ac:dyDescent="0.45"/>
    <row r="1746" ht="15" customHeight="1" x14ac:dyDescent="0.45"/>
    <row r="1747" ht="15" customHeight="1" x14ac:dyDescent="0.45"/>
    <row r="1748" ht="15" customHeight="1" x14ac:dyDescent="0.45"/>
    <row r="1749" ht="15" customHeight="1" x14ac:dyDescent="0.45"/>
    <row r="1750" ht="15" customHeight="1" x14ac:dyDescent="0.45"/>
    <row r="1751" ht="15" customHeight="1" x14ac:dyDescent="0.45"/>
    <row r="1752" ht="15" customHeight="1" x14ac:dyDescent="0.45"/>
    <row r="1753" ht="15" customHeight="1" x14ac:dyDescent="0.45"/>
    <row r="1754" ht="15" customHeight="1" x14ac:dyDescent="0.45"/>
    <row r="1755" ht="15" customHeight="1" x14ac:dyDescent="0.45"/>
    <row r="1756" ht="15" customHeight="1" x14ac:dyDescent="0.45"/>
    <row r="1757" ht="15" customHeight="1" x14ac:dyDescent="0.45"/>
    <row r="1758" ht="15" customHeight="1" x14ac:dyDescent="0.45"/>
    <row r="1759" ht="15" customHeight="1" x14ac:dyDescent="0.45"/>
    <row r="1760" ht="15" customHeight="1" x14ac:dyDescent="0.45"/>
    <row r="1761" spans="1:35" ht="15" customHeight="1" x14ac:dyDescent="0.45"/>
    <row r="1762" spans="1:35" ht="15" customHeight="1" x14ac:dyDescent="0.45"/>
    <row r="1763" spans="1:35" ht="15" customHeight="1" x14ac:dyDescent="0.45"/>
    <row r="1764" spans="1:35" ht="15" customHeight="1" x14ac:dyDescent="0.45"/>
    <row r="1765" spans="1:35" ht="15" customHeight="1" x14ac:dyDescent="0.45"/>
    <row r="1766" spans="1:35" ht="15" customHeight="1" x14ac:dyDescent="0.45"/>
    <row r="1767" spans="1:35" ht="15" customHeight="1" x14ac:dyDescent="0.45"/>
    <row r="1768" spans="1:35" x14ac:dyDescent="0.45">
      <c r="A1768" s="15" t="s">
        <v>745</v>
      </c>
      <c r="B1768" s="15"/>
      <c r="C1768" s="15"/>
      <c r="D1768" s="15"/>
      <c r="E1768" s="15"/>
      <c r="F1768" s="15"/>
      <c r="G1768" s="15"/>
      <c r="H1768" s="15"/>
      <c r="I1768" s="15"/>
      <c r="J1768" s="15"/>
      <c r="K1768" s="15"/>
      <c r="L1768" s="15"/>
      <c r="M1768" s="15"/>
      <c r="N1768" s="15"/>
      <c r="O1768" s="15"/>
      <c r="P1768" s="15"/>
      <c r="Q1768" s="15"/>
      <c r="R1768" s="15"/>
      <c r="S1768" s="15"/>
      <c r="T1768" s="15"/>
      <c r="U1768" s="15"/>
      <c r="V1768" s="15"/>
      <c r="W1768" s="15"/>
      <c r="X1768" s="15"/>
      <c r="Y1768" s="15"/>
      <c r="Z1768" s="15"/>
      <c r="AA1768" s="15"/>
      <c r="AB1768" s="15"/>
      <c r="AC1768" s="15"/>
      <c r="AD1768" s="15"/>
      <c r="AE1768" s="15"/>
      <c r="AF1768" s="15"/>
      <c r="AG1768" s="15"/>
      <c r="AH1768" s="15"/>
      <c r="AI1768" s="15"/>
    </row>
    <row r="1770" spans="1:35" x14ac:dyDescent="0.45">
      <c r="A1770" s="717" t="s">
        <v>748</v>
      </c>
      <c r="B1770" s="717"/>
      <c r="C1770" s="717"/>
      <c r="D1770" s="717"/>
      <c r="E1770" s="717"/>
      <c r="F1770" s="717"/>
      <c r="G1770" s="717"/>
      <c r="H1770" s="717"/>
      <c r="I1770" s="717"/>
      <c r="J1770" s="717"/>
      <c r="K1770" s="717"/>
      <c r="L1770" s="717"/>
      <c r="M1770" s="717"/>
      <c r="N1770" s="717"/>
      <c r="O1770" s="717"/>
      <c r="P1770" s="717"/>
      <c r="Q1770" s="717"/>
      <c r="R1770" s="717"/>
      <c r="S1770" s="717"/>
      <c r="T1770" s="717"/>
      <c r="U1770" s="717"/>
      <c r="V1770" s="717"/>
      <c r="W1770" s="717"/>
      <c r="X1770" s="717"/>
      <c r="Y1770" s="717"/>
      <c r="Z1770" s="717"/>
      <c r="AA1770" s="717"/>
      <c r="AB1770" s="717"/>
      <c r="AC1770" s="717"/>
      <c r="AD1770" s="717"/>
      <c r="AE1770" s="717"/>
      <c r="AF1770" s="717"/>
      <c r="AG1770" s="717"/>
      <c r="AH1770" s="717"/>
      <c r="AI1770" s="717"/>
    </row>
    <row r="1793" spans="1:35" x14ac:dyDescent="0.45">
      <c r="A1793" s="717" t="s">
        <v>749</v>
      </c>
      <c r="B1793" s="717"/>
      <c r="C1793" s="717"/>
      <c r="D1793" s="717"/>
      <c r="E1793" s="717"/>
      <c r="F1793" s="717"/>
      <c r="G1793" s="717"/>
      <c r="H1793" s="717"/>
      <c r="I1793" s="717"/>
      <c r="J1793" s="717"/>
      <c r="K1793" s="717"/>
      <c r="L1793" s="717"/>
      <c r="M1793" s="717"/>
      <c r="N1793" s="717"/>
      <c r="O1793" s="717"/>
      <c r="P1793" s="717"/>
      <c r="Q1793" s="717"/>
      <c r="R1793" s="717"/>
      <c r="S1793" s="717"/>
      <c r="T1793" s="717"/>
      <c r="U1793" s="717"/>
      <c r="V1793" s="717"/>
      <c r="W1793" s="717"/>
      <c r="X1793" s="717"/>
      <c r="Y1793" s="717"/>
      <c r="Z1793" s="717"/>
      <c r="AA1793" s="717"/>
      <c r="AB1793" s="717"/>
      <c r="AC1793" s="717"/>
      <c r="AD1793" s="717"/>
      <c r="AE1793" s="717"/>
      <c r="AF1793" s="717"/>
      <c r="AG1793" s="717"/>
      <c r="AH1793" s="717"/>
      <c r="AI1793" s="717"/>
    </row>
    <row r="1817" spans="1:35" x14ac:dyDescent="0.45">
      <c r="A1817" s="15" t="s">
        <v>745</v>
      </c>
      <c r="B1817" s="15"/>
      <c r="C1817" s="15"/>
      <c r="D1817" s="15"/>
      <c r="E1817" s="15"/>
      <c r="F1817" s="15"/>
      <c r="G1817" s="15"/>
      <c r="H1817" s="15"/>
      <c r="I1817" s="15"/>
      <c r="J1817" s="15"/>
      <c r="K1817" s="15"/>
      <c r="L1817" s="15"/>
      <c r="M1817" s="15"/>
      <c r="N1817" s="15"/>
      <c r="O1817" s="15"/>
      <c r="P1817" s="15"/>
      <c r="Q1817" s="15"/>
      <c r="R1817" s="15"/>
      <c r="S1817" s="15"/>
      <c r="T1817" s="15"/>
      <c r="U1817" s="15"/>
      <c r="V1817" s="15"/>
      <c r="W1817" s="15"/>
      <c r="X1817" s="15"/>
      <c r="Y1817" s="15"/>
      <c r="Z1817" s="15"/>
      <c r="AA1817" s="15"/>
      <c r="AB1817" s="15"/>
      <c r="AC1817" s="15"/>
      <c r="AD1817" s="15"/>
      <c r="AE1817" s="15"/>
      <c r="AF1817" s="15"/>
      <c r="AG1817" s="15"/>
      <c r="AH1817" s="15"/>
      <c r="AI1817" s="15"/>
    </row>
    <row r="1819" spans="1:35" x14ac:dyDescent="0.45">
      <c r="A1819" s="717" t="s">
        <v>750</v>
      </c>
      <c r="B1819" s="717"/>
      <c r="C1819" s="717"/>
      <c r="D1819" s="717"/>
      <c r="E1819" s="717"/>
      <c r="F1819" s="717"/>
      <c r="G1819" s="717"/>
      <c r="H1819" s="717"/>
      <c r="I1819" s="717"/>
      <c r="J1819" s="717"/>
      <c r="K1819" s="717"/>
      <c r="L1819" s="717"/>
      <c r="M1819" s="717"/>
      <c r="N1819" s="717"/>
      <c r="O1819" s="717"/>
      <c r="P1819" s="717"/>
      <c r="Q1819" s="717"/>
      <c r="R1819" s="717"/>
      <c r="S1819" s="717"/>
      <c r="T1819" s="717"/>
      <c r="U1819" s="717"/>
      <c r="V1819" s="717"/>
      <c r="W1819" s="717"/>
      <c r="X1819" s="717"/>
      <c r="Y1819" s="717"/>
      <c r="Z1819" s="717"/>
      <c r="AA1819" s="717"/>
      <c r="AB1819" s="717"/>
      <c r="AC1819" s="717"/>
      <c r="AD1819" s="717"/>
      <c r="AE1819" s="717"/>
      <c r="AF1819" s="717"/>
      <c r="AG1819" s="717"/>
      <c r="AH1819" s="717"/>
      <c r="AI1819" s="717"/>
    </row>
    <row r="1842" spans="1:35" x14ac:dyDescent="0.45">
      <c r="A1842" s="717" t="s">
        <v>751</v>
      </c>
      <c r="B1842" s="717"/>
      <c r="C1842" s="717"/>
      <c r="D1842" s="717"/>
      <c r="E1842" s="717"/>
      <c r="F1842" s="717"/>
      <c r="G1842" s="717"/>
      <c r="H1842" s="717"/>
      <c r="I1842" s="717"/>
      <c r="J1842" s="717"/>
      <c r="K1842" s="717"/>
      <c r="L1842" s="717"/>
      <c r="M1842" s="717"/>
      <c r="N1842" s="717"/>
      <c r="O1842" s="717"/>
      <c r="P1842" s="717"/>
      <c r="Q1842" s="717"/>
      <c r="R1842" s="717"/>
      <c r="S1842" s="717"/>
      <c r="T1842" s="717"/>
      <c r="U1842" s="717"/>
      <c r="V1842" s="717"/>
      <c r="W1842" s="717"/>
      <c r="X1842" s="717"/>
      <c r="Y1842" s="717"/>
      <c r="Z1842" s="717"/>
      <c r="AA1842" s="717"/>
      <c r="AB1842" s="717"/>
      <c r="AC1842" s="717"/>
      <c r="AD1842" s="717"/>
      <c r="AE1842" s="717"/>
      <c r="AF1842" s="717"/>
      <c r="AG1842" s="717"/>
      <c r="AH1842" s="717"/>
      <c r="AI1842" s="717"/>
    </row>
    <row r="1866" spans="1:35" x14ac:dyDescent="0.45">
      <c r="A1866" s="15" t="s">
        <v>745</v>
      </c>
      <c r="B1866" s="15"/>
      <c r="C1866" s="15"/>
      <c r="D1866" s="15"/>
      <c r="E1866" s="15"/>
      <c r="F1866" s="15"/>
      <c r="G1866" s="15"/>
      <c r="H1866" s="15"/>
      <c r="I1866" s="15"/>
      <c r="J1866" s="15"/>
      <c r="K1866" s="15"/>
      <c r="L1866" s="15"/>
      <c r="M1866" s="15"/>
      <c r="N1866" s="15"/>
      <c r="O1866" s="15"/>
      <c r="P1866" s="15"/>
      <c r="Q1866" s="15"/>
      <c r="R1866" s="15"/>
      <c r="S1866" s="15"/>
      <c r="T1866" s="15"/>
      <c r="U1866" s="15"/>
      <c r="V1866" s="15"/>
      <c r="W1866" s="15"/>
      <c r="X1866" s="15"/>
      <c r="Y1866" s="15"/>
      <c r="Z1866" s="15"/>
      <c r="AA1866" s="15"/>
      <c r="AB1866" s="15"/>
      <c r="AC1866" s="15"/>
      <c r="AD1866" s="15"/>
      <c r="AE1866" s="15"/>
      <c r="AF1866" s="15"/>
      <c r="AG1866" s="15"/>
      <c r="AH1866" s="15"/>
      <c r="AI1866" s="15"/>
    </row>
    <row r="1868" spans="1:35" x14ac:dyDescent="0.45">
      <c r="A1868" s="717" t="s">
        <v>752</v>
      </c>
      <c r="B1868" s="717"/>
      <c r="C1868" s="717"/>
      <c r="D1868" s="717"/>
      <c r="E1868" s="717"/>
      <c r="F1868" s="717"/>
      <c r="G1868" s="717"/>
      <c r="H1868" s="717"/>
      <c r="I1868" s="717"/>
      <c r="J1868" s="717"/>
      <c r="K1868" s="717"/>
      <c r="L1868" s="717"/>
      <c r="M1868" s="717"/>
      <c r="N1868" s="717"/>
      <c r="O1868" s="717"/>
      <c r="P1868" s="717"/>
      <c r="Q1868" s="717"/>
      <c r="R1868" s="717"/>
      <c r="S1868" s="717"/>
      <c r="T1868" s="717"/>
      <c r="U1868" s="717"/>
      <c r="V1868" s="717"/>
      <c r="W1868" s="717"/>
      <c r="X1868" s="717"/>
      <c r="Y1868" s="717"/>
      <c r="Z1868" s="717"/>
      <c r="AA1868" s="717"/>
      <c r="AB1868" s="717"/>
      <c r="AC1868" s="717"/>
      <c r="AD1868" s="717"/>
      <c r="AE1868" s="717"/>
      <c r="AF1868" s="717"/>
      <c r="AG1868" s="717"/>
      <c r="AH1868" s="717"/>
      <c r="AI1868" s="717"/>
    </row>
    <row r="1891" spans="1:35" x14ac:dyDescent="0.45">
      <c r="A1891" s="717" t="s">
        <v>753</v>
      </c>
      <c r="B1891" s="717"/>
      <c r="C1891" s="717"/>
      <c r="D1891" s="717"/>
      <c r="E1891" s="717"/>
      <c r="F1891" s="717"/>
      <c r="G1891" s="717"/>
      <c r="H1891" s="717"/>
      <c r="I1891" s="717"/>
      <c r="J1891" s="717"/>
      <c r="K1891" s="717"/>
      <c r="L1891" s="717"/>
      <c r="M1891" s="717"/>
      <c r="N1891" s="717"/>
      <c r="O1891" s="717"/>
      <c r="P1891" s="717"/>
      <c r="Q1891" s="717"/>
      <c r="R1891" s="717"/>
      <c r="S1891" s="717"/>
      <c r="T1891" s="717"/>
      <c r="U1891" s="717"/>
      <c r="V1891" s="717"/>
      <c r="W1891" s="717"/>
      <c r="X1891" s="717"/>
      <c r="Y1891" s="717"/>
      <c r="Z1891" s="717"/>
      <c r="AA1891" s="717"/>
      <c r="AB1891" s="717"/>
      <c r="AC1891" s="717"/>
      <c r="AD1891" s="717"/>
      <c r="AE1891" s="717"/>
      <c r="AF1891" s="717"/>
      <c r="AG1891" s="717"/>
      <c r="AH1891" s="717"/>
      <c r="AI1891" s="717"/>
    </row>
  </sheetData>
  <mergeCells count="1759">
    <mergeCell ref="A1819:AI1819"/>
    <mergeCell ref="A1842:AI1842"/>
    <mergeCell ref="A1866:AI1866"/>
    <mergeCell ref="A1868:AI1868"/>
    <mergeCell ref="A1891:AI1891"/>
    <mergeCell ref="A1721:AI1721"/>
    <mergeCell ref="A1744:AI1744"/>
    <mergeCell ref="A1768:AI1768"/>
    <mergeCell ref="A1770:AI1770"/>
    <mergeCell ref="A1793:AI1793"/>
    <mergeCell ref="A1817:AI1817"/>
    <mergeCell ref="A1632:AI1632"/>
    <mergeCell ref="A1633:AI1669"/>
    <mergeCell ref="A1671:AI1671"/>
    <mergeCell ref="A1704:AI1704"/>
    <mergeCell ref="A1705:AI1717"/>
    <mergeCell ref="A1719:AI1719"/>
    <mergeCell ref="A1628:C1628"/>
    <mergeCell ref="D1628:X1628"/>
    <mergeCell ref="Y1628:AC1628"/>
    <mergeCell ref="AD1628:AI1628"/>
    <mergeCell ref="A1629:C1630"/>
    <mergeCell ref="D1629:X1630"/>
    <mergeCell ref="Y1629:AC1630"/>
    <mergeCell ref="AD1629:AI1630"/>
    <mergeCell ref="A1625:C1625"/>
    <mergeCell ref="D1625:X1625"/>
    <mergeCell ref="Y1625:AC1625"/>
    <mergeCell ref="AD1625:AI1625"/>
    <mergeCell ref="A1626:C1627"/>
    <mergeCell ref="D1626:X1627"/>
    <mergeCell ref="Y1626:AC1627"/>
    <mergeCell ref="AD1626:AI1627"/>
    <mergeCell ref="D1621:H1621"/>
    <mergeCell ref="A1622:C1623"/>
    <mergeCell ref="D1622:X1623"/>
    <mergeCell ref="Y1622:AC1623"/>
    <mergeCell ref="AD1622:AI1623"/>
    <mergeCell ref="A1624:C1624"/>
    <mergeCell ref="D1624:X1624"/>
    <mergeCell ref="Y1624:AC1624"/>
    <mergeCell ref="AD1624:AI1624"/>
    <mergeCell ref="A1618:C1618"/>
    <mergeCell ref="D1618:AC1618"/>
    <mergeCell ref="AD1618:AI1618"/>
    <mergeCell ref="A1619:C1620"/>
    <mergeCell ref="D1619:N1619"/>
    <mergeCell ref="Y1619:AC1619"/>
    <mergeCell ref="AD1619:AI1620"/>
    <mergeCell ref="D1620:H1620"/>
    <mergeCell ref="Y1620:AC1620"/>
    <mergeCell ref="A1567:F1567"/>
    <mergeCell ref="G1567:AB1567"/>
    <mergeCell ref="AC1567:AI1567"/>
    <mergeCell ref="A1616:E1616"/>
    <mergeCell ref="F1616:AB1616"/>
    <mergeCell ref="AC1616:AI1616"/>
    <mergeCell ref="A1537:C1537"/>
    <mergeCell ref="D1537:X1537"/>
    <mergeCell ref="Y1537:AC1537"/>
    <mergeCell ref="AD1537:AI1537"/>
    <mergeCell ref="A1539:AI1539"/>
    <mergeCell ref="A1540:AI1565"/>
    <mergeCell ref="A1535:C1535"/>
    <mergeCell ref="D1535:X1535"/>
    <mergeCell ref="Y1535:AC1535"/>
    <mergeCell ref="AD1535:AI1535"/>
    <mergeCell ref="A1536:C1536"/>
    <mergeCell ref="D1536:X1536"/>
    <mergeCell ref="Y1536:AC1536"/>
    <mergeCell ref="AD1536:AI1536"/>
    <mergeCell ref="A1532:C1533"/>
    <mergeCell ref="D1532:X1533"/>
    <mergeCell ref="Y1532:AC1533"/>
    <mergeCell ref="AD1532:AI1533"/>
    <mergeCell ref="A1534:C1534"/>
    <mergeCell ref="D1534:X1534"/>
    <mergeCell ref="Y1534:AC1534"/>
    <mergeCell ref="AD1534:AI1534"/>
    <mergeCell ref="D1528:G1528"/>
    <mergeCell ref="A1529:C1529"/>
    <mergeCell ref="D1529:L1529"/>
    <mergeCell ref="M1529:Q1529"/>
    <mergeCell ref="AD1529:AI1529"/>
    <mergeCell ref="A1530:C1531"/>
    <mergeCell ref="D1530:X1531"/>
    <mergeCell ref="Y1530:AC1531"/>
    <mergeCell ref="AD1530:AI1531"/>
    <mergeCell ref="AD1524:AI1527"/>
    <mergeCell ref="A1526:C1526"/>
    <mergeCell ref="D1526:X1526"/>
    <mergeCell ref="Y1526:AC1526"/>
    <mergeCell ref="A1527:C1527"/>
    <mergeCell ref="D1527:X1527"/>
    <mergeCell ref="Y1527:AC1527"/>
    <mergeCell ref="A1519:C1523"/>
    <mergeCell ref="D1519:X1523"/>
    <mergeCell ref="Y1519:AC1523"/>
    <mergeCell ref="A1524:C1525"/>
    <mergeCell ref="D1524:T1525"/>
    <mergeCell ref="U1524:AC1525"/>
    <mergeCell ref="A1513:C1513"/>
    <mergeCell ref="AD1513:AI1513"/>
    <mergeCell ref="A1514:C1514"/>
    <mergeCell ref="Y1514:AC1514"/>
    <mergeCell ref="AD1514:AI1517"/>
    <mergeCell ref="A1515:C1516"/>
    <mergeCell ref="D1515:X1516"/>
    <mergeCell ref="Y1515:AC1516"/>
    <mergeCell ref="A1517:C1517"/>
    <mergeCell ref="Y1517:AC1517"/>
    <mergeCell ref="A1498:AI1498"/>
    <mergeCell ref="A1499:AI1508"/>
    <mergeCell ref="A1510:E1510"/>
    <mergeCell ref="F1510:AB1510"/>
    <mergeCell ref="AC1510:AI1510"/>
    <mergeCell ref="A1512:C1512"/>
    <mergeCell ref="D1512:AC1512"/>
    <mergeCell ref="AD1512:AI1512"/>
    <mergeCell ref="A1493:C1496"/>
    <mergeCell ref="D1493:U1493"/>
    <mergeCell ref="AD1493:AI1496"/>
    <mergeCell ref="E1494:AB1494"/>
    <mergeCell ref="E1495:V1495"/>
    <mergeCell ref="D1496:G1496"/>
    <mergeCell ref="H1496:L1496"/>
    <mergeCell ref="O1496:R1496"/>
    <mergeCell ref="S1496:W1496"/>
    <mergeCell ref="A1492:C1492"/>
    <mergeCell ref="D1492:O1492"/>
    <mergeCell ref="P1492:S1492"/>
    <mergeCell ref="T1492:V1492"/>
    <mergeCell ref="W1492:Z1492"/>
    <mergeCell ref="AA1492:AC1492"/>
    <mergeCell ref="A1490:C1490"/>
    <mergeCell ref="D1490:Z1490"/>
    <mergeCell ref="AD1490:AI1490"/>
    <mergeCell ref="A1491:C1491"/>
    <mergeCell ref="D1491:O1491"/>
    <mergeCell ref="P1491:S1491"/>
    <mergeCell ref="T1491:V1491"/>
    <mergeCell ref="W1491:Z1491"/>
    <mergeCell ref="AA1491:AC1491"/>
    <mergeCell ref="AD1491:AI1492"/>
    <mergeCell ref="A1488:C1489"/>
    <mergeCell ref="AD1488:AI1489"/>
    <mergeCell ref="E1489:I1489"/>
    <mergeCell ref="J1489:L1489"/>
    <mergeCell ref="P1489:T1489"/>
    <mergeCell ref="U1489:W1489"/>
    <mergeCell ref="J1484:M1484"/>
    <mergeCell ref="A1485:C1485"/>
    <mergeCell ref="J1485:M1485"/>
    <mergeCell ref="D1486:V1486"/>
    <mergeCell ref="E1487:I1487"/>
    <mergeCell ref="J1487:M1487"/>
    <mergeCell ref="P1487:T1487"/>
    <mergeCell ref="U1487:X1487"/>
    <mergeCell ref="AD1477:AI1487"/>
    <mergeCell ref="A1480:C1480"/>
    <mergeCell ref="J1480:M1480"/>
    <mergeCell ref="A1481:C1481"/>
    <mergeCell ref="J1481:M1481"/>
    <mergeCell ref="A1482:C1482"/>
    <mergeCell ref="J1482:M1482"/>
    <mergeCell ref="A1483:C1483"/>
    <mergeCell ref="J1483:M1483"/>
    <mergeCell ref="A1484:C1484"/>
    <mergeCell ref="A1475:C1475"/>
    <mergeCell ref="E1475:S1475"/>
    <mergeCell ref="Y1475:AC1475"/>
    <mergeCell ref="AD1475:AI1475"/>
    <mergeCell ref="A1476:C1476"/>
    <mergeCell ref="E1476:W1476"/>
    <mergeCell ref="Y1476:AC1476"/>
    <mergeCell ref="AD1476:AI1476"/>
    <mergeCell ref="A1473:C1473"/>
    <mergeCell ref="D1473:S1473"/>
    <mergeCell ref="Y1473:AC1473"/>
    <mergeCell ref="AD1473:AI1474"/>
    <mergeCell ref="A1474:C1474"/>
    <mergeCell ref="D1474:AC1474"/>
    <mergeCell ref="A1469:C1470"/>
    <mergeCell ref="E1469:X1470"/>
    <mergeCell ref="Y1469:AC1470"/>
    <mergeCell ref="AD1469:AI1470"/>
    <mergeCell ref="A1471:C1472"/>
    <mergeCell ref="E1471:X1472"/>
    <mergeCell ref="Y1471:AC1472"/>
    <mergeCell ref="AD1471:AI1472"/>
    <mergeCell ref="A1466:C1467"/>
    <mergeCell ref="D1466:S1466"/>
    <mergeCell ref="Y1466:AC1466"/>
    <mergeCell ref="AD1466:AI1467"/>
    <mergeCell ref="D1467:AA1467"/>
    <mergeCell ref="A1468:C1468"/>
    <mergeCell ref="E1468:P1468"/>
    <mergeCell ref="Y1468:AC1468"/>
    <mergeCell ref="AD1468:AI1468"/>
    <mergeCell ref="A1464:C1465"/>
    <mergeCell ref="D1464:S1465"/>
    <mergeCell ref="T1464:X1464"/>
    <mergeCell ref="Y1464:AC1464"/>
    <mergeCell ref="T1465:X1465"/>
    <mergeCell ref="Y1465:AC1465"/>
    <mergeCell ref="A1432:AI1432"/>
    <mergeCell ref="A1433:AI1459"/>
    <mergeCell ref="A1461:E1461"/>
    <mergeCell ref="F1461:AB1461"/>
    <mergeCell ref="AC1461:AI1461"/>
    <mergeCell ref="A1463:C1463"/>
    <mergeCell ref="D1463:AC1463"/>
    <mergeCell ref="AD1463:AI1463"/>
    <mergeCell ref="A1428:C1428"/>
    <mergeCell ref="M1428:O1428"/>
    <mergeCell ref="Z1428:AB1428"/>
    <mergeCell ref="AD1428:AI1428"/>
    <mergeCell ref="A1429:C1430"/>
    <mergeCell ref="D1429:X1430"/>
    <mergeCell ref="Z1429:AB1430"/>
    <mergeCell ref="AD1429:AI1430"/>
    <mergeCell ref="A1427:C1427"/>
    <mergeCell ref="D1427:I1427"/>
    <mergeCell ref="J1427:K1427"/>
    <mergeCell ref="O1427:T1427"/>
    <mergeCell ref="U1427:V1427"/>
    <mergeCell ref="AD1427:AI1427"/>
    <mergeCell ref="P1424:T1424"/>
    <mergeCell ref="U1424:Y1424"/>
    <mergeCell ref="A1425:C1426"/>
    <mergeCell ref="D1425:V1425"/>
    <mergeCell ref="AD1425:AI1426"/>
    <mergeCell ref="E1426:I1426"/>
    <mergeCell ref="J1426:L1426"/>
    <mergeCell ref="Q1426:U1426"/>
    <mergeCell ref="V1426:X1426"/>
    <mergeCell ref="D1421:AC1421"/>
    <mergeCell ref="A1422:C1422"/>
    <mergeCell ref="D1422:L1422"/>
    <mergeCell ref="Q1422:U1422"/>
    <mergeCell ref="AD1422:AI1422"/>
    <mergeCell ref="A1423:C1424"/>
    <mergeCell ref="D1423:AC1423"/>
    <mergeCell ref="AD1423:AI1424"/>
    <mergeCell ref="D1424:H1424"/>
    <mergeCell ref="I1424:M1424"/>
    <mergeCell ref="A1419:C1419"/>
    <mergeCell ref="D1419:Y1419"/>
    <mergeCell ref="Z1419:AA1419"/>
    <mergeCell ref="A1420:C1420"/>
    <mergeCell ref="D1420:Y1420"/>
    <mergeCell ref="Z1420:AA1420"/>
    <mergeCell ref="F1415:I1415"/>
    <mergeCell ref="A1416:C1417"/>
    <mergeCell ref="D1416:Y1417"/>
    <mergeCell ref="AA1416:AC1417"/>
    <mergeCell ref="AD1416:AI1417"/>
    <mergeCell ref="A1418:C1418"/>
    <mergeCell ref="D1418:Y1418"/>
    <mergeCell ref="Z1418:AA1418"/>
    <mergeCell ref="AD1418:AI1418"/>
    <mergeCell ref="E1411:G1411"/>
    <mergeCell ref="I1411:L1411"/>
    <mergeCell ref="E1412:G1412"/>
    <mergeCell ref="E1413:G1413"/>
    <mergeCell ref="P1413:S1413"/>
    <mergeCell ref="E1414:G1414"/>
    <mergeCell ref="I1414:L1414"/>
    <mergeCell ref="A1405:C1405"/>
    <mergeCell ref="D1405:AC1405"/>
    <mergeCell ref="AD1405:AI1405"/>
    <mergeCell ref="D1406:AC1406"/>
    <mergeCell ref="A1407:C1415"/>
    <mergeCell ref="D1407:M1407"/>
    <mergeCell ref="AD1407:AI1415"/>
    <mergeCell ref="D1408:L1408"/>
    <mergeCell ref="E1409:G1409"/>
    <mergeCell ref="E1410:G1410"/>
    <mergeCell ref="A1328:AI1328"/>
    <mergeCell ref="A1329:AI1352"/>
    <mergeCell ref="A1354:E1354"/>
    <mergeCell ref="F1354:AI1354"/>
    <mergeCell ref="A1403:F1403"/>
    <mergeCell ref="G1403:AA1403"/>
    <mergeCell ref="AB1403:AI1403"/>
    <mergeCell ref="AD1324:AI1324"/>
    <mergeCell ref="A1325:C1326"/>
    <mergeCell ref="D1325:K1325"/>
    <mergeCell ref="AD1325:AI1326"/>
    <mergeCell ref="D1326:H1326"/>
    <mergeCell ref="I1326:L1326"/>
    <mergeCell ref="O1326:S1326"/>
    <mergeCell ref="T1326:W1326"/>
    <mergeCell ref="A1324:C1324"/>
    <mergeCell ref="D1324:E1324"/>
    <mergeCell ref="L1324:P1324"/>
    <mergeCell ref="Q1324:R1324"/>
    <mergeCell ref="U1324:Y1324"/>
    <mergeCell ref="Z1324:AA1324"/>
    <mergeCell ref="AD1322:AI1322"/>
    <mergeCell ref="A1323:C1323"/>
    <mergeCell ref="D1323:E1323"/>
    <mergeCell ref="L1323:P1323"/>
    <mergeCell ref="Q1323:R1323"/>
    <mergeCell ref="U1323:Y1323"/>
    <mergeCell ref="Z1323:AA1323"/>
    <mergeCell ref="AD1323:AI1323"/>
    <mergeCell ref="A1322:C1322"/>
    <mergeCell ref="D1322:E1322"/>
    <mergeCell ref="L1322:P1322"/>
    <mergeCell ref="Q1322:R1322"/>
    <mergeCell ref="U1322:Y1322"/>
    <mergeCell ref="Z1322:AA1322"/>
    <mergeCell ref="AD1320:AI1320"/>
    <mergeCell ref="A1321:C1321"/>
    <mergeCell ref="D1321:K1321"/>
    <mergeCell ref="L1321:P1321"/>
    <mergeCell ref="Q1321:R1321"/>
    <mergeCell ref="U1321:Y1321"/>
    <mergeCell ref="Z1321:AA1321"/>
    <mergeCell ref="AD1321:AI1321"/>
    <mergeCell ref="A1320:C1320"/>
    <mergeCell ref="D1320:K1320"/>
    <mergeCell ref="L1320:P1320"/>
    <mergeCell ref="Q1320:R1320"/>
    <mergeCell ref="U1320:Y1320"/>
    <mergeCell ref="Z1320:AA1320"/>
    <mergeCell ref="A1318:C1318"/>
    <mergeCell ref="D1318:J1318"/>
    <mergeCell ref="AD1318:AI1318"/>
    <mergeCell ref="A1319:C1319"/>
    <mergeCell ref="D1319:N1319"/>
    <mergeCell ref="Q1319:U1319"/>
    <mergeCell ref="AD1319:AI1319"/>
    <mergeCell ref="A1316:C1317"/>
    <mergeCell ref="D1316:R1316"/>
    <mergeCell ref="AD1316:AI1317"/>
    <mergeCell ref="D1317:H1317"/>
    <mergeCell ref="I1317:L1317"/>
    <mergeCell ref="O1317:S1317"/>
    <mergeCell ref="T1317:W1317"/>
    <mergeCell ref="A1313:C1313"/>
    <mergeCell ref="D1313:Q1313"/>
    <mergeCell ref="AD1313:AI1313"/>
    <mergeCell ref="A1314:C1315"/>
    <mergeCell ref="D1314:Q1314"/>
    <mergeCell ref="AD1314:AI1315"/>
    <mergeCell ref="D1315:H1315"/>
    <mergeCell ref="I1315:L1315"/>
    <mergeCell ref="O1315:S1315"/>
    <mergeCell ref="T1315:W1315"/>
    <mergeCell ref="A1311:C1312"/>
    <mergeCell ref="D1311:X1311"/>
    <mergeCell ref="AD1311:AI1312"/>
    <mergeCell ref="D1312:H1312"/>
    <mergeCell ref="I1312:M1312"/>
    <mergeCell ref="O1312:S1312"/>
    <mergeCell ref="T1312:X1312"/>
    <mergeCell ref="A1309:C1310"/>
    <mergeCell ref="D1309:S1309"/>
    <mergeCell ref="AD1309:AI1310"/>
    <mergeCell ref="D1310:H1310"/>
    <mergeCell ref="I1310:M1310"/>
    <mergeCell ref="O1310:S1310"/>
    <mergeCell ref="T1310:X1310"/>
    <mergeCell ref="A1307:C1308"/>
    <mergeCell ref="D1307:Y1307"/>
    <mergeCell ref="AD1307:AI1308"/>
    <mergeCell ref="D1308:H1308"/>
    <mergeCell ref="I1308:M1308"/>
    <mergeCell ref="O1308:S1308"/>
    <mergeCell ref="T1308:X1308"/>
    <mergeCell ref="AD1304:AI1304"/>
    <mergeCell ref="A1305:C1306"/>
    <mergeCell ref="D1305:R1305"/>
    <mergeCell ref="AD1305:AI1306"/>
    <mergeCell ref="D1306:H1306"/>
    <mergeCell ref="I1306:M1306"/>
    <mergeCell ref="O1306:S1306"/>
    <mergeCell ref="T1306:X1306"/>
    <mergeCell ref="A1303:C1303"/>
    <mergeCell ref="D1303:O1303"/>
    <mergeCell ref="Q1303:U1303"/>
    <mergeCell ref="AD1303:AI1303"/>
    <mergeCell ref="A1304:C1304"/>
    <mergeCell ref="D1304:H1304"/>
    <mergeCell ref="J1304:N1304"/>
    <mergeCell ref="O1304:P1304"/>
    <mergeCell ref="S1304:W1304"/>
    <mergeCell ref="X1304:Y1304"/>
    <mergeCell ref="A1301:C1301"/>
    <mergeCell ref="D1301:AC1301"/>
    <mergeCell ref="AD1301:AI1301"/>
    <mergeCell ref="A1302:C1302"/>
    <mergeCell ref="D1302:M1302"/>
    <mergeCell ref="AD1302:AI1302"/>
    <mergeCell ref="A1250:E1250"/>
    <mergeCell ref="F1250:AB1250"/>
    <mergeCell ref="AC1250:AI1250"/>
    <mergeCell ref="A1299:E1299"/>
    <mergeCell ref="F1299:AB1299"/>
    <mergeCell ref="AC1299:AI1299"/>
    <mergeCell ref="A1230:C1231"/>
    <mergeCell ref="D1230:X1231"/>
    <mergeCell ref="Y1230:AB1231"/>
    <mergeCell ref="AD1230:AI1231"/>
    <mergeCell ref="A1233:AI1233"/>
    <mergeCell ref="A1234:AI1248"/>
    <mergeCell ref="A1227:C1227"/>
    <mergeCell ref="D1227:X1227"/>
    <mergeCell ref="Y1227:AB1227"/>
    <mergeCell ref="AD1227:AI1227"/>
    <mergeCell ref="A1228:C1229"/>
    <mergeCell ref="D1228:X1229"/>
    <mergeCell ref="Y1228:AB1229"/>
    <mergeCell ref="AD1228:AI1229"/>
    <mergeCell ref="A1223:C1224"/>
    <mergeCell ref="D1223:X1224"/>
    <mergeCell ref="Y1223:AB1224"/>
    <mergeCell ref="AD1223:AI1224"/>
    <mergeCell ref="A1225:C1226"/>
    <mergeCell ref="D1225:X1226"/>
    <mergeCell ref="Y1225:AB1226"/>
    <mergeCell ref="AD1225:AI1226"/>
    <mergeCell ref="G1218:AC1218"/>
    <mergeCell ref="A1219:C1220"/>
    <mergeCell ref="D1219:X1220"/>
    <mergeCell ref="Y1219:AB1220"/>
    <mergeCell ref="AD1219:AI1220"/>
    <mergeCell ref="A1221:C1222"/>
    <mergeCell ref="D1221:X1222"/>
    <mergeCell ref="Y1221:AB1222"/>
    <mergeCell ref="AD1221:AI1222"/>
    <mergeCell ref="AD1215:AI1216"/>
    <mergeCell ref="G1216:AC1216"/>
    <mergeCell ref="A1217:C1218"/>
    <mergeCell ref="D1217:H1217"/>
    <mergeCell ref="J1217:N1217"/>
    <mergeCell ref="O1217:R1217"/>
    <mergeCell ref="U1217:Y1217"/>
    <mergeCell ref="Z1217:AC1217"/>
    <mergeCell ref="AD1217:AI1218"/>
    <mergeCell ref="D1218:F1218"/>
    <mergeCell ref="A1215:C1216"/>
    <mergeCell ref="D1215:E1215"/>
    <mergeCell ref="J1215:N1215"/>
    <mergeCell ref="O1215:R1215"/>
    <mergeCell ref="U1215:Y1215"/>
    <mergeCell ref="Z1215:AC1215"/>
    <mergeCell ref="D1213:F1213"/>
    <mergeCell ref="G1213:AC1213"/>
    <mergeCell ref="A1214:C1214"/>
    <mergeCell ref="D1214:X1214"/>
    <mergeCell ref="Y1214:AB1214"/>
    <mergeCell ref="AD1214:AI1214"/>
    <mergeCell ref="AD1210:AI1211"/>
    <mergeCell ref="D1211:F1211"/>
    <mergeCell ref="G1211:AC1211"/>
    <mergeCell ref="A1212:C1213"/>
    <mergeCell ref="D1212:E1212"/>
    <mergeCell ref="J1212:N1212"/>
    <mergeCell ref="O1212:R1212"/>
    <mergeCell ref="U1212:Y1212"/>
    <mergeCell ref="Z1212:AC1212"/>
    <mergeCell ref="AD1212:AI1213"/>
    <mergeCell ref="A1210:C1211"/>
    <mergeCell ref="D1210:F1210"/>
    <mergeCell ref="J1210:N1210"/>
    <mergeCell ref="O1210:R1210"/>
    <mergeCell ref="U1210:Y1210"/>
    <mergeCell ref="Z1210:AC1210"/>
    <mergeCell ref="A1208:C1209"/>
    <mergeCell ref="D1208:AB1208"/>
    <mergeCell ref="AD1208:AI1209"/>
    <mergeCell ref="D1209:H1209"/>
    <mergeCell ref="I1209:M1209"/>
    <mergeCell ref="P1209:T1209"/>
    <mergeCell ref="U1209:Y1209"/>
    <mergeCell ref="A1206:C1207"/>
    <mergeCell ref="D1206:Y1206"/>
    <mergeCell ref="AD1206:AI1207"/>
    <mergeCell ref="D1207:H1207"/>
    <mergeCell ref="I1207:J1207"/>
    <mergeCell ref="K1207:L1207"/>
    <mergeCell ref="N1207:R1207"/>
    <mergeCell ref="S1207:T1207"/>
    <mergeCell ref="U1207:V1207"/>
    <mergeCell ref="A1203:C1205"/>
    <mergeCell ref="D1203:P1203"/>
    <mergeCell ref="AD1203:AI1205"/>
    <mergeCell ref="E1204:Y1204"/>
    <mergeCell ref="D1205:H1205"/>
    <mergeCell ref="I1205:J1205"/>
    <mergeCell ref="N1205:R1205"/>
    <mergeCell ref="S1205:T1205"/>
    <mergeCell ref="A1200:C1202"/>
    <mergeCell ref="D1200:P1200"/>
    <mergeCell ref="AD1200:AI1202"/>
    <mergeCell ref="E1201:AB1201"/>
    <mergeCell ref="D1202:H1202"/>
    <mergeCell ref="I1202:J1202"/>
    <mergeCell ref="N1202:R1202"/>
    <mergeCell ref="S1202:T1202"/>
    <mergeCell ref="A1198:C1198"/>
    <mergeCell ref="E1198:X1198"/>
    <mergeCell ref="Y1198:AB1198"/>
    <mergeCell ref="AD1198:AI1198"/>
    <mergeCell ref="A1199:C1199"/>
    <mergeCell ref="D1199:L1199"/>
    <mergeCell ref="Y1199:AB1199"/>
    <mergeCell ref="AD1199:AI1199"/>
    <mergeCell ref="A1196:C1196"/>
    <mergeCell ref="E1196:T1196"/>
    <mergeCell ref="Y1196:AB1196"/>
    <mergeCell ref="A1197:C1197"/>
    <mergeCell ref="E1197:F1197"/>
    <mergeCell ref="Y1197:AB1197"/>
    <mergeCell ref="Y1193:AB1193"/>
    <mergeCell ref="A1194:C1194"/>
    <mergeCell ref="E1194:F1194"/>
    <mergeCell ref="Y1194:AB1194"/>
    <mergeCell ref="A1195:C1195"/>
    <mergeCell ref="E1195:M1195"/>
    <mergeCell ref="Y1195:AB1195"/>
    <mergeCell ref="A1190:C1190"/>
    <mergeCell ref="D1190:L1190"/>
    <mergeCell ref="Y1190:AB1190"/>
    <mergeCell ref="AD1190:AI1197"/>
    <mergeCell ref="E1191:J1191"/>
    <mergeCell ref="A1192:C1192"/>
    <mergeCell ref="E1192:X1192"/>
    <mergeCell ref="Y1192:AB1192"/>
    <mergeCell ref="A1193:C1193"/>
    <mergeCell ref="E1193:F1193"/>
    <mergeCell ref="A1187:E1187"/>
    <mergeCell ref="F1187:AB1187"/>
    <mergeCell ref="AC1187:AI1187"/>
    <mergeCell ref="A1189:C1189"/>
    <mergeCell ref="D1189:AC1189"/>
    <mergeCell ref="AD1189:AI1189"/>
    <mergeCell ref="A1169:C1169"/>
    <mergeCell ref="E1169:S1169"/>
    <mergeCell ref="U1169:Y1169"/>
    <mergeCell ref="AD1169:AI1169"/>
    <mergeCell ref="A1171:AI1171"/>
    <mergeCell ref="A1172:AI1185"/>
    <mergeCell ref="A1167:C1167"/>
    <mergeCell ref="E1167:S1167"/>
    <mergeCell ref="U1167:Y1167"/>
    <mergeCell ref="AD1167:AI1167"/>
    <mergeCell ref="A1168:C1168"/>
    <mergeCell ref="E1168:S1168"/>
    <mergeCell ref="U1168:Y1168"/>
    <mergeCell ref="AD1168:AI1168"/>
    <mergeCell ref="A1163:C1164"/>
    <mergeCell ref="AD1163:AI1165"/>
    <mergeCell ref="A1165:C1165"/>
    <mergeCell ref="Y1165:AC1165"/>
    <mergeCell ref="A1166:C1166"/>
    <mergeCell ref="U1166:Y1166"/>
    <mergeCell ref="AD1166:AI1166"/>
    <mergeCell ref="A1159:C1162"/>
    <mergeCell ref="E1159:X1159"/>
    <mergeCell ref="Y1159:AC1159"/>
    <mergeCell ref="AD1159:AI1162"/>
    <mergeCell ref="E1160:Q1160"/>
    <mergeCell ref="S1160:U1160"/>
    <mergeCell ref="E1161:Q1161"/>
    <mergeCell ref="S1161:U1161"/>
    <mergeCell ref="S1162:W1162"/>
    <mergeCell ref="A1155:C1158"/>
    <mergeCell ref="E1155:X1155"/>
    <mergeCell ref="Y1155:AC1155"/>
    <mergeCell ref="AD1155:AI1158"/>
    <mergeCell ref="E1156:Q1156"/>
    <mergeCell ref="S1156:U1156"/>
    <mergeCell ref="E1157:Q1157"/>
    <mergeCell ref="S1157:U1157"/>
    <mergeCell ref="E1158:Q1158"/>
    <mergeCell ref="S1158:W1158"/>
    <mergeCell ref="S1151:U1151"/>
    <mergeCell ref="E1152:Q1152"/>
    <mergeCell ref="S1152:U1152"/>
    <mergeCell ref="E1153:Q1153"/>
    <mergeCell ref="S1153:U1153"/>
    <mergeCell ref="E1154:Q1154"/>
    <mergeCell ref="S1154:V1154"/>
    <mergeCell ref="A1146:C1147"/>
    <mergeCell ref="AD1146:AI1147"/>
    <mergeCell ref="A1148:C1148"/>
    <mergeCell ref="AD1148:AI1148"/>
    <mergeCell ref="A1149:C1154"/>
    <mergeCell ref="Y1149:AC1149"/>
    <mergeCell ref="AD1149:AI1154"/>
    <mergeCell ref="E1150:Q1150"/>
    <mergeCell ref="S1150:U1150"/>
    <mergeCell ref="E1151:Q1151"/>
    <mergeCell ref="A1140:C1145"/>
    <mergeCell ref="E1140:X1142"/>
    <mergeCell ref="Y1140:AC1142"/>
    <mergeCell ref="AD1140:AI1145"/>
    <mergeCell ref="E1143:Q1143"/>
    <mergeCell ref="S1143:U1143"/>
    <mergeCell ref="E1144:Q1144"/>
    <mergeCell ref="S1144:U1144"/>
    <mergeCell ref="E1145:Q1145"/>
    <mergeCell ref="S1145:W1145"/>
    <mergeCell ref="A1135:C1139"/>
    <mergeCell ref="E1135:X1136"/>
    <mergeCell ref="Y1135:AC1136"/>
    <mergeCell ref="AD1135:AI1139"/>
    <mergeCell ref="E1137:Q1137"/>
    <mergeCell ref="S1137:U1137"/>
    <mergeCell ref="E1138:Q1138"/>
    <mergeCell ref="S1138:U1138"/>
    <mergeCell ref="S1139:W1139"/>
    <mergeCell ref="A1131:C1134"/>
    <mergeCell ref="E1131:X1131"/>
    <mergeCell ref="Y1131:AC1131"/>
    <mergeCell ref="AD1131:AI1134"/>
    <mergeCell ref="E1132:Q1132"/>
    <mergeCell ref="S1132:U1132"/>
    <mergeCell ref="E1133:Q1133"/>
    <mergeCell ref="S1133:U1133"/>
    <mergeCell ref="E1134:Q1134"/>
    <mergeCell ref="S1134:W1134"/>
    <mergeCell ref="A1127:C1130"/>
    <mergeCell ref="E1127:X1127"/>
    <mergeCell ref="Y1127:AC1127"/>
    <mergeCell ref="AD1127:AI1130"/>
    <mergeCell ref="E1128:Q1128"/>
    <mergeCell ref="S1128:U1128"/>
    <mergeCell ref="E1129:Q1129"/>
    <mergeCell ref="S1129:U1129"/>
    <mergeCell ref="E1130:Q1130"/>
    <mergeCell ref="S1130:W1130"/>
    <mergeCell ref="M1123:O1123"/>
    <mergeCell ref="E1124:K1124"/>
    <mergeCell ref="M1124:O1124"/>
    <mergeCell ref="E1125:K1125"/>
    <mergeCell ref="M1125:O1125"/>
    <mergeCell ref="E1126:K1126"/>
    <mergeCell ref="M1126:P1126"/>
    <mergeCell ref="A1118:C1119"/>
    <mergeCell ref="AD1118:AI1119"/>
    <mergeCell ref="A1120:C1120"/>
    <mergeCell ref="AD1120:AI1120"/>
    <mergeCell ref="A1121:C1126"/>
    <mergeCell ref="Y1121:AC1121"/>
    <mergeCell ref="AD1121:AI1126"/>
    <mergeCell ref="E1122:K1122"/>
    <mergeCell ref="M1122:O1122"/>
    <mergeCell ref="E1123:K1123"/>
    <mergeCell ref="A1116:C1116"/>
    <mergeCell ref="E1116:S1116"/>
    <mergeCell ref="U1116:Y1116"/>
    <mergeCell ref="A1117:C1117"/>
    <mergeCell ref="E1117:S1117"/>
    <mergeCell ref="U1117:Y1117"/>
    <mergeCell ref="E1110:M1110"/>
    <mergeCell ref="O1110:S1110"/>
    <mergeCell ref="A1111:C1112"/>
    <mergeCell ref="AD1111:AI1117"/>
    <mergeCell ref="A1113:C1114"/>
    <mergeCell ref="E1113:X1114"/>
    <mergeCell ref="Y1113:AC1114"/>
    <mergeCell ref="A1115:C1115"/>
    <mergeCell ref="E1115:S1115"/>
    <mergeCell ref="U1115:Y1115"/>
    <mergeCell ref="E1105:M1105"/>
    <mergeCell ref="O1105:S1105"/>
    <mergeCell ref="E1106:X1107"/>
    <mergeCell ref="Y1106:AC1107"/>
    <mergeCell ref="AD1106:AI1110"/>
    <mergeCell ref="A1107:C1110"/>
    <mergeCell ref="E1108:M1108"/>
    <mergeCell ref="O1108:Q1108"/>
    <mergeCell ref="E1109:M1109"/>
    <mergeCell ref="O1109:S1109"/>
    <mergeCell ref="A1100:C1105"/>
    <mergeCell ref="E1100:X1101"/>
    <mergeCell ref="Y1100:AC1101"/>
    <mergeCell ref="AD1100:AI1105"/>
    <mergeCell ref="E1102:M1102"/>
    <mergeCell ref="O1102:Q1102"/>
    <mergeCell ref="E1103:M1103"/>
    <mergeCell ref="O1103:S1103"/>
    <mergeCell ref="E1104:M1104"/>
    <mergeCell ref="O1104:S1104"/>
    <mergeCell ref="Y1094:AC1095"/>
    <mergeCell ref="AD1094:AI1099"/>
    <mergeCell ref="E1096:Q1096"/>
    <mergeCell ref="S1096:U1096"/>
    <mergeCell ref="E1097:Q1097"/>
    <mergeCell ref="S1097:W1097"/>
    <mergeCell ref="E1098:Q1098"/>
    <mergeCell ref="S1098:W1098"/>
    <mergeCell ref="E1099:Q1099"/>
    <mergeCell ref="S1099:W1099"/>
    <mergeCell ref="E1091:I1091"/>
    <mergeCell ref="K1091:M1091"/>
    <mergeCell ref="E1092:I1092"/>
    <mergeCell ref="K1092:M1092"/>
    <mergeCell ref="A1094:C1099"/>
    <mergeCell ref="E1094:X1095"/>
    <mergeCell ref="Q1085:U1085"/>
    <mergeCell ref="A1086:C1087"/>
    <mergeCell ref="AD1086:AI1087"/>
    <mergeCell ref="A1088:C1092"/>
    <mergeCell ref="Y1088:AC1088"/>
    <mergeCell ref="AD1088:AI1092"/>
    <mergeCell ref="E1089:I1089"/>
    <mergeCell ref="K1089:M1089"/>
    <mergeCell ref="E1090:I1090"/>
    <mergeCell ref="K1090:M1090"/>
    <mergeCell ref="Q1079:U1079"/>
    <mergeCell ref="A1080:C1085"/>
    <mergeCell ref="E1080:X1082"/>
    <mergeCell ref="Y1080:AC1082"/>
    <mergeCell ref="AD1080:AI1085"/>
    <mergeCell ref="E1083:O1083"/>
    <mergeCell ref="Q1083:S1083"/>
    <mergeCell ref="E1084:O1084"/>
    <mergeCell ref="Q1084:U1084"/>
    <mergeCell ref="E1085:O1085"/>
    <mergeCell ref="Q1074:U1074"/>
    <mergeCell ref="A1075:C1079"/>
    <mergeCell ref="E1075:X1076"/>
    <mergeCell ref="Y1075:AC1076"/>
    <mergeCell ref="AD1075:AI1079"/>
    <mergeCell ref="E1077:O1077"/>
    <mergeCell ref="Q1077:S1077"/>
    <mergeCell ref="E1078:O1078"/>
    <mergeCell ref="Q1078:U1078"/>
    <mergeCell ref="E1079:O1079"/>
    <mergeCell ref="E1070:AC1070"/>
    <mergeCell ref="AD1070:AI1074"/>
    <mergeCell ref="A1071:C1074"/>
    <mergeCell ref="E1071:X1071"/>
    <mergeCell ref="Y1071:AC1071"/>
    <mergeCell ref="E1072:O1072"/>
    <mergeCell ref="Q1072:S1072"/>
    <mergeCell ref="E1073:O1073"/>
    <mergeCell ref="Q1073:U1073"/>
    <mergeCell ref="E1074:O1074"/>
    <mergeCell ref="A1066:C1069"/>
    <mergeCell ref="E1066:X1066"/>
    <mergeCell ref="Y1066:AC1066"/>
    <mergeCell ref="AD1066:AI1069"/>
    <mergeCell ref="E1067:J1067"/>
    <mergeCell ref="L1067:N1067"/>
    <mergeCell ref="E1068:J1068"/>
    <mergeCell ref="L1068:N1068"/>
    <mergeCell ref="E1069:J1069"/>
    <mergeCell ref="L1069:N1069"/>
    <mergeCell ref="A1062:C1065"/>
    <mergeCell ref="Y1062:AC1062"/>
    <mergeCell ref="AD1062:AI1065"/>
    <mergeCell ref="L1063:N1063"/>
    <mergeCell ref="L1064:N1064"/>
    <mergeCell ref="L1065:N1065"/>
    <mergeCell ref="A1057:C1061"/>
    <mergeCell ref="Y1057:AC1057"/>
    <mergeCell ref="AD1057:AI1057"/>
    <mergeCell ref="J1058:L1058"/>
    <mergeCell ref="AD1058:AI1061"/>
    <mergeCell ref="J1059:L1059"/>
    <mergeCell ref="J1060:L1060"/>
    <mergeCell ref="J1061:L1061"/>
    <mergeCell ref="A1054:C1054"/>
    <mergeCell ref="D1054:AC1054"/>
    <mergeCell ref="AD1054:AI1054"/>
    <mergeCell ref="A1055:C1056"/>
    <mergeCell ref="D1055:P1055"/>
    <mergeCell ref="AD1055:AI1056"/>
    <mergeCell ref="D1056:Y1056"/>
    <mergeCell ref="A993:AI993"/>
    <mergeCell ref="A994:AI1001"/>
    <mergeCell ref="A1003:E1003"/>
    <mergeCell ref="F1003:AB1003"/>
    <mergeCell ref="AC1003:AI1003"/>
    <mergeCell ref="A1052:E1052"/>
    <mergeCell ref="F1052:AB1052"/>
    <mergeCell ref="AC1052:AI1052"/>
    <mergeCell ref="A982:C982"/>
    <mergeCell ref="D982:W982"/>
    <mergeCell ref="Y982:AC982"/>
    <mergeCell ref="AD982:AI982"/>
    <mergeCell ref="A983:AI983"/>
    <mergeCell ref="A984:AI991"/>
    <mergeCell ref="A980:C980"/>
    <mergeCell ref="D980:W980"/>
    <mergeCell ref="Y980:AC980"/>
    <mergeCell ref="AD980:AI980"/>
    <mergeCell ref="A981:C981"/>
    <mergeCell ref="D981:W981"/>
    <mergeCell ref="Y981:AC981"/>
    <mergeCell ref="AD981:AI981"/>
    <mergeCell ref="A968:AI968"/>
    <mergeCell ref="A969:AI976"/>
    <mergeCell ref="A978:C978"/>
    <mergeCell ref="D978:AC978"/>
    <mergeCell ref="AD978:AI978"/>
    <mergeCell ref="A979:C979"/>
    <mergeCell ref="AD979:AI979"/>
    <mergeCell ref="A966:C967"/>
    <mergeCell ref="D966:L966"/>
    <mergeCell ref="AD966:AI967"/>
    <mergeCell ref="D967:H967"/>
    <mergeCell ref="I967:M967"/>
    <mergeCell ref="P967:T967"/>
    <mergeCell ref="U967:Y967"/>
    <mergeCell ref="A964:C965"/>
    <mergeCell ref="D964:L964"/>
    <mergeCell ref="AD964:AI965"/>
    <mergeCell ref="D965:H965"/>
    <mergeCell ref="I965:M965"/>
    <mergeCell ref="P965:T965"/>
    <mergeCell ref="U965:Y965"/>
    <mergeCell ref="A962:C963"/>
    <mergeCell ref="D962:Y962"/>
    <mergeCell ref="AD962:AI963"/>
    <mergeCell ref="D963:H963"/>
    <mergeCell ref="I963:M963"/>
    <mergeCell ref="P963:T963"/>
    <mergeCell ref="U963:Y963"/>
    <mergeCell ref="A960:C961"/>
    <mergeCell ref="D960:H960"/>
    <mergeCell ref="AD960:AI961"/>
    <mergeCell ref="D961:H961"/>
    <mergeCell ref="I961:M961"/>
    <mergeCell ref="P961:T961"/>
    <mergeCell ref="U961:Y961"/>
    <mergeCell ref="A957:C957"/>
    <mergeCell ref="D957:K957"/>
    <mergeCell ref="AD957:AI957"/>
    <mergeCell ref="A958:C959"/>
    <mergeCell ref="D958:H958"/>
    <mergeCell ref="AD958:AI959"/>
    <mergeCell ref="D959:H959"/>
    <mergeCell ref="I959:M959"/>
    <mergeCell ref="P959:T959"/>
    <mergeCell ref="U959:Y959"/>
    <mergeCell ref="A945:AI945"/>
    <mergeCell ref="A946:AI952"/>
    <mergeCell ref="A954:E954"/>
    <mergeCell ref="F954:AB954"/>
    <mergeCell ref="AC954:AI954"/>
    <mergeCell ref="A956:C956"/>
    <mergeCell ref="D956:AC956"/>
    <mergeCell ref="AD956:AI956"/>
    <mergeCell ref="J942:L942"/>
    <mergeCell ref="Q942:U942"/>
    <mergeCell ref="V942:X942"/>
    <mergeCell ref="AD942:AI942"/>
    <mergeCell ref="D943:E943"/>
    <mergeCell ref="AD943:AI944"/>
    <mergeCell ref="E944:I944"/>
    <mergeCell ref="J944:L944"/>
    <mergeCell ref="Q944:U944"/>
    <mergeCell ref="V944:X944"/>
    <mergeCell ref="A939:C944"/>
    <mergeCell ref="D939:O939"/>
    <mergeCell ref="AD939:AI940"/>
    <mergeCell ref="E940:I940"/>
    <mergeCell ref="J940:L940"/>
    <mergeCell ref="Q940:U940"/>
    <mergeCell ref="V940:X940"/>
    <mergeCell ref="D941:H941"/>
    <mergeCell ref="AD941:AI941"/>
    <mergeCell ref="E942:I942"/>
    <mergeCell ref="A937:C938"/>
    <mergeCell ref="D937:M937"/>
    <mergeCell ref="AD937:AI938"/>
    <mergeCell ref="D938:H938"/>
    <mergeCell ref="I938:M938"/>
    <mergeCell ref="P938:T938"/>
    <mergeCell ref="U938:Y938"/>
    <mergeCell ref="A935:C936"/>
    <mergeCell ref="D935:T935"/>
    <mergeCell ref="AD935:AI936"/>
    <mergeCell ref="D936:H936"/>
    <mergeCell ref="I936:M936"/>
    <mergeCell ref="P936:T936"/>
    <mergeCell ref="U936:Y936"/>
    <mergeCell ref="A933:C934"/>
    <mergeCell ref="AD933:AI934"/>
    <mergeCell ref="D934:H934"/>
    <mergeCell ref="I934:M934"/>
    <mergeCell ref="P934:T934"/>
    <mergeCell ref="U934:Y934"/>
    <mergeCell ref="A923:AI927"/>
    <mergeCell ref="A929:C930"/>
    <mergeCell ref="AD929:AI930"/>
    <mergeCell ref="A931:C932"/>
    <mergeCell ref="D931:H931"/>
    <mergeCell ref="AD931:AI932"/>
    <mergeCell ref="D932:H932"/>
    <mergeCell ref="I932:M932"/>
    <mergeCell ref="P932:T932"/>
    <mergeCell ref="U932:Y932"/>
    <mergeCell ref="E921:I921"/>
    <mergeCell ref="J921:L921"/>
    <mergeCell ref="P921:T921"/>
    <mergeCell ref="U921:W921"/>
    <mergeCell ref="AD921:AI921"/>
    <mergeCell ref="A922:AI922"/>
    <mergeCell ref="E919:I919"/>
    <mergeCell ref="J919:L919"/>
    <mergeCell ref="P919:T919"/>
    <mergeCell ref="U919:W919"/>
    <mergeCell ref="AD919:AI919"/>
    <mergeCell ref="D920:E920"/>
    <mergeCell ref="AD920:AI920"/>
    <mergeCell ref="A916:C921"/>
    <mergeCell ref="D916:I916"/>
    <mergeCell ref="AD916:AI916"/>
    <mergeCell ref="E917:I917"/>
    <mergeCell ref="J917:L917"/>
    <mergeCell ref="P917:T917"/>
    <mergeCell ref="U917:W917"/>
    <mergeCell ref="AD917:AI917"/>
    <mergeCell ref="D918:H918"/>
    <mergeCell ref="AD918:AI918"/>
    <mergeCell ref="A914:C915"/>
    <mergeCell ref="D914:H914"/>
    <mergeCell ref="AD914:AI915"/>
    <mergeCell ref="D915:H915"/>
    <mergeCell ref="I915:M915"/>
    <mergeCell ref="P915:T915"/>
    <mergeCell ref="U915:Y915"/>
    <mergeCell ref="A910:C911"/>
    <mergeCell ref="AD910:AI911"/>
    <mergeCell ref="A912:C913"/>
    <mergeCell ref="D912:H912"/>
    <mergeCell ref="AD912:AI913"/>
    <mergeCell ref="D913:H913"/>
    <mergeCell ref="I913:M913"/>
    <mergeCell ref="P913:T913"/>
    <mergeCell ref="U913:Y913"/>
    <mergeCell ref="A894:AI894"/>
    <mergeCell ref="A895:AI905"/>
    <mergeCell ref="A907:E907"/>
    <mergeCell ref="F907:AB907"/>
    <mergeCell ref="AC907:AI907"/>
    <mergeCell ref="A909:C909"/>
    <mergeCell ref="D909:AC909"/>
    <mergeCell ref="AD909:AI909"/>
    <mergeCell ref="A892:C893"/>
    <mergeCell ref="D892:H892"/>
    <mergeCell ref="AD892:AI893"/>
    <mergeCell ref="D893:H893"/>
    <mergeCell ref="I893:M893"/>
    <mergeCell ref="P893:T893"/>
    <mergeCell ref="U893:Y893"/>
    <mergeCell ref="A890:C891"/>
    <mergeCell ref="D890:V890"/>
    <mergeCell ref="AD890:AI891"/>
    <mergeCell ref="D891:H891"/>
    <mergeCell ref="I891:M891"/>
    <mergeCell ref="P891:T891"/>
    <mergeCell ref="U891:Y891"/>
    <mergeCell ref="A888:C889"/>
    <mergeCell ref="D888:H888"/>
    <mergeCell ref="AD888:AI889"/>
    <mergeCell ref="D889:H889"/>
    <mergeCell ref="I889:M889"/>
    <mergeCell ref="P889:T889"/>
    <mergeCell ref="U889:Y889"/>
    <mergeCell ref="A886:C887"/>
    <mergeCell ref="D886:H886"/>
    <mergeCell ref="AD886:AI887"/>
    <mergeCell ref="D887:H887"/>
    <mergeCell ref="I887:M887"/>
    <mergeCell ref="P887:T887"/>
    <mergeCell ref="U887:Y887"/>
    <mergeCell ref="A870:AI880"/>
    <mergeCell ref="A882:C882"/>
    <mergeCell ref="D882:AC882"/>
    <mergeCell ref="AD882:AI882"/>
    <mergeCell ref="A883:C885"/>
    <mergeCell ref="AD883:AI885"/>
    <mergeCell ref="E868:I868"/>
    <mergeCell ref="J868:L868"/>
    <mergeCell ref="Q868:U868"/>
    <mergeCell ref="V868:X868"/>
    <mergeCell ref="AD868:AI868"/>
    <mergeCell ref="A869:AI869"/>
    <mergeCell ref="E866:I866"/>
    <mergeCell ref="J866:L866"/>
    <mergeCell ref="Q866:U866"/>
    <mergeCell ref="V866:X866"/>
    <mergeCell ref="AD866:AI866"/>
    <mergeCell ref="D867:F867"/>
    <mergeCell ref="AD867:AI867"/>
    <mergeCell ref="A863:C868"/>
    <mergeCell ref="D863:J863"/>
    <mergeCell ref="AD863:AI863"/>
    <mergeCell ref="E864:I864"/>
    <mergeCell ref="J864:L864"/>
    <mergeCell ref="Q864:U864"/>
    <mergeCell ref="V864:X864"/>
    <mergeCell ref="AD864:AI864"/>
    <mergeCell ref="D865:H865"/>
    <mergeCell ref="AD865:AI865"/>
    <mergeCell ref="A861:C862"/>
    <mergeCell ref="D861:N861"/>
    <mergeCell ref="AD861:AI862"/>
    <mergeCell ref="D862:H862"/>
    <mergeCell ref="I862:M862"/>
    <mergeCell ref="P862:T862"/>
    <mergeCell ref="U862:Y862"/>
    <mergeCell ref="A859:C860"/>
    <mergeCell ref="D859:I859"/>
    <mergeCell ref="AD859:AI860"/>
    <mergeCell ref="D860:H860"/>
    <mergeCell ref="I860:M860"/>
    <mergeCell ref="P860:T860"/>
    <mergeCell ref="U860:Y860"/>
    <mergeCell ref="A857:C858"/>
    <mergeCell ref="D857:H857"/>
    <mergeCell ref="AD857:AI858"/>
    <mergeCell ref="D858:H858"/>
    <mergeCell ref="I858:M858"/>
    <mergeCell ref="P858:T858"/>
    <mergeCell ref="U858:Y858"/>
    <mergeCell ref="A853:C853"/>
    <mergeCell ref="D853:AC853"/>
    <mergeCell ref="AD853:AI853"/>
    <mergeCell ref="A854:C856"/>
    <mergeCell ref="D854:Q854"/>
    <mergeCell ref="AD854:AI856"/>
    <mergeCell ref="A789:AI789"/>
    <mergeCell ref="A790:AI800"/>
    <mergeCell ref="A802:E802"/>
    <mergeCell ref="F802:AB802"/>
    <mergeCell ref="AC802:AI802"/>
    <mergeCell ref="A851:E851"/>
    <mergeCell ref="F851:AB851"/>
    <mergeCell ref="AC851:AI851"/>
    <mergeCell ref="A787:C788"/>
    <mergeCell ref="D787:AB787"/>
    <mergeCell ref="AD787:AI788"/>
    <mergeCell ref="D788:I788"/>
    <mergeCell ref="J788:N788"/>
    <mergeCell ref="P788:T788"/>
    <mergeCell ref="U788:Y788"/>
    <mergeCell ref="A785:C786"/>
    <mergeCell ref="D785:M785"/>
    <mergeCell ref="AD785:AI786"/>
    <mergeCell ref="D786:G786"/>
    <mergeCell ref="J786:N786"/>
    <mergeCell ref="P786:T786"/>
    <mergeCell ref="U786:Y786"/>
    <mergeCell ref="A783:C784"/>
    <mergeCell ref="D783:H783"/>
    <mergeCell ref="AD783:AI784"/>
    <mergeCell ref="D784:I784"/>
    <mergeCell ref="J784:N784"/>
    <mergeCell ref="P784:T784"/>
    <mergeCell ref="U784:Y784"/>
    <mergeCell ref="A781:C782"/>
    <mergeCell ref="D781:H781"/>
    <mergeCell ref="AD781:AI782"/>
    <mergeCell ref="D782:I782"/>
    <mergeCell ref="J782:N782"/>
    <mergeCell ref="P782:T782"/>
    <mergeCell ref="U782:Y782"/>
    <mergeCell ref="A763:AI763"/>
    <mergeCell ref="A764:AI775"/>
    <mergeCell ref="A777:C777"/>
    <mergeCell ref="D777:AC777"/>
    <mergeCell ref="AD777:AI777"/>
    <mergeCell ref="A778:C780"/>
    <mergeCell ref="D778:J778"/>
    <mergeCell ref="AD778:AI780"/>
    <mergeCell ref="A760:C761"/>
    <mergeCell ref="D760:AC760"/>
    <mergeCell ref="AD760:AI762"/>
    <mergeCell ref="D761:H761"/>
    <mergeCell ref="I761:K761"/>
    <mergeCell ref="O761:S761"/>
    <mergeCell ref="T761:V761"/>
    <mergeCell ref="A762:C762"/>
    <mergeCell ref="D762:P762"/>
    <mergeCell ref="Q762:U762"/>
    <mergeCell ref="D758:AC758"/>
    <mergeCell ref="AD758:AI759"/>
    <mergeCell ref="D759:H759"/>
    <mergeCell ref="I759:K759"/>
    <mergeCell ref="O759:S759"/>
    <mergeCell ref="T759:V759"/>
    <mergeCell ref="D755:AC756"/>
    <mergeCell ref="AD755:AI757"/>
    <mergeCell ref="D757:H757"/>
    <mergeCell ref="I757:K757"/>
    <mergeCell ref="O757:S757"/>
    <mergeCell ref="T757:V757"/>
    <mergeCell ref="K752:O752"/>
    <mergeCell ref="V752:W752"/>
    <mergeCell ref="X752:AB752"/>
    <mergeCell ref="A753:C759"/>
    <mergeCell ref="D753:AC753"/>
    <mergeCell ref="AD753:AI754"/>
    <mergeCell ref="D754:H754"/>
    <mergeCell ref="I754:K754"/>
    <mergeCell ref="O754:S754"/>
    <mergeCell ref="T754:V754"/>
    <mergeCell ref="A750:C752"/>
    <mergeCell ref="D750:AC750"/>
    <mergeCell ref="AD750:AI752"/>
    <mergeCell ref="D751:H751"/>
    <mergeCell ref="I751:J751"/>
    <mergeCell ref="K751:O751"/>
    <mergeCell ref="Q751:U751"/>
    <mergeCell ref="V751:W751"/>
    <mergeCell ref="X751:AB751"/>
    <mergeCell ref="I752:J752"/>
    <mergeCell ref="A748:C749"/>
    <mergeCell ref="D748:AC748"/>
    <mergeCell ref="AD748:AI749"/>
    <mergeCell ref="D749:H749"/>
    <mergeCell ref="J749:N749"/>
    <mergeCell ref="P749:T749"/>
    <mergeCell ref="U749:Y749"/>
    <mergeCell ref="A746:C747"/>
    <mergeCell ref="D746:M746"/>
    <mergeCell ref="AD746:AI747"/>
    <mergeCell ref="D747:I747"/>
    <mergeCell ref="J747:N747"/>
    <mergeCell ref="P747:T747"/>
    <mergeCell ref="U747:Y747"/>
    <mergeCell ref="A744:C745"/>
    <mergeCell ref="D744:H744"/>
    <mergeCell ref="AD744:AI745"/>
    <mergeCell ref="D745:I745"/>
    <mergeCell ref="J745:N745"/>
    <mergeCell ref="P745:T745"/>
    <mergeCell ref="U745:Y745"/>
    <mergeCell ref="A740:C740"/>
    <mergeCell ref="D740:AC740"/>
    <mergeCell ref="AD740:AI740"/>
    <mergeCell ref="A741:C743"/>
    <mergeCell ref="D741:J741"/>
    <mergeCell ref="AD741:AI743"/>
    <mergeCell ref="A689:E689"/>
    <mergeCell ref="F689:AB689"/>
    <mergeCell ref="AC689:AI689"/>
    <mergeCell ref="A738:E738"/>
    <mergeCell ref="F738:AB738"/>
    <mergeCell ref="AC738:AI738"/>
    <mergeCell ref="A662:C664"/>
    <mergeCell ref="D662:X664"/>
    <mergeCell ref="Y662:AC664"/>
    <mergeCell ref="AD662:AI664"/>
    <mergeCell ref="A666:AI666"/>
    <mergeCell ref="A667:AI687"/>
    <mergeCell ref="A661:C661"/>
    <mergeCell ref="I661:M661"/>
    <mergeCell ref="N661:O661"/>
    <mergeCell ref="P661:T661"/>
    <mergeCell ref="V661:W661"/>
    <mergeCell ref="X661:AB661"/>
    <mergeCell ref="A659:C659"/>
    <mergeCell ref="D659:I659"/>
    <mergeCell ref="K659:N659"/>
    <mergeCell ref="R659:U659"/>
    <mergeCell ref="A660:C660"/>
    <mergeCell ref="D660:H660"/>
    <mergeCell ref="I660:M660"/>
    <mergeCell ref="N660:O660"/>
    <mergeCell ref="P660:T660"/>
    <mergeCell ref="D656:R656"/>
    <mergeCell ref="AD656:AI661"/>
    <mergeCell ref="D657:G657"/>
    <mergeCell ref="J657:O657"/>
    <mergeCell ref="P657:AB657"/>
    <mergeCell ref="J658:O658"/>
    <mergeCell ref="P658:AB658"/>
    <mergeCell ref="V660:W660"/>
    <mergeCell ref="X660:AB660"/>
    <mergeCell ref="A655:C655"/>
    <mergeCell ref="I655:M655"/>
    <mergeCell ref="N655:O655"/>
    <mergeCell ref="P655:T655"/>
    <mergeCell ref="V655:W655"/>
    <mergeCell ref="X655:AB655"/>
    <mergeCell ref="A654:C654"/>
    <mergeCell ref="D654:H654"/>
    <mergeCell ref="I654:M654"/>
    <mergeCell ref="N654:O654"/>
    <mergeCell ref="P654:T654"/>
    <mergeCell ref="V654:W654"/>
    <mergeCell ref="A652:C652"/>
    <mergeCell ref="D652:I652"/>
    <mergeCell ref="K652:N652"/>
    <mergeCell ref="R652:U652"/>
    <mergeCell ref="A653:C653"/>
    <mergeCell ref="D653:I653"/>
    <mergeCell ref="K653:N653"/>
    <mergeCell ref="R653:U653"/>
    <mergeCell ref="A650:C650"/>
    <mergeCell ref="D650:M650"/>
    <mergeCell ref="S650:V650"/>
    <mergeCell ref="A651:C651"/>
    <mergeCell ref="D651:R651"/>
    <mergeCell ref="S651:V651"/>
    <mergeCell ref="D647:R647"/>
    <mergeCell ref="AD647:AI655"/>
    <mergeCell ref="D648:G648"/>
    <mergeCell ref="J648:O648"/>
    <mergeCell ref="P648:AB648"/>
    <mergeCell ref="J649:O649"/>
    <mergeCell ref="P649:AB649"/>
    <mergeCell ref="X654:AB654"/>
    <mergeCell ref="AD645:AI646"/>
    <mergeCell ref="A646:C646"/>
    <mergeCell ref="D646:G646"/>
    <mergeCell ref="H646:L646"/>
    <mergeCell ref="M646:P646"/>
    <mergeCell ref="S646:W646"/>
    <mergeCell ref="X646:AA646"/>
    <mergeCell ref="D643:U643"/>
    <mergeCell ref="Y643:AC643"/>
    <mergeCell ref="D644:P644"/>
    <mergeCell ref="Y644:AC644"/>
    <mergeCell ref="A645:C645"/>
    <mergeCell ref="D645:G645"/>
    <mergeCell ref="H645:L645"/>
    <mergeCell ref="M645:P645"/>
    <mergeCell ref="S645:W645"/>
    <mergeCell ref="X645:AA645"/>
    <mergeCell ref="A640:AI640"/>
    <mergeCell ref="A641:C641"/>
    <mergeCell ref="D641:AC641"/>
    <mergeCell ref="AD641:AI641"/>
    <mergeCell ref="A642:C644"/>
    <mergeCell ref="D642:J642"/>
    <mergeCell ref="K642:O642"/>
    <mergeCell ref="Q642:V642"/>
    <mergeCell ref="Y642:AC642"/>
    <mergeCell ref="AD642:AI644"/>
    <mergeCell ref="A561:AI561"/>
    <mergeCell ref="A562:AI581"/>
    <mergeCell ref="A583:E583"/>
    <mergeCell ref="F583:AB583"/>
    <mergeCell ref="AC583:AI583"/>
    <mergeCell ref="A632:E632"/>
    <mergeCell ref="F632:AB632"/>
    <mergeCell ref="AC632:AI632"/>
    <mergeCell ref="A556:C557"/>
    <mergeCell ref="D556:I556"/>
    <mergeCell ref="K556:L556"/>
    <mergeCell ref="AD556:AI557"/>
    <mergeCell ref="E557:AA557"/>
    <mergeCell ref="A558:C559"/>
    <mergeCell ref="D558:X558"/>
    <mergeCell ref="AD558:AI559"/>
    <mergeCell ref="E559:N559"/>
    <mergeCell ref="P559:T559"/>
    <mergeCell ref="U553:Y553"/>
    <mergeCell ref="A554:C555"/>
    <mergeCell ref="D554:K554"/>
    <mergeCell ref="AD554:AI555"/>
    <mergeCell ref="D555:H555"/>
    <mergeCell ref="I555:M555"/>
    <mergeCell ref="P555:T555"/>
    <mergeCell ref="U555:Y555"/>
    <mergeCell ref="Q548:T548"/>
    <mergeCell ref="U548:X548"/>
    <mergeCell ref="Y548:AC548"/>
    <mergeCell ref="D549:J549"/>
    <mergeCell ref="K549:M549"/>
    <mergeCell ref="A550:C553"/>
    <mergeCell ref="D550:AC552"/>
    <mergeCell ref="D553:H553"/>
    <mergeCell ref="I553:M553"/>
    <mergeCell ref="P553:T553"/>
    <mergeCell ref="A546:C546"/>
    <mergeCell ref="D546:I546"/>
    <mergeCell ref="J546:AC546"/>
    <mergeCell ref="AD546:AI553"/>
    <mergeCell ref="A547:C547"/>
    <mergeCell ref="D547:W547"/>
    <mergeCell ref="X547:AA547"/>
    <mergeCell ref="A548:C549"/>
    <mergeCell ref="D548:L548"/>
    <mergeCell ref="M548:P548"/>
    <mergeCell ref="D545:I545"/>
    <mergeCell ref="J545:L545"/>
    <mergeCell ref="M545:Q545"/>
    <mergeCell ref="R545:T545"/>
    <mergeCell ref="U545:X545"/>
    <mergeCell ref="Y545:AC545"/>
    <mergeCell ref="D544:I544"/>
    <mergeCell ref="J544:L544"/>
    <mergeCell ref="M544:Q544"/>
    <mergeCell ref="R544:T544"/>
    <mergeCell ref="U544:Y544"/>
    <mergeCell ref="Z544:AC544"/>
    <mergeCell ref="U542:Y542"/>
    <mergeCell ref="Z542:AC542"/>
    <mergeCell ref="D543:I543"/>
    <mergeCell ref="J543:L543"/>
    <mergeCell ref="M543:Q543"/>
    <mergeCell ref="R543:T543"/>
    <mergeCell ref="U543:Y543"/>
    <mergeCell ref="Z543:AC543"/>
    <mergeCell ref="A540:C540"/>
    <mergeCell ref="D540:AC540"/>
    <mergeCell ref="AD540:AI540"/>
    <mergeCell ref="A541:C545"/>
    <mergeCell ref="D541:AC541"/>
    <mergeCell ref="AD541:AI545"/>
    <mergeCell ref="D542:I542"/>
    <mergeCell ref="J542:L542"/>
    <mergeCell ref="M542:Q542"/>
    <mergeCell ref="R542:T542"/>
    <mergeCell ref="A538:C539"/>
    <mergeCell ref="D538:AB538"/>
    <mergeCell ref="AD538:AI539"/>
    <mergeCell ref="D539:H539"/>
    <mergeCell ref="I539:M539"/>
    <mergeCell ref="P539:T539"/>
    <mergeCell ref="U539:Y539"/>
    <mergeCell ref="A536:C537"/>
    <mergeCell ref="D536:X536"/>
    <mergeCell ref="AD536:AI537"/>
    <mergeCell ref="D537:H537"/>
    <mergeCell ref="I537:M537"/>
    <mergeCell ref="P537:T537"/>
    <mergeCell ref="U537:Y537"/>
    <mergeCell ref="A521:AI521"/>
    <mergeCell ref="A522:AI531"/>
    <mergeCell ref="A533:E533"/>
    <mergeCell ref="F533:AB533"/>
    <mergeCell ref="AC533:AI533"/>
    <mergeCell ref="A535:C535"/>
    <mergeCell ref="D535:AC535"/>
    <mergeCell ref="AD535:AI535"/>
    <mergeCell ref="A518:C518"/>
    <mergeCell ref="D518:N518"/>
    <mergeCell ref="P518:Q518"/>
    <mergeCell ref="T518:Z518"/>
    <mergeCell ref="AD518:AI518"/>
    <mergeCell ref="A519:AA519"/>
    <mergeCell ref="A516:C516"/>
    <mergeCell ref="D516:AC516"/>
    <mergeCell ref="AD516:AI516"/>
    <mergeCell ref="A517:C517"/>
    <mergeCell ref="D517:N517"/>
    <mergeCell ref="P517:Q517"/>
    <mergeCell ref="T517:Z517"/>
    <mergeCell ref="AD517:AI517"/>
    <mergeCell ref="A514:C514"/>
    <mergeCell ref="D514:I514"/>
    <mergeCell ref="K514:L514"/>
    <mergeCell ref="P514:V514"/>
    <mergeCell ref="AD514:AI514"/>
    <mergeCell ref="A515:C515"/>
    <mergeCell ref="D515:I515"/>
    <mergeCell ref="K515:L515"/>
    <mergeCell ref="P515:V515"/>
    <mergeCell ref="AD515:AI515"/>
    <mergeCell ref="A512:C512"/>
    <mergeCell ref="D512:H512"/>
    <mergeCell ref="J512:K512"/>
    <mergeCell ref="O512:Y512"/>
    <mergeCell ref="AD512:AI512"/>
    <mergeCell ref="A513:C513"/>
    <mergeCell ref="D513:AC513"/>
    <mergeCell ref="AD513:AI513"/>
    <mergeCell ref="AD509:AI509"/>
    <mergeCell ref="D510:H510"/>
    <mergeCell ref="AD510:AI510"/>
    <mergeCell ref="A511:C511"/>
    <mergeCell ref="D511:H511"/>
    <mergeCell ref="J511:K511"/>
    <mergeCell ref="O511:Y511"/>
    <mergeCell ref="AD511:AI511"/>
    <mergeCell ref="G508:I508"/>
    <mergeCell ref="J508:O508"/>
    <mergeCell ref="R508:T508"/>
    <mergeCell ref="U508:Z508"/>
    <mergeCell ref="A509:C509"/>
    <mergeCell ref="D509:AC509"/>
    <mergeCell ref="D505:K505"/>
    <mergeCell ref="G506:I506"/>
    <mergeCell ref="J506:O506"/>
    <mergeCell ref="R506:T506"/>
    <mergeCell ref="U506:Z506"/>
    <mergeCell ref="D507:P507"/>
    <mergeCell ref="G502:I502"/>
    <mergeCell ref="J502:O502"/>
    <mergeCell ref="R502:T502"/>
    <mergeCell ref="U502:Z502"/>
    <mergeCell ref="D503:U503"/>
    <mergeCell ref="G504:I504"/>
    <mergeCell ref="J504:O504"/>
    <mergeCell ref="R504:T504"/>
    <mergeCell ref="U504:Z504"/>
    <mergeCell ref="D499:J499"/>
    <mergeCell ref="G500:I500"/>
    <mergeCell ref="J500:O500"/>
    <mergeCell ref="R500:T500"/>
    <mergeCell ref="U500:Z500"/>
    <mergeCell ref="D501:Q501"/>
    <mergeCell ref="G496:I496"/>
    <mergeCell ref="D497:I497"/>
    <mergeCell ref="G498:I498"/>
    <mergeCell ref="J498:O498"/>
    <mergeCell ref="R498:T498"/>
    <mergeCell ref="U498:Z498"/>
    <mergeCell ref="D492:K492"/>
    <mergeCell ref="N492:AC492"/>
    <mergeCell ref="AD492:AI493"/>
    <mergeCell ref="D493:L493"/>
    <mergeCell ref="N493:AC493"/>
    <mergeCell ref="A494:C508"/>
    <mergeCell ref="D494:L494"/>
    <mergeCell ref="N494:P494"/>
    <mergeCell ref="AD494:AI508"/>
    <mergeCell ref="D495:K495"/>
    <mergeCell ref="A490:C491"/>
    <mergeCell ref="D490:L490"/>
    <mergeCell ref="N490:AC490"/>
    <mergeCell ref="AD490:AI490"/>
    <mergeCell ref="D491:L491"/>
    <mergeCell ref="N491:AC491"/>
    <mergeCell ref="AD491:AI491"/>
    <mergeCell ref="A487:C487"/>
    <mergeCell ref="D487:AC487"/>
    <mergeCell ref="AD487:AI487"/>
    <mergeCell ref="A488:C489"/>
    <mergeCell ref="D488:X489"/>
    <mergeCell ref="Z488:AB489"/>
    <mergeCell ref="AD488:AI489"/>
    <mergeCell ref="A393:AI393"/>
    <mergeCell ref="A394:AI434"/>
    <mergeCell ref="A436:E436"/>
    <mergeCell ref="F436:AB436"/>
    <mergeCell ref="AC436:AI436"/>
    <mergeCell ref="A485:E485"/>
    <mergeCell ref="F485:AB485"/>
    <mergeCell ref="AC485:AI485"/>
    <mergeCell ref="AD387:AI388"/>
    <mergeCell ref="D388:V389"/>
    <mergeCell ref="X388:AA389"/>
    <mergeCell ref="AD389:AI391"/>
    <mergeCell ref="A390:C391"/>
    <mergeCell ref="D390:V391"/>
    <mergeCell ref="X390:AB391"/>
    <mergeCell ref="D386:N386"/>
    <mergeCell ref="O386:P386"/>
    <mergeCell ref="Q386:V386"/>
    <mergeCell ref="W386:X386"/>
    <mergeCell ref="Y386:AC386"/>
    <mergeCell ref="A387:C389"/>
    <mergeCell ref="D387:V387"/>
    <mergeCell ref="X387:AA387"/>
    <mergeCell ref="Y384:AC384"/>
    <mergeCell ref="D385:L385"/>
    <mergeCell ref="O385:P385"/>
    <mergeCell ref="Q385:V385"/>
    <mergeCell ref="W385:X385"/>
    <mergeCell ref="Y385:AC385"/>
    <mergeCell ref="A382:C382"/>
    <mergeCell ref="D382:AC382"/>
    <mergeCell ref="AD382:AI382"/>
    <mergeCell ref="A383:C386"/>
    <mergeCell ref="D383:AC383"/>
    <mergeCell ref="AD383:AI386"/>
    <mergeCell ref="D384:L384"/>
    <mergeCell ref="O384:P384"/>
    <mergeCell ref="Q384:V384"/>
    <mergeCell ref="W384:X384"/>
    <mergeCell ref="A379:E379"/>
    <mergeCell ref="F379:AB379"/>
    <mergeCell ref="AC379:AI379"/>
    <mergeCell ref="A381:C381"/>
    <mergeCell ref="D381:AC381"/>
    <mergeCell ref="AD381:AI381"/>
    <mergeCell ref="A310:C310"/>
    <mergeCell ref="P310:T310"/>
    <mergeCell ref="A312:AI312"/>
    <mergeCell ref="A313:AI328"/>
    <mergeCell ref="A330:E330"/>
    <mergeCell ref="F330:AB330"/>
    <mergeCell ref="AC330:AI330"/>
    <mergeCell ref="A304:C304"/>
    <mergeCell ref="J304:M304"/>
    <mergeCell ref="AD304:AI304"/>
    <mergeCell ref="A306:C307"/>
    <mergeCell ref="D306:AC307"/>
    <mergeCell ref="AD306:AI310"/>
    <mergeCell ref="A308:C308"/>
    <mergeCell ref="P308:T308"/>
    <mergeCell ref="A309:C309"/>
    <mergeCell ref="P309:T309"/>
    <mergeCell ref="A301:C301"/>
    <mergeCell ref="D301:AC301"/>
    <mergeCell ref="AD301:AI301"/>
    <mergeCell ref="A302:C302"/>
    <mergeCell ref="J302:M302"/>
    <mergeCell ref="A303:C303"/>
    <mergeCell ref="J303:M303"/>
    <mergeCell ref="AD303:AI303"/>
    <mergeCell ref="A299:C299"/>
    <mergeCell ref="D299:AC299"/>
    <mergeCell ref="AD299:AI299"/>
    <mergeCell ref="A300:C300"/>
    <mergeCell ref="D300:U300"/>
    <mergeCell ref="AD300:AI300"/>
    <mergeCell ref="A297:C297"/>
    <mergeCell ref="I297:K297"/>
    <mergeCell ref="N297:W297"/>
    <mergeCell ref="AD297:AI297"/>
    <mergeCell ref="A298:C298"/>
    <mergeCell ref="I298:K298"/>
    <mergeCell ref="N298:AB298"/>
    <mergeCell ref="AD298:AI298"/>
    <mergeCell ref="A295:C295"/>
    <mergeCell ref="E295:G295"/>
    <mergeCell ref="I295:K295"/>
    <mergeCell ref="N295:AA295"/>
    <mergeCell ref="AD295:AI295"/>
    <mergeCell ref="A296:C296"/>
    <mergeCell ref="I296:K296"/>
    <mergeCell ref="N296:AB296"/>
    <mergeCell ref="AD296:AI296"/>
    <mergeCell ref="A293:C293"/>
    <mergeCell ref="P293:S293"/>
    <mergeCell ref="AD293:AI293"/>
    <mergeCell ref="A294:C294"/>
    <mergeCell ref="I294:K294"/>
    <mergeCell ref="N294:T294"/>
    <mergeCell ref="AD294:AI294"/>
    <mergeCell ref="A291:C291"/>
    <mergeCell ref="P291:S291"/>
    <mergeCell ref="AD291:AI291"/>
    <mergeCell ref="A292:C292"/>
    <mergeCell ref="D292:AC292"/>
    <mergeCell ref="AD292:AI292"/>
    <mergeCell ref="A289:C289"/>
    <mergeCell ref="D289:AC289"/>
    <mergeCell ref="AD289:AI289"/>
    <mergeCell ref="A290:C290"/>
    <mergeCell ref="P290:S290"/>
    <mergeCell ref="AD290:AI290"/>
    <mergeCell ref="A287:C287"/>
    <mergeCell ref="F287:G287"/>
    <mergeCell ref="H287:AC287"/>
    <mergeCell ref="AD287:AI288"/>
    <mergeCell ref="A288:C288"/>
    <mergeCell ref="F288:H288"/>
    <mergeCell ref="K288:N288"/>
    <mergeCell ref="Q288:R288"/>
    <mergeCell ref="U288:AB288"/>
    <mergeCell ref="A285:C285"/>
    <mergeCell ref="D285:AC285"/>
    <mergeCell ref="AD285:AI285"/>
    <mergeCell ref="A286:C286"/>
    <mergeCell ref="D286:AC286"/>
    <mergeCell ref="AD286:AI286"/>
    <mergeCell ref="A206:AG207"/>
    <mergeCell ref="A209:AI209"/>
    <mergeCell ref="A210:AI226"/>
    <mergeCell ref="A228:AB228"/>
    <mergeCell ref="AC228:AI228"/>
    <mergeCell ref="A283:E283"/>
    <mergeCell ref="F283:AB283"/>
    <mergeCell ref="AC283:AI283"/>
    <mergeCell ref="A199:C200"/>
    <mergeCell ref="D199:O199"/>
    <mergeCell ref="AD199:AI200"/>
    <mergeCell ref="D200:AC200"/>
    <mergeCell ref="A201:C201"/>
    <mergeCell ref="D201:L201"/>
    <mergeCell ref="N201:R201"/>
    <mergeCell ref="AD196:AI196"/>
    <mergeCell ref="A197:AI197"/>
    <mergeCell ref="A198:C198"/>
    <mergeCell ref="D198:I198"/>
    <mergeCell ref="J198:V198"/>
    <mergeCell ref="AA198:AC198"/>
    <mergeCell ref="AD198:AI198"/>
    <mergeCell ref="A195:C195"/>
    <mergeCell ref="D195:P195"/>
    <mergeCell ref="R195:U195"/>
    <mergeCell ref="AD195:AI195"/>
    <mergeCell ref="A196:C196"/>
    <mergeCell ref="D196:J196"/>
    <mergeCell ref="L196:M196"/>
    <mergeCell ref="N196:R196"/>
    <mergeCell ref="T196:W196"/>
    <mergeCell ref="X196:Y196"/>
    <mergeCell ref="AD192:AI192"/>
    <mergeCell ref="A193:C193"/>
    <mergeCell ref="D193:M193"/>
    <mergeCell ref="N193:R193"/>
    <mergeCell ref="AD193:AI193"/>
    <mergeCell ref="A194:C194"/>
    <mergeCell ref="D194:M194"/>
    <mergeCell ref="N194:R194"/>
    <mergeCell ref="AD194:AI194"/>
    <mergeCell ref="A191:C191"/>
    <mergeCell ref="D191:P191"/>
    <mergeCell ref="R191:U191"/>
    <mergeCell ref="A192:C192"/>
    <mergeCell ref="D192:R192"/>
    <mergeCell ref="T192:X192"/>
    <mergeCell ref="A187:C190"/>
    <mergeCell ref="D187:I190"/>
    <mergeCell ref="K187:Q187"/>
    <mergeCell ref="S187:T187"/>
    <mergeCell ref="K188:Q188"/>
    <mergeCell ref="S188:T188"/>
    <mergeCell ref="K189:Q189"/>
    <mergeCell ref="S189:T189"/>
    <mergeCell ref="K190:Q190"/>
    <mergeCell ref="S190:T190"/>
    <mergeCell ref="A185:C185"/>
    <mergeCell ref="D185:H185"/>
    <mergeCell ref="J185:L185"/>
    <mergeCell ref="M185:Q185"/>
    <mergeCell ref="AD185:AI185"/>
    <mergeCell ref="A186:C186"/>
    <mergeCell ref="D186:H186"/>
    <mergeCell ref="J186:L186"/>
    <mergeCell ref="M186:Q186"/>
    <mergeCell ref="AD186:AI186"/>
    <mergeCell ref="T183:W183"/>
    <mergeCell ref="X183:AA183"/>
    <mergeCell ref="AD183:AI183"/>
    <mergeCell ref="A184:C184"/>
    <mergeCell ref="D184:I184"/>
    <mergeCell ref="K184:M184"/>
    <mergeCell ref="O184:R184"/>
    <mergeCell ref="S184:V184"/>
    <mergeCell ref="AD184:AI184"/>
    <mergeCell ref="A182:C182"/>
    <mergeCell ref="D182:I182"/>
    <mergeCell ref="M182:N182"/>
    <mergeCell ref="A183:C183"/>
    <mergeCell ref="D183:M183"/>
    <mergeCell ref="O183:Q183"/>
    <mergeCell ref="AD179:AI179"/>
    <mergeCell ref="A180:AI180"/>
    <mergeCell ref="A181:C181"/>
    <mergeCell ref="D181:K181"/>
    <mergeCell ref="M181:N181"/>
    <mergeCell ref="AD181:AI181"/>
    <mergeCell ref="A178:C178"/>
    <mergeCell ref="D178:I178"/>
    <mergeCell ref="K178:L178"/>
    <mergeCell ref="A179:C179"/>
    <mergeCell ref="D179:O179"/>
    <mergeCell ref="Q179:U179"/>
    <mergeCell ref="A175:C177"/>
    <mergeCell ref="D175:I175"/>
    <mergeCell ref="K175:P175"/>
    <mergeCell ref="Q175:R175"/>
    <mergeCell ref="AD175:AI177"/>
    <mergeCell ref="K176:P176"/>
    <mergeCell ref="Q176:R176"/>
    <mergeCell ref="K177:P177"/>
    <mergeCell ref="Q177:R177"/>
    <mergeCell ref="A171:AI171"/>
    <mergeCell ref="A172:C174"/>
    <mergeCell ref="D172:L172"/>
    <mergeCell ref="S172:T172"/>
    <mergeCell ref="X172:Z172"/>
    <mergeCell ref="AD172:AI174"/>
    <mergeCell ref="D173:Q173"/>
    <mergeCell ref="S173:T173"/>
    <mergeCell ref="D174:Q174"/>
    <mergeCell ref="S174:T174"/>
    <mergeCell ref="A168:E168"/>
    <mergeCell ref="F168:AB168"/>
    <mergeCell ref="AC168:AI168"/>
    <mergeCell ref="A170:C170"/>
    <mergeCell ref="D170:AC170"/>
    <mergeCell ref="AD170:AI170"/>
    <mergeCell ref="A102:AI102"/>
    <mergeCell ref="A103:AI111"/>
    <mergeCell ref="A113:E113"/>
    <mergeCell ref="F113:AB113"/>
    <mergeCell ref="AC113:AI113"/>
    <mergeCell ref="A116:AI166"/>
    <mergeCell ref="D96:K96"/>
    <mergeCell ref="P96:Q96"/>
    <mergeCell ref="S96:Z96"/>
    <mergeCell ref="AB96:AC96"/>
    <mergeCell ref="D97:O97"/>
    <mergeCell ref="P97:Q97"/>
    <mergeCell ref="D94:K94"/>
    <mergeCell ref="P94:Q94"/>
    <mergeCell ref="D95:K95"/>
    <mergeCell ref="P95:Q95"/>
    <mergeCell ref="S95:Z95"/>
    <mergeCell ref="AB95:AC95"/>
    <mergeCell ref="A87:G87"/>
    <mergeCell ref="H87:Q87"/>
    <mergeCell ref="S87:Y87"/>
    <mergeCell ref="Z87:AI87"/>
    <mergeCell ref="S89:Y89"/>
    <mergeCell ref="Z89:AI89"/>
    <mergeCell ref="A83:G83"/>
    <mergeCell ref="H83:Q83"/>
    <mergeCell ref="S83:Y83"/>
    <mergeCell ref="Z83:AI83"/>
    <mergeCell ref="A85:G85"/>
    <mergeCell ref="H85:Q85"/>
    <mergeCell ref="S85:Y85"/>
    <mergeCell ref="Z85:AI85"/>
    <mergeCell ref="A79:D79"/>
    <mergeCell ref="E79:K79"/>
    <mergeCell ref="O79:Q79"/>
    <mergeCell ref="S79:Y79"/>
    <mergeCell ref="Z79:AI79"/>
    <mergeCell ref="A81:D81"/>
    <mergeCell ref="E81:K81"/>
    <mergeCell ref="O81:Q81"/>
    <mergeCell ref="S81:Y81"/>
    <mergeCell ref="Z81:AI81"/>
    <mergeCell ref="A74:G74"/>
    <mergeCell ref="H74:Q75"/>
    <mergeCell ref="S74:Y74"/>
    <mergeCell ref="Z74:AI75"/>
    <mergeCell ref="A77:G77"/>
    <mergeCell ref="H77:Q77"/>
    <mergeCell ref="S77:Y77"/>
    <mergeCell ref="Z77:AI77"/>
    <mergeCell ref="A62:M62"/>
    <mergeCell ref="N62:AI64"/>
    <mergeCell ref="A66:G66"/>
    <mergeCell ref="H66:AI69"/>
    <mergeCell ref="A71:G71"/>
    <mergeCell ref="H71:Q72"/>
    <mergeCell ref="S71:Y71"/>
    <mergeCell ref="Z71:AI72"/>
    <mergeCell ref="D27:AF32"/>
    <mergeCell ref="A58:E58"/>
    <mergeCell ref="F58:AB58"/>
    <mergeCell ref="AC58:AI58"/>
    <mergeCell ref="A60:F60"/>
    <mergeCell ref="G60:AI60"/>
    <mergeCell ref="AE1:AI1"/>
    <mergeCell ref="A9:AI10"/>
    <mergeCell ref="A19:AI19"/>
    <mergeCell ref="A22:C23"/>
    <mergeCell ref="D22:AF23"/>
    <mergeCell ref="AG22:AI23"/>
    <mergeCell ref="H1:I1"/>
    <mergeCell ref="K1:M1"/>
    <mergeCell ref="O1:Q1"/>
    <mergeCell ref="S1:U1"/>
    <mergeCell ref="W1:Y1"/>
    <mergeCell ref="AB1:AD1"/>
  </mergeCells>
  <conditionalFormatting sqref="J511">
    <cfRule type="expression" dxfId="175" priority="133">
      <formula>AND($T$185="Yes",$J$511&gt;75)</formula>
    </cfRule>
    <cfRule type="expression" dxfId="174" priority="141">
      <formula>AND(ISNUMBER($J$511),OR($J$511&lt;65,$J$511&gt;120))</formula>
    </cfRule>
  </conditionalFormatting>
  <conditionalFormatting sqref="J512">
    <cfRule type="expression" dxfId="173" priority="132">
      <formula>AND($T$185="Yes",$J$512&gt;75)</formula>
    </cfRule>
    <cfRule type="cellIs" dxfId="172" priority="140" operator="lessThan">
      <formula>50</formula>
    </cfRule>
  </conditionalFormatting>
  <conditionalFormatting sqref="K514">
    <cfRule type="expression" dxfId="171" priority="131">
      <formula>AND($T$185="Yes",$K$514&gt;0)</formula>
    </cfRule>
    <cfRule type="expression" dxfId="170" priority="139">
      <formula>AND(ISNUMBER($K$514),$K$514&gt;120)</formula>
    </cfRule>
  </conditionalFormatting>
  <conditionalFormatting sqref="K556">
    <cfRule type="expression" dxfId="169" priority="138">
      <formula>AND(ISNUMBER($K$556),OR($K$556&gt;150,$K$556&lt;30))</formula>
    </cfRule>
  </conditionalFormatting>
  <conditionalFormatting sqref="BD434">
    <cfRule type="cellIs" dxfId="168" priority="134" operator="lessThan">
      <formula>30</formula>
    </cfRule>
  </conditionalFormatting>
  <conditionalFormatting sqref="AV433:AV435">
    <cfRule type="cellIs" dxfId="167" priority="137" operator="lessThan">
      <formula>30</formula>
    </cfRule>
  </conditionalFormatting>
  <conditionalFormatting sqref="AV434">
    <cfRule type="cellIs" dxfId="166" priority="136" operator="lessThan">
      <formula>30</formula>
    </cfRule>
  </conditionalFormatting>
  <conditionalFormatting sqref="BD433:BD435">
    <cfRule type="cellIs" dxfId="165" priority="135" operator="lessThan">
      <formula>30</formula>
    </cfRule>
  </conditionalFormatting>
  <conditionalFormatting sqref="K515">
    <cfRule type="expression" dxfId="164" priority="130">
      <formula>AND($T$185="Yes",$K$515&gt;0)</formula>
    </cfRule>
  </conditionalFormatting>
  <conditionalFormatting sqref="P517">
    <cfRule type="expression" dxfId="163" priority="128">
      <formula>AND($T$185="Yes",$P$517&gt;13)</formula>
    </cfRule>
    <cfRule type="expression" dxfId="162" priority="129">
      <formula>AND(ISNUMBER($P$517),$P$517&gt;25)</formula>
    </cfRule>
  </conditionalFormatting>
  <conditionalFormatting sqref="P518">
    <cfRule type="expression" dxfId="161" priority="126">
      <formula>AND($T$185="Yes",$P$518&lt;-7)</formula>
    </cfRule>
    <cfRule type="expression" dxfId="160" priority="127">
      <formula>AND(ISNUMBER($P$518),$P$518&lt;-25)</formula>
    </cfRule>
  </conditionalFormatting>
  <conditionalFormatting sqref="J864">
    <cfRule type="expression" dxfId="159" priority="125">
      <formula>AND(ISNUMBER($J$864),OR($J$864&lt;50,$J$864&gt;150))</formula>
    </cfRule>
  </conditionalFormatting>
  <conditionalFormatting sqref="V864">
    <cfRule type="expression" dxfId="158" priority="124">
      <formula>AND(ISNUMBER($V$864),OR($V$864&lt;50,$V$864&gt;150))</formula>
    </cfRule>
  </conditionalFormatting>
  <conditionalFormatting sqref="J868">
    <cfRule type="expression" dxfId="157" priority="122">
      <formula>AND(ISNUMBER($J$868),$AA$198="Urban",OR($J$868&lt;2,$J$868&gt;3))</formula>
    </cfRule>
    <cfRule type="expression" dxfId="156" priority="123">
      <formula>AND(ISNUMBER($J$868),$AA$198="Rural",OR($J$868&lt;1.5,$J$868&gt;2.5))</formula>
    </cfRule>
  </conditionalFormatting>
  <conditionalFormatting sqref="V868">
    <cfRule type="expression" dxfId="155" priority="120">
      <formula>AND(ISNUMBER($V$868),$AA$198="Urban",OR($V$868&lt;2,$V$868&gt;3))</formula>
    </cfRule>
    <cfRule type="expression" dxfId="154" priority="121">
      <formula>AND(ISNUMBER($V$868),$AA$198="Rural",OR($V$868&lt;1.5,$V$868&gt;2.5))</formula>
    </cfRule>
  </conditionalFormatting>
  <conditionalFormatting sqref="V866">
    <cfRule type="expression" dxfId="153" priority="142">
      <formula>AND(ISNUMBER($V$866),OR($V$866&lt;$AN$908,$V$866&gt;$AS$908))</formula>
    </cfRule>
  </conditionalFormatting>
  <conditionalFormatting sqref="J866">
    <cfRule type="expression" dxfId="152" priority="143">
      <formula>AND(ISNUMBER($J$866),OR($J$866&lt;$AN$907,$J$866&gt;$AS$907))</formula>
    </cfRule>
  </conditionalFormatting>
  <conditionalFormatting sqref="R1199:S1199">
    <cfRule type="expression" dxfId="151" priority="119">
      <formula>AND(ISNUMBER($R$1199),$R$1199&lt;$R$1190)</formula>
    </cfRule>
  </conditionalFormatting>
  <conditionalFormatting sqref="J1426">
    <cfRule type="expression" dxfId="150" priority="118">
      <formula>AND(ISNUMBER($J$1426),$J$1426&gt;1)</formula>
    </cfRule>
  </conditionalFormatting>
  <conditionalFormatting sqref="V1426">
    <cfRule type="expression" dxfId="149" priority="117">
      <formula>AND(ISNUMBER($V$1426),$V$1426&gt;1)</formula>
    </cfRule>
  </conditionalFormatting>
  <conditionalFormatting sqref="R542">
    <cfRule type="expression" dxfId="148" priority="116">
      <formula>AND(ISNUMBER($R$542),ABS($R$542)&gt;0.02)</formula>
    </cfRule>
  </conditionalFormatting>
  <conditionalFormatting sqref="J543">
    <cfRule type="expression" dxfId="147" priority="115">
      <formula>AND(ISNUMBER($J$543),ABS($J$543)&gt;0.05)</formula>
    </cfRule>
  </conditionalFormatting>
  <conditionalFormatting sqref="R543">
    <cfRule type="expression" dxfId="146" priority="114">
      <formula>AND(ISNUMBER($R$543),ABS($R$543)&gt;0.05)</formula>
    </cfRule>
  </conditionalFormatting>
  <conditionalFormatting sqref="I1315">
    <cfRule type="expression" dxfId="145" priority="113">
      <formula>AND(ISNUMBER($I$1315),$I$1315&gt;3.6)</formula>
    </cfRule>
  </conditionalFormatting>
  <conditionalFormatting sqref="T1315">
    <cfRule type="expression" dxfId="144" priority="112">
      <formula>AND(ISNUMBER($T$1315),$T$1315&gt;3.6)</formula>
    </cfRule>
  </conditionalFormatting>
  <conditionalFormatting sqref="J1427:J1428">
    <cfRule type="expression" dxfId="143" priority="111">
      <formula>AND(ISNUMBER($J$1427),OR($J$1427&lt;10,$J$1427&gt;15))</formula>
    </cfRule>
  </conditionalFormatting>
  <conditionalFormatting sqref="U1427:U1428">
    <cfRule type="expression" dxfId="142" priority="110">
      <formula>AND(ISNUMBER($U$1427),OR($U$1427&lt;6,$U$1427&gt;12))</formula>
    </cfRule>
  </conditionalFormatting>
  <conditionalFormatting sqref="U858">
    <cfRule type="expression" dxfId="141" priority="109">
      <formula>AND($U$858="No",$U$860="Yes")</formula>
    </cfRule>
  </conditionalFormatting>
  <conditionalFormatting sqref="Q1322">
    <cfRule type="expression" dxfId="140" priority="108">
      <formula>IF(AND(ISNUMBER($Q$1322)),OR($Q$1322&lt;5.2,$Q$1322&gt;6))</formula>
    </cfRule>
  </conditionalFormatting>
  <conditionalFormatting sqref="Z1322">
    <cfRule type="expression" dxfId="139" priority="107">
      <formula>IF(AND(ISNUMBER($Z$1322)),OR($Z$1322&lt;5.2,$Z$1322&gt;6))</formula>
    </cfRule>
  </conditionalFormatting>
  <conditionalFormatting sqref="Y1223">
    <cfRule type="expression" dxfId="138" priority="144">
      <formula>$Y$1223="No"</formula>
    </cfRule>
  </conditionalFormatting>
  <conditionalFormatting sqref="O384:P384">
    <cfRule type="expression" dxfId="137" priority="106">
      <formula>AND($O$384&gt;0,$O$384&lt;=30)</formula>
    </cfRule>
  </conditionalFormatting>
  <conditionalFormatting sqref="W384:X384">
    <cfRule type="expression" dxfId="136" priority="105">
      <formula>AND($W$384&gt;0,$W$384&lt;=30)</formula>
    </cfRule>
  </conditionalFormatting>
  <conditionalFormatting sqref="O385:P385">
    <cfRule type="expression" dxfId="135" priority="104">
      <formula>AND($O$385&gt;0,$O$385&lt;=60)</formula>
    </cfRule>
  </conditionalFormatting>
  <conditionalFormatting sqref="W385:X385">
    <cfRule type="expression" dxfId="134" priority="103">
      <formula>AND($W$385&gt;0,$W$385&lt;=60)</formula>
    </cfRule>
  </conditionalFormatting>
  <conditionalFormatting sqref="O386:P386">
    <cfRule type="expression" dxfId="133" priority="102">
      <formula>AND($O$386&gt;0,$O$386&lt;=30)</formula>
    </cfRule>
  </conditionalFormatting>
  <conditionalFormatting sqref="W386:X386">
    <cfRule type="expression" dxfId="132" priority="101">
      <formula>AND($W$386&gt;0,$W$386&lt;=30)</formula>
    </cfRule>
  </conditionalFormatting>
  <conditionalFormatting sqref="G502">
    <cfRule type="expression" dxfId="131" priority="100">
      <formula>AND(ISNUMBER($G$502),$G$502&lt;0.5)</formula>
    </cfRule>
  </conditionalFormatting>
  <conditionalFormatting sqref="R502">
    <cfRule type="expression" dxfId="130" priority="99">
      <formula>AND(ISNUMBER($R$502),$R$502&lt;0.5)</formula>
    </cfRule>
  </conditionalFormatting>
  <conditionalFormatting sqref="I537">
    <cfRule type="expression" dxfId="129" priority="98">
      <formula>$I$537="No"</formula>
    </cfRule>
  </conditionalFormatting>
  <conditionalFormatting sqref="U537">
    <cfRule type="expression" dxfId="128" priority="97">
      <formula>$U$537="No"</formula>
    </cfRule>
  </conditionalFormatting>
  <conditionalFormatting sqref="I539">
    <cfRule type="expression" dxfId="127" priority="96">
      <formula>$I$539="No"</formula>
    </cfRule>
  </conditionalFormatting>
  <conditionalFormatting sqref="U539">
    <cfRule type="expression" dxfId="126" priority="95">
      <formula>$U$539="No"</formula>
    </cfRule>
  </conditionalFormatting>
  <conditionalFormatting sqref="J542">
    <cfRule type="expression" dxfId="125" priority="94">
      <formula>AND(ISNUMBER($J$542),$J$542&gt;0.02)</formula>
    </cfRule>
  </conditionalFormatting>
  <conditionalFormatting sqref="J544">
    <cfRule type="expression" dxfId="124" priority="93">
      <formula>AND(ISNUMBER($J$544),$J$544&gt;0.05)</formula>
    </cfRule>
  </conditionalFormatting>
  <conditionalFormatting sqref="R544">
    <cfRule type="expression" dxfId="123" priority="92">
      <formula>AND(ISNUMBER($R$544),$R$544&gt;0.05)</formula>
    </cfRule>
  </conditionalFormatting>
  <conditionalFormatting sqref="J545">
    <cfRule type="expression" dxfId="122" priority="91">
      <formula>OR(AND(ISNUMBER($J$545),$J$545&gt;0.02),AND(ISNUMBER($J$545),$J$545&gt;0.01,$T$192="Yes"))</formula>
    </cfRule>
  </conditionalFormatting>
  <conditionalFormatting sqref="R545">
    <cfRule type="expression" dxfId="121" priority="90">
      <formula>OR(AND(ISNUMBER($R$545),$R$545&gt;0.01,$T$192="Yes"))</formula>
    </cfRule>
  </conditionalFormatting>
  <conditionalFormatting sqref="I553">
    <cfRule type="expression" dxfId="120" priority="89">
      <formula>$I$553="No"</formula>
    </cfRule>
  </conditionalFormatting>
  <conditionalFormatting sqref="U553">
    <cfRule type="expression" dxfId="119" priority="88">
      <formula>$U$553="No"</formula>
    </cfRule>
  </conditionalFormatting>
  <conditionalFormatting sqref="P559:T559">
    <cfRule type="expression" dxfId="118" priority="87">
      <formula>$P$559="Yes"</formula>
    </cfRule>
  </conditionalFormatting>
  <conditionalFormatting sqref="M646">
    <cfRule type="expression" dxfId="117" priority="86">
      <formula>AND(ISNUMBER($M$646),ISNUMBER($M$645),$M$646&lt;$M$645)</formula>
    </cfRule>
  </conditionalFormatting>
  <conditionalFormatting sqref="Y662:AC664">
    <cfRule type="expression" dxfId="116" priority="85">
      <formula>$Y$662="Yes"</formula>
    </cfRule>
  </conditionalFormatting>
  <conditionalFormatting sqref="Q1303">
    <cfRule type="expression" dxfId="115" priority="84">
      <formula>$Q$1303="No"</formula>
    </cfRule>
  </conditionalFormatting>
  <conditionalFormatting sqref="I1306">
    <cfRule type="expression" dxfId="114" priority="83">
      <formula>$I$1306="No"</formula>
    </cfRule>
  </conditionalFormatting>
  <conditionalFormatting sqref="T1306">
    <cfRule type="expression" dxfId="113" priority="82">
      <formula>$T$1306="No"</formula>
    </cfRule>
  </conditionalFormatting>
  <conditionalFormatting sqref="I1308">
    <cfRule type="expression" dxfId="112" priority="81">
      <formula>$I$1308="Yes"</formula>
    </cfRule>
  </conditionalFormatting>
  <conditionalFormatting sqref="T1308">
    <cfRule type="expression" dxfId="111" priority="80">
      <formula>$T$1308="Yes"</formula>
    </cfRule>
  </conditionalFormatting>
  <conditionalFormatting sqref="I1310">
    <cfRule type="expression" dxfId="110" priority="79">
      <formula>$I$1310="No"</formula>
    </cfRule>
  </conditionalFormatting>
  <conditionalFormatting sqref="T1310">
    <cfRule type="expression" dxfId="109" priority="78">
      <formula>$T$1310="No"</formula>
    </cfRule>
  </conditionalFormatting>
  <conditionalFormatting sqref="Q1319">
    <cfRule type="expression" dxfId="108" priority="77">
      <formula>$Q$1319="No"</formula>
    </cfRule>
  </conditionalFormatting>
  <conditionalFormatting sqref="X1422">
    <cfRule type="expression" dxfId="107" priority="76">
      <formula>"AND(ISNUMBER($W$1307),ISNUMBER($F$1304),$W$1307&lt;$F$1304)"</formula>
    </cfRule>
  </conditionalFormatting>
  <conditionalFormatting sqref="I1424">
    <cfRule type="expression" dxfId="106" priority="75">
      <formula>$I$1424="No"</formula>
    </cfRule>
  </conditionalFormatting>
  <conditionalFormatting sqref="U1424">
    <cfRule type="expression" dxfId="105" priority="74">
      <formula>$U$1424="No"</formula>
    </cfRule>
  </conditionalFormatting>
  <conditionalFormatting sqref="Z1429:AB1430">
    <cfRule type="expression" dxfId="104" priority="73">
      <formula>$Z$1429="No"</formula>
    </cfRule>
  </conditionalFormatting>
  <conditionalFormatting sqref="H1496">
    <cfRule type="expression" dxfId="103" priority="72">
      <formula>$H$1496="No"</formula>
    </cfRule>
  </conditionalFormatting>
  <conditionalFormatting sqref="S1496">
    <cfRule type="expression" dxfId="102" priority="71">
      <formula>$S$1496="No"</formula>
    </cfRule>
  </conditionalFormatting>
  <conditionalFormatting sqref="J745">
    <cfRule type="expression" dxfId="101" priority="70">
      <formula>$J$745="No"</formula>
    </cfRule>
  </conditionalFormatting>
  <conditionalFormatting sqref="U745">
    <cfRule type="expression" dxfId="100" priority="69">
      <formula>$U$745="No"</formula>
    </cfRule>
  </conditionalFormatting>
  <conditionalFormatting sqref="J747">
    <cfRule type="expression" dxfId="99" priority="68">
      <formula>$J$747="No"</formula>
    </cfRule>
  </conditionalFormatting>
  <conditionalFormatting sqref="U747">
    <cfRule type="expression" dxfId="98" priority="67">
      <formula>$U$747="No"</formula>
    </cfRule>
  </conditionalFormatting>
  <conditionalFormatting sqref="J786">
    <cfRule type="expression" dxfId="97" priority="66">
      <formula>$J$786="No"</formula>
    </cfRule>
  </conditionalFormatting>
  <conditionalFormatting sqref="U786">
    <cfRule type="expression" dxfId="96" priority="65">
      <formula>$U$786="No"</formula>
    </cfRule>
  </conditionalFormatting>
  <conditionalFormatting sqref="J788">
    <cfRule type="expression" dxfId="95" priority="64">
      <formula>$J$788="No"</formula>
    </cfRule>
  </conditionalFormatting>
  <conditionalFormatting sqref="U788">
    <cfRule type="expression" dxfId="94" priority="63">
      <formula>$U$788="No"</formula>
    </cfRule>
  </conditionalFormatting>
  <conditionalFormatting sqref="Y1629:AC1630">
    <cfRule type="expression" dxfId="93" priority="62">
      <formula>$Y$1629="No"</formula>
    </cfRule>
  </conditionalFormatting>
  <conditionalFormatting sqref="Y1628:AC1628">
    <cfRule type="expression" dxfId="92" priority="61">
      <formula>$Y$1628="No"</formula>
    </cfRule>
  </conditionalFormatting>
  <conditionalFormatting sqref="Y1626:AC1627">
    <cfRule type="expression" dxfId="91" priority="60">
      <formula>$Y$1626="No"</formula>
    </cfRule>
  </conditionalFormatting>
  <conditionalFormatting sqref="Y1625:AC1625">
    <cfRule type="expression" dxfId="90" priority="59">
      <formula>$Y$1625="No"</formula>
    </cfRule>
  </conditionalFormatting>
  <conditionalFormatting sqref="Y1527:AC1527">
    <cfRule type="expression" dxfId="89" priority="58">
      <formula>AND(ISNUMBER($Y$1526),ISNUMBER($Y$1527),$Y$1527&lt;$Y$1526)</formula>
    </cfRule>
  </conditionalFormatting>
  <conditionalFormatting sqref="Y1534">
    <cfRule type="expression" dxfId="88" priority="57">
      <formula>$Y$1534="Yes"</formula>
    </cfRule>
  </conditionalFormatting>
  <conditionalFormatting sqref="Y1535">
    <cfRule type="expression" dxfId="87" priority="56">
      <formula>$Y$1535="No"</formula>
    </cfRule>
  </conditionalFormatting>
  <conditionalFormatting sqref="Y1537">
    <cfRule type="expression" dxfId="86" priority="55">
      <formula>$Y$1537="Yes"</formula>
    </cfRule>
  </conditionalFormatting>
  <conditionalFormatting sqref="T1492">
    <cfRule type="expression" dxfId="85" priority="11">
      <formula>"AND(ISNUMBER($T$1438),ISNUMBER($F$1368),$T$1438&lt;$F$1368)"</formula>
    </cfRule>
    <cfRule type="expression" dxfId="84" priority="54">
      <formula>AND(ISNUMBER($T$1491),ISNUMBER($T$1492),$T$1492&lt;$T$1491)</formula>
    </cfRule>
  </conditionalFormatting>
  <conditionalFormatting sqref="Y1225">
    <cfRule type="expression" dxfId="83" priority="53">
      <formula>$Y$1225="No"</formula>
    </cfRule>
  </conditionalFormatting>
  <conditionalFormatting sqref="Y1227:AB1227 Y1228 Y1230">
    <cfRule type="expression" dxfId="82" priority="52">
      <formula>$Y$1227="No"</formula>
    </cfRule>
  </conditionalFormatting>
  <conditionalFormatting sqref="Y1221:AB1222">
    <cfRule type="expression" dxfId="81" priority="51">
      <formula>$Y$1221="No"</formula>
    </cfRule>
  </conditionalFormatting>
  <conditionalFormatting sqref="Y1199">
    <cfRule type="expression" dxfId="80" priority="50">
      <formula>AND(ISNUMBER($Y$1190),ISNUMBER($Y$1199),$Y$1199&lt;$Y$1190)</formula>
    </cfRule>
  </conditionalFormatting>
  <conditionalFormatting sqref="I1207">
    <cfRule type="expression" dxfId="79" priority="49">
      <formula>$I$1207&gt;100</formula>
    </cfRule>
  </conditionalFormatting>
  <conditionalFormatting sqref="S1207">
    <cfRule type="expression" dxfId="78" priority="48">
      <formula>$S$1207&gt;100</formula>
    </cfRule>
  </conditionalFormatting>
  <conditionalFormatting sqref="Y980">
    <cfRule type="expression" dxfId="77" priority="47">
      <formula>$Y$980="No"</formula>
    </cfRule>
  </conditionalFormatting>
  <conditionalFormatting sqref="Y981">
    <cfRule type="expression" dxfId="76" priority="46">
      <formula>$Y$981="No"</formula>
    </cfRule>
  </conditionalFormatting>
  <conditionalFormatting sqref="Y982">
    <cfRule type="expression" dxfId="75" priority="45">
      <formula>$Y$982="No"</formula>
    </cfRule>
  </conditionalFormatting>
  <conditionalFormatting sqref="I965">
    <cfRule type="expression" dxfId="74" priority="44">
      <formula>$I$965="No"</formula>
    </cfRule>
  </conditionalFormatting>
  <conditionalFormatting sqref="U965">
    <cfRule type="expression" dxfId="73" priority="43">
      <formula>$U$965="No"</formula>
    </cfRule>
  </conditionalFormatting>
  <conditionalFormatting sqref="I963">
    <cfRule type="expression" dxfId="72" priority="42">
      <formula>$I$963="No"</formula>
    </cfRule>
  </conditionalFormatting>
  <conditionalFormatting sqref="U963">
    <cfRule type="expression" dxfId="71" priority="41">
      <formula>$U$963="No"</formula>
    </cfRule>
  </conditionalFormatting>
  <conditionalFormatting sqref="I891">
    <cfRule type="expression" dxfId="70" priority="40">
      <formula>$I$891="No"</formula>
    </cfRule>
  </conditionalFormatting>
  <conditionalFormatting sqref="U891">
    <cfRule type="expression" dxfId="69" priority="39">
      <formula>$U$891="No"</formula>
    </cfRule>
  </conditionalFormatting>
  <conditionalFormatting sqref="I862">
    <cfRule type="expression" dxfId="68" priority="38">
      <formula>$I$862="No"</formula>
    </cfRule>
  </conditionalFormatting>
  <conditionalFormatting sqref="U862">
    <cfRule type="expression" dxfId="67" priority="37">
      <formula>$U$862="No"</formula>
    </cfRule>
  </conditionalFormatting>
  <conditionalFormatting sqref="X390">
    <cfRule type="expression" dxfId="66" priority="145">
      <formula>$X$390="Yes"</formula>
    </cfRule>
  </conditionalFormatting>
  <conditionalFormatting sqref="X387">
    <cfRule type="expression" dxfId="65" priority="146">
      <formula>$X$387="Yes"</formula>
    </cfRule>
  </conditionalFormatting>
  <conditionalFormatting sqref="X388">
    <cfRule type="expression" dxfId="64" priority="147">
      <formula>$X$388="Yes"</formula>
    </cfRule>
  </conditionalFormatting>
  <conditionalFormatting sqref="Z488 Y489">
    <cfRule type="expression" dxfId="63" priority="148">
      <formula>$Z$488="No"</formula>
    </cfRule>
  </conditionalFormatting>
  <conditionalFormatting sqref="N654:N655 V654:V655">
    <cfRule type="cellIs" dxfId="62" priority="149" operator="lessThan">
      <formula>$R$653</formula>
    </cfRule>
    <cfRule type="cellIs" dxfId="61" priority="150" operator="lessThan">
      <formula>$R$652</formula>
    </cfRule>
  </conditionalFormatting>
  <conditionalFormatting sqref="X646">
    <cfRule type="expression" dxfId="60" priority="151">
      <formula>AND(ISNUMBER($X$646),ISNUMBER($X$645),$X$646&lt;$X$645)</formula>
    </cfRule>
  </conditionalFormatting>
  <conditionalFormatting sqref="U1524">
    <cfRule type="expression" dxfId="59" priority="152">
      <formula>AND($U$1524="Not Interconnected",$Y$1517="Yes")</formula>
    </cfRule>
  </conditionalFormatting>
  <conditionalFormatting sqref="Y1530">
    <cfRule type="expression" dxfId="58" priority="153">
      <formula>$Y$1530="No"</formula>
    </cfRule>
  </conditionalFormatting>
  <conditionalFormatting sqref="Y1532">
    <cfRule type="expression" dxfId="57" priority="154">
      <formula>$Y$1532="No"</formula>
    </cfRule>
  </conditionalFormatting>
  <conditionalFormatting sqref="Y1622">
    <cfRule type="expression" dxfId="56" priority="155">
      <formula>$Y$1622="Yes"</formula>
    </cfRule>
  </conditionalFormatting>
  <conditionalFormatting sqref="Y1619:AC1619">
    <cfRule type="expression" dxfId="55" priority="156">
      <formula>AND($Y$1619="Yes",OR($Y$1622="Yes",$Y$1625="No",$Y$1626="No",$Y$1628="No",$Y$1629="No"))</formula>
    </cfRule>
  </conditionalFormatting>
  <conditionalFormatting sqref="Y1620:AC1620">
    <cfRule type="expression" dxfId="54" priority="157">
      <formula>AND($Y$1620="Yes",OR($Y$1622="Yes",$Y$1625="No",$Y$1626="No",$Y$1628="No",$Y$1629="No"))</formula>
    </cfRule>
  </conditionalFormatting>
  <conditionalFormatting sqref="J782">
    <cfRule type="expression" dxfId="53" priority="158">
      <formula>AND($J$782="No",$J$784="Yes")</formula>
    </cfRule>
  </conditionalFormatting>
  <conditionalFormatting sqref="U782">
    <cfRule type="expression" dxfId="52" priority="159">
      <formula>AND($U$782="No",$U$784="Yes")</formula>
    </cfRule>
  </conditionalFormatting>
  <conditionalFormatting sqref="I858">
    <cfRule type="expression" dxfId="51" priority="160">
      <formula>AND($I$858="No",$I$860="Yes")</formula>
    </cfRule>
  </conditionalFormatting>
  <conditionalFormatting sqref="U887">
    <cfRule type="expression" dxfId="50" priority="161">
      <formula>AND($U$887="No",$U$889="Yes")</formula>
    </cfRule>
  </conditionalFormatting>
  <conditionalFormatting sqref="I887">
    <cfRule type="expression" dxfId="49" priority="162">
      <formula>AND($I$887="No",$I$889="Yes")</formula>
    </cfRule>
  </conditionalFormatting>
  <conditionalFormatting sqref="U959">
    <cfRule type="expression" dxfId="48" priority="163">
      <formula>AND($U$959="No",$U$961="Yes")</formula>
    </cfRule>
  </conditionalFormatting>
  <conditionalFormatting sqref="I959">
    <cfRule type="expression" dxfId="47" priority="164">
      <formula>AND($I$959="No",$I$961="Yes")</formula>
    </cfRule>
  </conditionalFormatting>
  <conditionalFormatting sqref="T1326">
    <cfRule type="expression" dxfId="46" priority="165">
      <formula>AND($Z$1217="No",$T$1326="Yes")</formula>
    </cfRule>
  </conditionalFormatting>
  <conditionalFormatting sqref="I1326">
    <cfRule type="expression" dxfId="45" priority="166">
      <formula>AND($O$1217="No",$I$1326="Yes")</formula>
    </cfRule>
  </conditionalFormatting>
  <conditionalFormatting sqref="I759">
    <cfRule type="expression" dxfId="44" priority="36">
      <formula>AND(ISNUMBER($I$759),OR($I$759&lt;2,$I$759&gt;3))</formula>
    </cfRule>
  </conditionalFormatting>
  <conditionalFormatting sqref="T759">
    <cfRule type="expression" dxfId="43" priority="35">
      <formula>AND(ISNUMBER($T$759),OR($T$759&lt;2,$T$759&gt;3))</formula>
    </cfRule>
  </conditionalFormatting>
  <conditionalFormatting sqref="I757">
    <cfRule type="expression" dxfId="42" priority="34">
      <formula>AND(ISNUMBER($I$757),OR($I$757&lt;2,$I$757&gt;4.5))</formula>
    </cfRule>
  </conditionalFormatting>
  <conditionalFormatting sqref="T757">
    <cfRule type="expression" dxfId="41" priority="33">
      <formula>AND(ISNUMBER($T$757),OR($T$757&lt;2,$T$757&gt;4.5))</formula>
    </cfRule>
  </conditionalFormatting>
  <conditionalFormatting sqref="I754">
    <cfRule type="expression" dxfId="40" priority="32">
      <formula>AND(ISNUMBER($I$754),$I$754&lt;3)</formula>
    </cfRule>
  </conditionalFormatting>
  <conditionalFormatting sqref="T754">
    <cfRule type="expression" dxfId="39" priority="31">
      <formula>AND(ISNUMBER($T$754),$T$754&lt;3)</formula>
    </cfRule>
  </conditionalFormatting>
  <conditionalFormatting sqref="J921">
    <cfRule type="expression" dxfId="38" priority="29">
      <formula>AND(ISNUMBER($I$861),$AA$169="Urban",OR($I$861&lt;2,$I$861&gt;3))</formula>
    </cfRule>
    <cfRule type="expression" dxfId="37" priority="30">
      <formula>AND(ISNUMBER($I$861),$AA$169="Rural",OR($I$861&lt;1.5,$I$861&gt;2.5))</formula>
    </cfRule>
  </conditionalFormatting>
  <conditionalFormatting sqref="U921">
    <cfRule type="expression" dxfId="36" priority="27">
      <formula>AND(ISNUMBER($T$861),$AA$169="Urban",OR($T$861&lt;2,$T$861&gt;3))</formula>
    </cfRule>
    <cfRule type="expression" dxfId="35" priority="28">
      <formula>AND(ISNUMBER($T$861),$AA$169="Rural",OR($T$861&lt;1.5,$T$861&gt;2.5))</formula>
    </cfRule>
  </conditionalFormatting>
  <conditionalFormatting sqref="J917">
    <cfRule type="expression" dxfId="34" priority="25">
      <formula>AND(ISNUMBER($I$857),OR($I$857&lt;50,$I$857&gt;150))</formula>
    </cfRule>
  </conditionalFormatting>
  <conditionalFormatting sqref="U917">
    <cfRule type="expression" dxfId="33" priority="24">
      <formula>AND(ISNUMBER($T$857),OR($T$857&lt;50,$T$857&gt;150))</formula>
    </cfRule>
  </conditionalFormatting>
  <conditionalFormatting sqref="U919">
    <cfRule type="expression" dxfId="32" priority="26">
      <formula>AND(ISNUMBER($T$859),OR($T$859&lt;$AN$903,$T$859&gt;$AS$903))</formula>
    </cfRule>
  </conditionalFormatting>
  <conditionalFormatting sqref="J940">
    <cfRule type="expression" dxfId="31" priority="21">
      <formula>AND(ISNUMBER($J$940),OR($J$940&lt;3,$J$940&gt;15))</formula>
    </cfRule>
  </conditionalFormatting>
  <conditionalFormatting sqref="V940">
    <cfRule type="expression" dxfId="30" priority="20">
      <formula>AND(ISNUMBER($V$940),OR($V$940&lt;3,$V$940&gt;15))</formula>
    </cfRule>
  </conditionalFormatting>
  <conditionalFormatting sqref="J944">
    <cfRule type="expression" dxfId="29" priority="18">
      <formula>AND(ISNUMBER($J$944),$AA$198="Urban",OR($J$944&lt;2,$J$944&gt;3))</formula>
    </cfRule>
    <cfRule type="expression" dxfId="28" priority="19">
      <formula>AND(ISNUMBER($J$944),$AA$198="Rural",OR($J$944&lt;1.5,$J$944&gt;2.5))</formula>
    </cfRule>
  </conditionalFormatting>
  <conditionalFormatting sqref="V944">
    <cfRule type="expression" dxfId="27" priority="16">
      <formula>AND($S$878="No",ISNUMBER($T$886),$AA$169="Urban",OR($T$886&lt;2,$T$886&gt;3))</formula>
    </cfRule>
    <cfRule type="expression" dxfId="26" priority="17">
      <formula>AND($S$878="No",ISNUMBER($T$814),$AA$169="Rural",OR($T$814&lt;1.5,$T$814&gt;2.5))</formula>
    </cfRule>
  </conditionalFormatting>
  <conditionalFormatting sqref="V942">
    <cfRule type="expression" dxfId="25" priority="22">
      <formula>AND(ISNUMBER($T$884),OR($T$884&lt;$AN$854,$T$884&gt;$AS$854))</formula>
    </cfRule>
  </conditionalFormatting>
  <conditionalFormatting sqref="J942">
    <cfRule type="expression" dxfId="24" priority="23">
      <formula>AND(ISNUMBER($I$884),OR($I$884&lt;$AN$853,$I$884&gt;$AS$853))</formula>
    </cfRule>
  </conditionalFormatting>
  <conditionalFormatting sqref="K751">
    <cfRule type="expression" dxfId="23" priority="15">
      <formula>$K$751="No"</formula>
    </cfRule>
  </conditionalFormatting>
  <conditionalFormatting sqref="K752">
    <cfRule type="expression" dxfId="22" priority="14">
      <formula>$K$752="No"</formula>
    </cfRule>
  </conditionalFormatting>
  <conditionalFormatting sqref="X751">
    <cfRule type="expression" dxfId="21" priority="13">
      <formula>$X$751="No"</formula>
    </cfRule>
  </conditionalFormatting>
  <conditionalFormatting sqref="X752">
    <cfRule type="expression" dxfId="20" priority="12">
      <formula>$X$752="No"</formula>
    </cfRule>
  </conditionalFormatting>
  <conditionalFormatting sqref="J1489:J1490">
    <cfRule type="expression" dxfId="19" priority="167">
      <formula>AND(ISNUMBER($J$1487),ISNUMBER($J$1489),$J$1489&lt;$J$1487)</formula>
    </cfRule>
  </conditionalFormatting>
  <conditionalFormatting sqref="U1489:U1490">
    <cfRule type="expression" dxfId="18" priority="168">
      <formula>AND(ISNUMBER($U$1487),ISNUMBER($U$1489),$U$1489&lt;$U$1487)</formula>
    </cfRule>
  </conditionalFormatting>
  <conditionalFormatting sqref="AA1492">
    <cfRule type="expression" dxfId="17" priority="9">
      <formula>AND(ISNUMBER($AA$1492),ISNUMBER($F$1415),$AA$1492&lt;$F$1415)</formula>
    </cfRule>
    <cfRule type="expression" dxfId="16" priority="10">
      <formula>AND(ISNUMBER($AA$1492),ISNUMBER($AA$1491),$AA$1492&lt;$AA$1491)</formula>
    </cfRule>
  </conditionalFormatting>
  <conditionalFormatting sqref="Y1464">
    <cfRule type="expression" dxfId="15" priority="8">
      <formula>AND($G$398="No",OR($I$405="Yes",$I$403="Yes",$I$408="Yes"))</formula>
    </cfRule>
  </conditionalFormatting>
  <conditionalFormatting sqref="Y1465">
    <cfRule type="expression" dxfId="14" priority="7">
      <formula>AND($G$398="No",OR($I$405="Yes",$I$403="Yes",$I$408="Yes"))</formula>
    </cfRule>
  </conditionalFormatting>
  <conditionalFormatting sqref="M1428">
    <cfRule type="expression" dxfId="13" priority="6">
      <formula>AND(ISNUMBER($J$1426),$J$1426&gt;1)</formula>
    </cfRule>
  </conditionalFormatting>
  <conditionalFormatting sqref="Z1428">
    <cfRule type="expression" dxfId="12" priority="5">
      <formula>AND(ISNUMBER($J$1426),$J$1426&gt;1)</formula>
    </cfRule>
  </conditionalFormatting>
  <conditionalFormatting sqref="O1422:P1422 Z1418:AA1418 Z1422">
    <cfRule type="expression" dxfId="11" priority="169">
      <formula>AND(ISNUMBER($Z$1418),ISNUMBER($F$1415),$Z$1418&lt;$F$1415)</formula>
    </cfRule>
  </conditionalFormatting>
  <conditionalFormatting sqref="Z1419:Z1420">
    <cfRule type="expression" dxfId="10" priority="4">
      <formula>AND(ISNUMBER($Z$1418),ISNUMBER($F$1415),$Z$1418&lt;$F$1415)</formula>
    </cfRule>
  </conditionalFormatting>
  <conditionalFormatting sqref="Y1214">
    <cfRule type="expression" dxfId="9" priority="170">
      <formula>$Y$1214="No"</formula>
    </cfRule>
  </conditionalFormatting>
  <conditionalFormatting sqref="S1205">
    <cfRule type="expression" dxfId="8" priority="171">
      <formula>ROUND($S$1205,1)&lt;ROUND($AT$1256,1)</formula>
    </cfRule>
  </conditionalFormatting>
  <conditionalFormatting sqref="I1205">
    <cfRule type="expression" dxfId="7" priority="172">
      <formula>ROUND($I$1205,1)&lt;ROUND($AT$1255,1)</formula>
    </cfRule>
  </conditionalFormatting>
  <conditionalFormatting sqref="Y1219">
    <cfRule type="expression" dxfId="6" priority="3">
      <formula>$Y$1221="No"</formula>
    </cfRule>
  </conditionalFormatting>
  <conditionalFormatting sqref="N660:N661 V660:V661">
    <cfRule type="cellIs" dxfId="5" priority="1" operator="lessThan">
      <formula>$R$653</formula>
    </cfRule>
    <cfRule type="cellIs" dxfId="4" priority="2" operator="lessThan">
      <formula>$R$652</formula>
    </cfRule>
  </conditionalFormatting>
  <conditionalFormatting sqref="Q1422">
    <cfRule type="expression" dxfId="3" priority="173">
      <formula>$Q$1422="No"</formula>
    </cfRule>
  </conditionalFormatting>
  <conditionalFormatting sqref="O1215">
    <cfRule type="expression" dxfId="2" priority="174">
      <formula>AND($O$1215="No",OR($Y$1121="Yes",$Y$1127="Yes",$Y$1131="Yes",$Y$1135="Yes",$Y$1140="Yes"))</formula>
    </cfRule>
  </conditionalFormatting>
  <conditionalFormatting sqref="Z1215">
    <cfRule type="expression" dxfId="1" priority="175">
      <formula>AND($Z$1215="No",OR($Y$1121="Yes",$Y$1127="Yes",$Y$1131="Yes",$Y$1135="Yes",$Y$1140="Yes"))</formula>
    </cfRule>
  </conditionalFormatting>
  <conditionalFormatting sqref="J919">
    <cfRule type="expression" dxfId="0" priority="176">
      <formula>AND(ISNUMBER($I$859),OR($I$859&lt;$AN$10675,$I$859&gt;$AS$902))</formula>
    </cfRule>
  </conditionalFormatting>
  <dataValidations count="16">
    <dataValidation type="list" allowBlank="1" showInputMessage="1" showErrorMessage="1" sqref="H83:Q83" xr:uid="{71281F2F-B388-45A2-9DA1-CEBDDAA2B4E8}">
      <formula1>"Public, Private (CTA 102-Type), Private (CTA 103-Type),"</formula1>
    </dataValidation>
    <dataValidation type="list" allowBlank="1" showInputMessage="1" showErrorMessage="1" sqref="U1524" xr:uid="{5B21E0A7-6729-4096-AD56-D33E8AC91B06}">
      <formula1>"Not Interconnected, Advance Preemption, Simultaneous Preemption"</formula1>
    </dataValidation>
    <dataValidation type="list" allowBlank="1" showInputMessage="1" showErrorMessage="1" sqref="Y981:AC981" xr:uid="{B0944883-F310-43CC-97AA-96C543E86C1C}">
      <formula1>"Yes, No,N/A"</formula1>
    </dataValidation>
    <dataValidation type="list" errorStyle="information" allowBlank="1" showInputMessage="1" showErrorMessage="1" sqref="J198:V198" xr:uid="{F7AC6CD7-1193-4B89-8D21-40749AF41152}">
      <formula1>"Farm, Residential, Recreational, Industrial, Commercial"</formula1>
    </dataValidation>
    <dataValidation type="list" allowBlank="1" showInputMessage="1" showErrorMessage="1" sqref="H66" xr:uid="{B5BFFA96-7D55-42A9-8A8A-E86485AEDDDF}">
      <formula1>Reasons_for_Sharing_Information</formula1>
    </dataValidation>
    <dataValidation type="list" allowBlank="1" showInputMessage="1" showErrorMessage="1" sqref="H85" xr:uid="{DAF6439C-3CA8-4F95-90FA-77CB93A2B8E1}">
      <formula1>"Active - FLB, Active - FLBG"</formula1>
    </dataValidation>
    <dataValidation type="list" allowBlank="1" showInputMessage="1" showErrorMessage="1" sqref="Z81" xr:uid="{B330AC13-E613-43D5-B925-D1F987C0A980}">
      <formula1>"AB, BC, MB, NB, NL, NS, NT, ON, QC, SK, YT"</formula1>
    </dataValidation>
    <dataValidation type="list" allowBlank="1" showInputMessage="1" showErrorMessage="1" sqref="H1:I1" xr:uid="{0F3A7089-EF56-41B4-9DB4-67E2564B9822}">
      <formula1>"N-S,E-W"</formula1>
    </dataValidation>
    <dataValidation type="list" allowBlank="1" showInputMessage="1" showErrorMessage="1" sqref="Y1214 U891 Q1319 I936 U786 J786 J788 U788 I891 Y1532 I1312 U1424 T1310:X1310 S1496 Y1535 Z1429 Y1629 Y980:AC980 Y982:AC982 T192:X192 Y1530 T1312 I1306:M1306 T1306:X1306 I1310:M1310 I1424 K751:K752 X751:X752 U913 I913 I932 U932 U936 U938 I938 H1496 Z1223:AB1227 Y1223:Y1228 Y1230 Q1422 U1116 U1167" xr:uid="{79910D96-CDB8-4F80-9A1E-F0282B4A9DFB}">
      <formula1>"Yes, No, N/A"</formula1>
    </dataValidation>
    <dataValidation type="list" allowBlank="1" showInputMessage="1" showErrorMessage="1" sqref="G1216 U967 I967 N491:AC491 G1211 G1213:G1214 N493 G1218" xr:uid="{14E56268-1C0E-4474-9C17-4E184EAAE6F6}">
      <formula1>"Good, Fair, Poor"</formula1>
    </dataValidation>
    <dataValidation type="list" allowBlank="1" showInputMessage="1" showErrorMessage="1" sqref="N492" xr:uid="{640887B9-B2DF-4191-8C37-87D8DF20C851}">
      <formula1>"Asphalt, Concrete, Gravel"</formula1>
    </dataValidation>
    <dataValidation type="list" allowBlank="1" showInputMessage="1" showErrorMessage="1" sqref="N490" xr:uid="{C9087823-A116-480E-A8B9-6CF9497A0F3F}">
      <formula1>"Timber, Asphalt, Asphalt and Flange, Concrete, Concrete and Rubber, Rubber, Metal, Unconsolidated, Other"</formula1>
    </dataValidation>
    <dataValidation type="list" allowBlank="1" showInputMessage="1" showErrorMessage="1" sqref="H287" xr:uid="{77C78B3F-27BF-4B68-A088-5BDE2EB24F90}">
      <formula1>CRRGCS_Table_4_1_General_Vehicle_Descriptions</formula1>
    </dataValidation>
    <dataValidation type="list" allowBlank="1" showInputMessage="1" showErrorMessage="1" sqref="Q1303 Q179 U934:Y934 Y1536:Y1537 U862 X387:X388 N193:N194 X300 Y1464:Y1465 I537 U537 I539 N201 Y662 Z488 Y1628 U539 I555 P559 J745 U555 U745 J782 I934:M934 U1209 U782 I858 U889 I862 Y1619:Y1620 I887 U887 U893 I965 I959 U959 I963 U963 U965 R191 I893 U858 Z1212 O1217 U860 O1212 O1210 Z1210 O1215 Z1215 Y1622 X390 Y1534 I889 I1209 T1308 I1308 Z1217 Y1476 I860 Y1471 R195 Y1469 U747 J747 I915 U915 Y1519:AC1523 Y1219 Y1221:AB1222" xr:uid="{23DF67AE-B8F7-4A22-858C-DC4E19192EF3}">
      <formula1>"Yes, No"</formula1>
    </dataValidation>
    <dataValidation type="list" allowBlank="1" showInputMessage="1" showErrorMessage="1" sqref="H87" xr:uid="{C4435A07-39B4-4F8B-8CD9-E0E39E297F9E}">
      <formula1>"Mainline, Industrial Spur, Mainline Spur, Yard, Other"</formula1>
    </dataValidation>
    <dataValidation type="list" allowBlank="1" showInputMessage="1" showErrorMessage="1" sqref="Z85" xr:uid="{E5BAD501-94A2-4C5C-8DE8-B8A1F1AC9DC2}">
      <formula1>$AR$31:$AR$42</formula1>
    </dataValidation>
  </dataValidations>
  <printOptions horizontalCentered="1"/>
  <pageMargins left="0.7" right="0.7" top="0.75" bottom="0.75" header="0.3" footer="0.3"/>
  <pageSetup scale="65" orientation="portrait" r:id="rId1"/>
  <headerFooter>
    <oddFooter>&amp;CActive Public Crossing&amp;RP.&amp;P</oddFooter>
  </headerFooter>
  <rowBreaks count="35" manualBreakCount="35">
    <brk id="56" min="1" max="34" man="1"/>
    <brk id="111" min="1" max="34" man="1"/>
    <brk id="166" min="1" max="34" man="1"/>
    <brk id="226" min="1" max="34" man="1"/>
    <brk id="281" min="1" max="34" man="1"/>
    <brk id="328" min="1" max="34" man="1"/>
    <brk id="377" min="1" max="34" man="1"/>
    <brk id="434" min="1" max="34" man="1"/>
    <brk id="483" min="1" max="34" man="1"/>
    <brk id="531" min="1" max="34" man="1"/>
    <brk id="581" min="1" max="34" man="1"/>
    <brk id="630" min="1" max="34" man="1"/>
    <brk id="687" min="1" max="34" man="1"/>
    <brk id="736" min="1" max="34" man="1"/>
    <brk id="800" min="1" max="34" man="1"/>
    <brk id="849" min="1" max="34" man="1"/>
    <brk id="905" min="1" max="34" man="1"/>
    <brk id="952" min="1" max="34" man="1"/>
    <brk id="1001" min="1" max="34" man="1"/>
    <brk id="1050" min="1" max="34" man="1"/>
    <brk id="1117" min="1" max="34" man="1"/>
    <brk id="1185" min="1" max="34" man="1"/>
    <brk id="1248" min="1" max="34" man="1"/>
    <brk id="1297" min="1" max="34" man="1"/>
    <brk id="1352" min="1" max="34" man="1"/>
    <brk id="1401" min="1" max="34" man="1"/>
    <brk id="1459" min="1" max="34" man="1"/>
    <brk id="1508" min="1" max="34" man="1"/>
    <brk id="1565" min="1" max="34" man="1"/>
    <brk id="1614" min="1" max="34" man="1"/>
    <brk id="1669" min="1" max="34" man="1"/>
    <brk id="1717" min="1" max="34" man="1"/>
    <brk id="1766" min="1" max="34" man="1"/>
    <brk id="1815" min="1" max="34" man="1"/>
    <brk id="1864" min="1" max="34"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357</vt:i4>
      </vt:variant>
    </vt:vector>
  </HeadingPairs>
  <TitlesOfParts>
    <vt:vector size="358" baseType="lpstr">
      <vt:lpstr>Inspection Form Template</vt:lpstr>
      <vt:lpstr>AAWD_Calculate_Advance_Activation_Time_Design_N_or_E_Approach</vt:lpstr>
      <vt:lpstr>AAWD_Calculate_Advance_Activation_Time_Design_S_or_W_Approach</vt:lpstr>
      <vt:lpstr>AAWD_Calculate_Distance_Sign_and_Stop_N_or_E_Approach_Recommended</vt:lpstr>
      <vt:lpstr>AAWD_Calculate_Distance_Sign_and_Stop_S_or_W_Approach_Recommended</vt:lpstr>
      <vt:lpstr>AAWD_Comments</vt:lpstr>
      <vt:lpstr>AAWD_Measure_Distance_Sign_and_Stop_N_or_E_Approach_Actual</vt:lpstr>
      <vt:lpstr>AAWD_Measure_Distance_Sign_and_Stop_S_or_W_Approach_Actual</vt:lpstr>
      <vt:lpstr>AAWD_Observe_Present_N_or_E_Approach</vt:lpstr>
      <vt:lpstr>AAWD_Observe_Present_S_or_W_Approach</vt:lpstr>
      <vt:lpstr>AAWD_Road_AAWD_Sufficient_Activation_Time_N_or_E_Approach</vt:lpstr>
      <vt:lpstr>AAWD_Road_AAWD_Sufficient_Activation_Time_S_or_W_Approach</vt:lpstr>
      <vt:lpstr>AAWD_Warrant_GCR_Lookup_Road_Classification</vt:lpstr>
      <vt:lpstr>AAWD_Warrant_GCR_Observe_Environmental_Condition</vt:lpstr>
      <vt:lpstr>AAWD_Warrant_GCR_Observe_Sightline_Obstruction</vt:lpstr>
      <vt:lpstr>AAWD_Warrant_MUTCD_Lookup_Road_Speed_Limit_Greater_Than_90_km_per_hr</vt:lpstr>
      <vt:lpstr>AAWD_Warrant_MUTCD_Lookup_Significant_Road_Downgrade</vt:lpstr>
      <vt:lpstr>Areas_Without_Train_Whistling_Comments</vt:lpstr>
      <vt:lpstr>Areas_Without_Train_Whistling_Lookup_GCS_12_to_16</vt:lpstr>
      <vt:lpstr>Areas_Without_Train_Whistling_Lookup_GCS_9.2</vt:lpstr>
      <vt:lpstr>Areas_Without_Train_Whistling_Observe_For_Stop_and_Proceed</vt:lpstr>
      <vt:lpstr>Areas_Without_Train_Whistling_Observe_Trespassing_Area</vt:lpstr>
      <vt:lpstr>Areas_Without_Train_Whistling_Rail_Anti_Whistling_Zone</vt:lpstr>
      <vt:lpstr>Areas_Without_Train_Whistling_Rail_Anti_Whistling_Zone_24_Hrs</vt:lpstr>
      <vt:lpstr>Areas_Without_Train_Whistling_Requirements_Observe_Table_D1</vt:lpstr>
      <vt:lpstr>Collision_History_Comments</vt:lpstr>
      <vt:lpstr>Collision_History_Fatal_Injury</vt:lpstr>
      <vt:lpstr>Collision_History_Fatalities</vt:lpstr>
      <vt:lpstr>Collision_History_Personal_Injuries</vt:lpstr>
      <vt:lpstr>Collision_History_Personal_Injury</vt:lpstr>
      <vt:lpstr>Collision_History_Property_Damage</vt:lpstr>
      <vt:lpstr>Collision_History_Total_5_Year_Period</vt:lpstr>
      <vt:lpstr>Design_Calculate_Adjacent_Track_Clearance_Time</vt:lpstr>
      <vt:lpstr>Design_Calculate_Clearance_Time_Crossing_Pedestrian_Design_Check</vt:lpstr>
      <vt:lpstr>Design_Calculate_Clearance_Time_Crossing_Vehicle_Design_Check</vt:lpstr>
      <vt:lpstr>Design_Calculate_Clearance_Time_Gate_Arm_SSD</vt:lpstr>
      <vt:lpstr>Design_Calculate_Clearance_Time_Gate_Arm_Stop</vt:lpstr>
      <vt:lpstr>Design_Calculate_Vehicle_Travel_Distance</vt:lpstr>
      <vt:lpstr>Design_Considerations_Comments</vt:lpstr>
      <vt:lpstr>Design_Input_Reaction_Time</vt:lpstr>
      <vt:lpstr>Design_Lookup_Design_Vehicle_Class</vt:lpstr>
      <vt:lpstr>Design_Lookup_Design_Vehicle_Length</vt:lpstr>
      <vt:lpstr>Design_Lookup_Grade_Adjustment_Factor</vt:lpstr>
      <vt:lpstr>Design_Lookup_Vehicle_Departure_Time_Crossing</vt:lpstr>
      <vt:lpstr>Design_Lookup_Vehicle_Departure_Time_Gate_Arm_Clearance</vt:lpstr>
      <vt:lpstr>Design_Measure_Adjacent_Track_Clearance_Distance</vt:lpstr>
      <vt:lpstr>Design_Measure_Adjacent_Track_Separation_Distance</vt:lpstr>
      <vt:lpstr>Design_Measure_Clearance_Distance_Pedestrian</vt:lpstr>
      <vt:lpstr>Design_Measure_Clearance_Distance_Vehicle</vt:lpstr>
      <vt:lpstr>Design_Observe_Field_Acceleration_Times_Exceed_Td</vt:lpstr>
      <vt:lpstr>Design_Road_Design_Vehicle_Type</vt:lpstr>
      <vt:lpstr>Design_Road_Max_Approach_Grade_Within_S</vt:lpstr>
      <vt:lpstr>Gates_GCWS_Calculate_Gate_Arm_Clearance_Time_Recommended</vt:lpstr>
      <vt:lpstr>Gates_GCWS_Calculate_Inner_Gate_Arm_Delay_Time_Recommended</vt:lpstr>
      <vt:lpstr>Gates_GCWS_Comments</vt:lpstr>
      <vt:lpstr>Gates_GCWS_Measure_Distance_Between_Gate_End_and_Road_CL_N_or_E_Approach</vt:lpstr>
      <vt:lpstr>Gates_GCWS_Measure_Distance_Between_Gate_End_and_Road_CL_S_or_W_Approach</vt:lpstr>
      <vt:lpstr>Gates_GCWS_Measure_Gate_Ascent_Time</vt:lpstr>
      <vt:lpstr>Gates_GCWS_Measure_Gate_Descent_Time</vt:lpstr>
      <vt:lpstr>Gates_GCWS_Observe_Gate_Arm_Rest</vt:lpstr>
      <vt:lpstr>Gates_GCWS_Observe_Gate_Ascent_Time</vt:lpstr>
      <vt:lpstr>Gates_GCWS_Observe_Gate_Descent_Time</vt:lpstr>
      <vt:lpstr>Gates_GCWS_Observe_Gate_Strips_N_or_E_Approach</vt:lpstr>
      <vt:lpstr>Gates_GCWS_Observe_Gate_Strips_S_or_W_Approach</vt:lpstr>
      <vt:lpstr>Gates_GCWS_Observe_Per_Fig_12.2</vt:lpstr>
      <vt:lpstr>Gates_GCWS_Rail_Gate_Arm_Delay_Time_Design</vt:lpstr>
      <vt:lpstr>Gates_GCWS_Rail_Gate_Arm_Descent_Time_Design</vt:lpstr>
      <vt:lpstr>Gates_GCWS_Rail_Inner_Gate_Arm_Delay_Time_Design</vt:lpstr>
      <vt:lpstr>Gates_GCWS_Warrant_Private_9_4_1_a</vt:lpstr>
      <vt:lpstr>Gates_GCWS_Warrant_Private_9_4_1_b</vt:lpstr>
      <vt:lpstr>Gates_GCWS_Warrant_Private_9_4_1_c</vt:lpstr>
      <vt:lpstr>Gates_GCWS_Warrant_Public_9_2_1_a</vt:lpstr>
      <vt:lpstr>Gates_GCWS_Warrant_Public_9_2_1_b</vt:lpstr>
      <vt:lpstr>Gates_GCWS_Warrant_Public_9_2_1_c</vt:lpstr>
      <vt:lpstr>Gates_GCWS_Warrant_Public_9_2_1_d</vt:lpstr>
      <vt:lpstr>Gates_GCWS_Warrant_Public_9_2_1_e</vt:lpstr>
      <vt:lpstr>Gates_GCWS_Warrant_Sidewalk_9_6</vt:lpstr>
      <vt:lpstr>GCWS_Comments</vt:lpstr>
      <vt:lpstr>GCWS_Measure_Warning_Device_N_or_E_Approach_Distance_From_Rail</vt:lpstr>
      <vt:lpstr>GCWS_Measure_Warning_Device_N_or_E_Approach_Distance_From_Road</vt:lpstr>
      <vt:lpstr>GCWS_Measure_Warning_Device_N_or_E_Approach_Distance_Top_of_Foundation</vt:lpstr>
      <vt:lpstr>GCWS_Measure_Warning_Device_N_or_E_Approach_Slope_From_Foundation</vt:lpstr>
      <vt:lpstr>GCWS_Measure_Warning_Device_S_or_W_Approach_Distance_From_Rail</vt:lpstr>
      <vt:lpstr>GCWS_Measure_Warning_Device_S_or_W_Approach_Distance_From_Road</vt:lpstr>
      <vt:lpstr>GCWS_Measure_Warning_Device_S_or_W_Approach_Distance_Top_of_Foundation</vt:lpstr>
      <vt:lpstr>GCWS_Measure_Warning_Device_S_or_W_Approach_Slope_From_Foundation</vt:lpstr>
      <vt:lpstr>GCWS_Observe_Bell_If_Sidewalk</vt:lpstr>
      <vt:lpstr>GCWS_Observe_Bells_Condition</vt:lpstr>
      <vt:lpstr>GCWS_Observe_Bells_N_or_E_Approach</vt:lpstr>
      <vt:lpstr>GCWS_Observe_Bells_S_or_W_Approach</vt:lpstr>
      <vt:lpstr>GCWS_Observe_Cantilever_Lights_Condition</vt:lpstr>
      <vt:lpstr>GCWS_Observe_Cantilever_Lights_N_or_E_Approach</vt:lpstr>
      <vt:lpstr>GCWS_Observe_Cantilever_Lights_S_or_W_Approach</vt:lpstr>
      <vt:lpstr>GCWS_Observe_Gates_Condition</vt:lpstr>
      <vt:lpstr>GCWS_Observe_Gates_N_or_E_Approach</vt:lpstr>
      <vt:lpstr>GCWS_Observe_Gates_S_or_W_Approach</vt:lpstr>
      <vt:lpstr>GCWS_Observe_GCWS_Limited_Use_With_Walk_Light_Assembly</vt:lpstr>
      <vt:lpstr>GCWS_Observe_GCWS_Limited_Use_Without_Walk_Light_Assembly</vt:lpstr>
      <vt:lpstr>GCWS_Observe_Light_Units_Condition</vt:lpstr>
      <vt:lpstr>GCWS_Observe_Light_Units_N_or_E_Approach</vt:lpstr>
      <vt:lpstr>GCWS_Observe_Light_Units_S_or_W_Approach</vt:lpstr>
      <vt:lpstr>GCWS_Observe_Warning_Time_Consistency</vt:lpstr>
      <vt:lpstr>GCWS_Observe_Warning_Time_Consistency_Reduced_Speed</vt:lpstr>
      <vt:lpstr>GCWS_Rail_Crossing_Warning_Time_Actual</vt:lpstr>
      <vt:lpstr>GCWS_Rail_Cut_Out_Circuit_Requirements</vt:lpstr>
      <vt:lpstr>GCWS_Rail_Design_Approach_Warning_Time</vt:lpstr>
      <vt:lpstr>GCWS_Rail_Design_Warning_Time_Adjacent_Crossing</vt:lpstr>
      <vt:lpstr>GCWS_Rail_Design_Warning_Time_Clearance_Distance</vt:lpstr>
      <vt:lpstr>GCWS_Rail_Design_Warning_Time_Departure_Time_Pedestrian</vt:lpstr>
      <vt:lpstr>GCWS_Rail_Design_Warning_Time_Departure_Time_Vehicle</vt:lpstr>
      <vt:lpstr>GCWS_Rail_Design_Warning_Time_Gate_Arm_Clearance</vt:lpstr>
      <vt:lpstr>GCWS_Rail_Design_Warning_Time_Preemption</vt:lpstr>
      <vt:lpstr>GCWS_Rail_Design_Warning_Time_SSD</vt:lpstr>
      <vt:lpstr>GCWS_Rail_Directional_Stick_Circuit_Requirements</vt:lpstr>
      <vt:lpstr>GCWS_Rail_Self_Diagnostic</vt:lpstr>
      <vt:lpstr>GCWS_Warrant_Private_9_3_1</vt:lpstr>
      <vt:lpstr>GCWS_Warrant_Private_9_3_2_a</vt:lpstr>
      <vt:lpstr>GCWS_Warrant_Private_9_3_2_b</vt:lpstr>
      <vt:lpstr>GCWS_Warrant_Private_9_3_2_c</vt:lpstr>
      <vt:lpstr>GCWS_Warrant_Public_9_1_a</vt:lpstr>
      <vt:lpstr>GCWS_Warrant_Public_9_1_b</vt:lpstr>
      <vt:lpstr>GCWS_Warrant_Public_9_1_c</vt:lpstr>
      <vt:lpstr>GCWS_Warrant_Public_9_1_d_i</vt:lpstr>
      <vt:lpstr>GCWS_Warrant_Public_9_1_d_ii</vt:lpstr>
      <vt:lpstr>GCWS_Warrant_Public_9_1_d_iii</vt:lpstr>
      <vt:lpstr>GCWS_Warrant_Sidewalk_9_5</vt:lpstr>
      <vt:lpstr>GCWS_Warrants_Comments</vt:lpstr>
      <vt:lpstr>General_Info_Comments</vt:lpstr>
      <vt:lpstr>General_Info_Observe_Roadway_Illumination</vt:lpstr>
      <vt:lpstr>General_Info_Observe_Special_Buildings</vt:lpstr>
      <vt:lpstr>General_Info_Observe_Surrounding_Land_Use</vt:lpstr>
      <vt:lpstr>General_Info_Rail_Max_Railway_Operating_Speed_Freight</vt:lpstr>
      <vt:lpstr>General_Info_Rail_Max_Railway_Operating_Speed_Passenger</vt:lpstr>
      <vt:lpstr>General_Info_Rail_No_Tracks_Total</vt:lpstr>
      <vt:lpstr>General_Info_Rail_No_Trains_Per_Day_Freight</vt:lpstr>
      <vt:lpstr>General_Info_Rail_No_Trains_Per_Day_Passengers</vt:lpstr>
      <vt:lpstr>General_Info_Rail_No_Trains_Per_Day_Total</vt:lpstr>
      <vt:lpstr>General_Info_Rail_Railway_Design_Speed</vt:lpstr>
      <vt:lpstr>General_Info_Road_AADT_Current</vt:lpstr>
      <vt:lpstr>General_Info_Road_AADT_Forecast</vt:lpstr>
      <vt:lpstr>General_Info_Road_AADT_Year_Current</vt:lpstr>
      <vt:lpstr>General_Info_Road_AADT_Year_Forecasted</vt:lpstr>
      <vt:lpstr>General_Info_Road_Assistive_Pedestrian_Devices</vt:lpstr>
      <vt:lpstr>General_Info_Road_Classification</vt:lpstr>
      <vt:lpstr>General_Info_Road_Cyclist_Per_Day</vt:lpstr>
      <vt:lpstr>General_Info_Road_Dangerous_Goods_Route</vt:lpstr>
      <vt:lpstr>General_Info_Road_No_Traffic_Lanes_Bidirectional</vt:lpstr>
      <vt:lpstr>General_Info_Road_No_Traffic_Lanes_Northbound_or_Eastbound</vt:lpstr>
      <vt:lpstr>General_Info_Road_No_Traffic_Lanes_Southbound_or_Westbound</vt:lpstr>
      <vt:lpstr>General_Info_Road_No_Traffic_Lanes_Total</vt:lpstr>
      <vt:lpstr>General_Info_Road_Other_Users</vt:lpstr>
      <vt:lpstr>General_Info_Road_Other_Users_Daily_Users</vt:lpstr>
      <vt:lpstr>General_Info_Road_Pedestrians_Per_Day</vt:lpstr>
      <vt:lpstr>General_Info_Road_School_Bus_Route</vt:lpstr>
      <vt:lpstr>General_Info_Road_Seasonal_Volume_Fluctuations</vt:lpstr>
      <vt:lpstr>General_Info_Road_Sidewalks</vt:lpstr>
      <vt:lpstr>General_Info_Road_Speed_Design</vt:lpstr>
      <vt:lpstr>General_Info_Road_Speed_Posted</vt:lpstr>
      <vt:lpstr>General_Info_Train_Switching</vt:lpstr>
      <vt:lpstr>Grade_Crossing_Surface_Comments</vt:lpstr>
      <vt:lpstr>Grade_Crossing_Surface_Measure_Crossing_Surface_Extension_N_or_E_Approach</vt:lpstr>
      <vt:lpstr>Grade_Crossing_Surface_Measure_Crossing_Surface_Extension_S_or_W_Approach</vt:lpstr>
      <vt:lpstr>Grade_Crossing_Surface_Measure_Crossing_Surface_Width</vt:lpstr>
      <vt:lpstr>Grade_Crossing_Surface_Measure_Distance_Between_Signal_Mast_and_Sidewalk_N_or_E_Approach</vt:lpstr>
      <vt:lpstr>Grade_Crossing_Surface_Measure_Distance_Between_Signal_Mast_and_Sidewalk_S_or_W_Approach</vt:lpstr>
      <vt:lpstr>Grade_Crossing_Surface_Measure_Distance_Between_Travel_Lane_and_Sidewalk_N_or_E_Approach</vt:lpstr>
      <vt:lpstr>Grade_Crossing_Surface_Measure_Distance_Between_Travel_Lane_and_Sidewalk_S_or_W_Approach</vt:lpstr>
      <vt:lpstr>Grade_Crossing_Surface_Measure_Elevation_Top_of_Rail_Above_Road_Surface</vt:lpstr>
      <vt:lpstr>Grade_Crossing_Surface_Measure_Elevation_Top_of_Rail_Below_Road_Surface</vt:lpstr>
      <vt:lpstr>Grade_Crossing_Surface_Measure_Flangeway_Depth</vt:lpstr>
      <vt:lpstr>Grade_Crossing_Surface_Measure_Flangeway_Width</vt:lpstr>
      <vt:lpstr>Grade_Crossing_Surface_Measure_Road_Surface_Median_Width</vt:lpstr>
      <vt:lpstr>Grade_Crossing_Surface_Measure_Road_Surface_Shoulder_N_or_E_Approach</vt:lpstr>
      <vt:lpstr>Grade_Crossing_Surface_Measure_Road_Surface_Shoulder_S_or_W_Approach</vt:lpstr>
      <vt:lpstr>Grade_Crossing_Surface_Measure_Road_Surface_Travel_Lanes_Width_N_or_E_Approach</vt:lpstr>
      <vt:lpstr>Grade_Crossing_Surface_Measure_Road_Surface_Travel_Lanes_Width_S_or_W_Approach</vt:lpstr>
      <vt:lpstr>Grade_Crossing_Surface_Measure_Side_Grinding_Depth</vt:lpstr>
      <vt:lpstr>Grade_Crossing_Surface_Measure_Side_Grinding_Width</vt:lpstr>
      <vt:lpstr>Grade_Crossing_Surface_Measure_Sidewalk_Extension_N_or_E_Approach</vt:lpstr>
      <vt:lpstr>Grade_Crossing_Surface_Measure_Sidewalk_Extension_S_or_W_Approach</vt:lpstr>
      <vt:lpstr>Grade_Crossing_Surface_Measure_Sidewalk_Width_N_or_E_Approach</vt:lpstr>
      <vt:lpstr>Grade_Crossing_Surface_Measure_Sidewalk_Width_S_or_W_Approach</vt:lpstr>
      <vt:lpstr>Grade_Crossing_Surface_Observe_Crossing_Smoothness</vt:lpstr>
      <vt:lpstr>Grade_Crossing_Surface_Observe_Crossing_Surface_Condition</vt:lpstr>
      <vt:lpstr>Grade_Crossing_Surface_Observe_Material</vt:lpstr>
      <vt:lpstr>Grade_Crossing_Surface_Observe_Road_Approach_Surface_Condition</vt:lpstr>
      <vt:lpstr>Grade_Crossing_Surface_Observe_Road_Approach_Surface_Type</vt:lpstr>
      <vt:lpstr>Inspection_Details_Assessment_Team</vt:lpstr>
      <vt:lpstr>Inspection_Details_Crossing_Location</vt:lpstr>
      <vt:lpstr>Inspection_Details_Date_Assessment</vt:lpstr>
      <vt:lpstr>Inspection_Details_GCWS_Type</vt:lpstr>
      <vt:lpstr>Inspection_Details_Grade_Crossing_Type</vt:lpstr>
      <vt:lpstr>Inspection_Details_Latitude</vt:lpstr>
      <vt:lpstr>Inspection_Details_Location_Number</vt:lpstr>
      <vt:lpstr>Inspection_Details_Longitude</vt:lpstr>
      <vt:lpstr>Inspection_Details_Municipality</vt:lpstr>
      <vt:lpstr>Inspection_Details_Province</vt:lpstr>
      <vt:lpstr>Inspection_Details_Railway_Authority</vt:lpstr>
      <vt:lpstr>Inspection_Details_Reason_for_Assessment</vt:lpstr>
      <vt:lpstr>Inspection_Details_Road_Authority</vt:lpstr>
      <vt:lpstr>Inspection_Details_Road_Name</vt:lpstr>
      <vt:lpstr>Inspection_Details_Road_Number</vt:lpstr>
      <vt:lpstr>Inspection_Details_Spur_Mile</vt:lpstr>
      <vt:lpstr>Inspection_Details_Spur_Name</vt:lpstr>
      <vt:lpstr>Inspection_Details_Subdivision_Mile</vt:lpstr>
      <vt:lpstr>Inspection_Details_Subdivision_Name</vt:lpstr>
      <vt:lpstr>Inspection_Details_Track_Type</vt:lpstr>
      <vt:lpstr>Light_Units_Comments</vt:lpstr>
      <vt:lpstr>Light_Units_Measure_Cantilevers_N_or_E_Approach_Distance_From_Rail</vt:lpstr>
      <vt:lpstr>Light_Units_Measure_Cantilevers_N_or_E_Approach_Distance_From_Road</vt:lpstr>
      <vt:lpstr>Light_Units_Measure_Cantilevers_N_or_E_Approach_DL</vt:lpstr>
      <vt:lpstr>Light_Units_Measure_Cantilevers_N_or_E_Approach_DR</vt:lpstr>
      <vt:lpstr>Light_Units_Measure_Cantilevers_N_or_E_Approach_Height</vt:lpstr>
      <vt:lpstr>Light_Units_Measure_Cantilevers_S_or_W_Approach_Distance_From_Rail</vt:lpstr>
      <vt:lpstr>Light_Units_Measure_Cantilevers_S_or_W_Approach_Distance_From_Road</vt:lpstr>
      <vt:lpstr>Light_Units_Measure_Cantilevers_S_or_W_Approach_DL</vt:lpstr>
      <vt:lpstr>Light_Units_Measure_Cantilevers_S_or_W_Approach_DR</vt:lpstr>
      <vt:lpstr>Light_Units_Measure_Cantilevers_S_or_W_Approach_Height</vt:lpstr>
      <vt:lpstr>Light_Units_Measure_N_or_E_Approach_Height</vt:lpstr>
      <vt:lpstr>Light_Units_Measure_S_or_W_Approach_Height</vt:lpstr>
      <vt:lpstr>Light_Units_Observe_Cantilevers_N_or_E_Approach_Per_Fig_12.3</vt:lpstr>
      <vt:lpstr>Light_Units_Observe_N_or_E_Approach_Per_Fig_12.1</vt:lpstr>
      <vt:lpstr>Light_Units_Observe_Sidewalks_N_or_E_Approach</vt:lpstr>
      <vt:lpstr>Light_Units_Observe_Sidewalks_S_or_W_Approach</vt:lpstr>
      <vt:lpstr>Light_Units_Observe_Supplemental_Lights_N_or_E_Approach</vt:lpstr>
      <vt:lpstr>Light_Units_Observe_Supplemental_Lights_S_or_W_Approach</vt:lpstr>
      <vt:lpstr>Light_Units_Observe_Visibility_Back_Lights_N_or_E_Approach</vt:lpstr>
      <vt:lpstr>Light_Units_Observe_Visibility_Back_Lights_S_or_W_Approach</vt:lpstr>
      <vt:lpstr>Light_Units_Observe_Visibility_Front_Lights_N_or_E_Approach</vt:lpstr>
      <vt:lpstr>Light_Units_Observe_Visibility_Front_Lights_S_or_W_Approach</vt:lpstr>
      <vt:lpstr>Location_of_Grade_Crossing_Comments</vt:lpstr>
      <vt:lpstr>Location_of_Grade_Crossing_Nearest_Intersection_Other_N_or_E_Approach</vt:lpstr>
      <vt:lpstr>Location_of_Grade_Crossing_Nearest_Intersection_Other_S_of_W_Approach</vt:lpstr>
      <vt:lpstr>Location_of_Grade_Crossing_Nearest_Intersection_Signalized_N_or_E_Approach</vt:lpstr>
      <vt:lpstr>Location_of_Grade_Crossing_Nearest_Intersection_Signalized_S_of_W_Approach</vt:lpstr>
      <vt:lpstr>Location_of_Grade_Crossing_Nearest_Intersection_Stop_N_or_E_Approach</vt:lpstr>
      <vt:lpstr>Location_of_Grade_Crossing_Nearest_Intersection_Stop_S_of_W_Approach</vt:lpstr>
      <vt:lpstr>Location_of_Grade_Crossing_Observe_Nearby_Pedestrian_Crosswalk</vt:lpstr>
      <vt:lpstr>Location_of_Grade_Crossing_Queue_Condition</vt:lpstr>
      <vt:lpstr>Location_of_Grade_Crossing_Visibility_of_Warning_Lights</vt:lpstr>
      <vt:lpstr>Preemption_of_Traffic_Signals_Lookup_Proximity_Condition</vt:lpstr>
      <vt:lpstr>Preemption_of_Traffic_Signals_Lookup_Required</vt:lpstr>
      <vt:lpstr>Preemption_of_Traffic_Signals_Observe_Consideration_of_Longer_Vehicles</vt:lpstr>
      <vt:lpstr>Preemption_of_Traffic_Signals_Observe_Known_Queuing_Issues</vt:lpstr>
      <vt:lpstr>Preemption_of_Traffic_Signals_Observe_Pedestrian_Accommodation</vt:lpstr>
      <vt:lpstr>Preemption_of_Traffic_Signals_Observe_Queuing_Condition</vt:lpstr>
      <vt:lpstr>Preemption_of_Traffic_Signals_Observe_Supplemental_Signage</vt:lpstr>
      <vt:lpstr>Preemption_of_Traffic_Signals_Observe_Traffic_Clearance_Time_Adequate</vt:lpstr>
      <vt:lpstr>Preemption_of_Traffic_Signals_Observe_Unintended_Queuing_by_Traffic_Signals</vt:lpstr>
      <vt:lpstr>Preemption_of_Traffic_Signals_Observe_Unintended_Queuing_by_Traffic_Signals_Comments</vt:lpstr>
      <vt:lpstr>Preemption_of_Traffic_Signals_Road_Date_Last_Preemption_Check</vt:lpstr>
      <vt:lpstr>Preemption_of_Traffic_Signals_Road_or_Rail_Crossing_Preemption_Type</vt:lpstr>
      <vt:lpstr>Preemption_of_Traffic_Signals_Road_Preemption_Warning_Time_Actual</vt:lpstr>
      <vt:lpstr>Preemption_of_Traffic_Signals_Road_Preemption_Warning_Time_Design</vt:lpstr>
      <vt:lpstr>'Inspection Form Template'!Print_Area</vt:lpstr>
      <vt:lpstr>Road_Geometry_Comments</vt:lpstr>
      <vt:lpstr>Road_Geometry_Lookup_Gradient_Difference</vt:lpstr>
      <vt:lpstr>Road_Geometry_Measure_Slope_Between_8m_and_18m_Nearest_Rail_N_or_E_Approach</vt:lpstr>
      <vt:lpstr>Road_Geometry_Measure_Slope_Between_8m_and_18m_Nearest_Rail_S_or_W_Approach</vt:lpstr>
      <vt:lpstr>Road_Geometry_Measure_Slope_Within_5m_Nearest_Rail_at_Sidewalk_N_or_E_Approach</vt:lpstr>
      <vt:lpstr>Road_Geometry_Measure_Slope_Within_5m_Nearest_Rail_at_Sidewalk_S_or_W_Approach</vt:lpstr>
      <vt:lpstr>Road_Geometry_Measure_Slope_Within_8m_Nearest_Rail_N_or_E_Approach</vt:lpstr>
      <vt:lpstr>Road_Geometry_Measure_Slope_Within_8m_Nearest_Rail_S_or_W_Approach</vt:lpstr>
      <vt:lpstr>Road_Geometry_Observe_Lane_Width_Crossing_vs_Approach_N_or_E_Approach</vt:lpstr>
      <vt:lpstr>Road_Geometry_Observe_Lane_Width_Crossing_vs_Approach_S_or_W_Approach</vt:lpstr>
      <vt:lpstr>Road_Geometry_Observe_Low_Bed_Truck_Condition</vt:lpstr>
      <vt:lpstr>Road_Geometry_Observe_Smooth_Alignment_Within_SSD_N_or_E_Approach</vt:lpstr>
      <vt:lpstr>Road_Geometry_Observe_Smooth_Alignment_Within_SSD_S_or_W_Approach</vt:lpstr>
      <vt:lpstr>Road_Geometry_Rail_Superelevation_No_or_E_Approach</vt:lpstr>
      <vt:lpstr>Road_Geometry_Rail_Superelevation_S_or_W_Approach</vt:lpstr>
      <vt:lpstr>Road_Geometry_Road_Crossing_Angle</vt:lpstr>
      <vt:lpstr>Road_Geometry_Road_General_Approach_Grade_N_or_E_Approach</vt:lpstr>
      <vt:lpstr>Road_Geometry_Road_General_Approach_Grade_S_or_W_Approach</vt:lpstr>
      <vt:lpstr>Sightlines_Calculate_Dssd_Vehicle_Min_ft</vt:lpstr>
      <vt:lpstr>Sightlines_Calculate_Dssd_Vehicle_Min_m</vt:lpstr>
      <vt:lpstr>Sightlines_Calculate_Dstopped_Pedestrian_Min_ft</vt:lpstr>
      <vt:lpstr>Sightlines_Calculate_Dstopped_Pedestrian_Min_m</vt:lpstr>
      <vt:lpstr>Sightlines_Calculate_Dstopped_Vehicle_Min_ft</vt:lpstr>
      <vt:lpstr>Sightlines_Calculate_Dstopped_Vehicle_Min_m</vt:lpstr>
      <vt:lpstr>Sightlines_Comments</vt:lpstr>
      <vt:lpstr>Sightlines_Lookup_SSD_Minimum_N_or_E_Approach</vt:lpstr>
      <vt:lpstr>Sightlines_Lookup_SSD_Minimum_S_or_W_Approach</vt:lpstr>
      <vt:lpstr>Sightlines_Measure_Dssd_Actual_N_or_E_Approach_Left</vt:lpstr>
      <vt:lpstr>Sightlines_Measure_Dssd_Actual_N_or_E_Approach_Right</vt:lpstr>
      <vt:lpstr>Sightlines_Measure_Dssd_Actual_S_or_W_Approach_Left</vt:lpstr>
      <vt:lpstr>Sightlines_Measure_Dssd_Actual_S_or_W_Approach_Right</vt:lpstr>
      <vt:lpstr>Sightlines_Measure_Dstopped_Actual_N_or_E_Approach_Driver_Left</vt:lpstr>
      <vt:lpstr>Sightlines_Measure_Dstopped_Actual_N_or_E_Approach_Driver_Right</vt:lpstr>
      <vt:lpstr>Sightlines_Measure_Dstopped_Actual_S_or_W_Approach_Driver_Left</vt:lpstr>
      <vt:lpstr>Sightlines_Measure_Dstopped_Actual_S_or_W_Approach_Driver_Right</vt:lpstr>
      <vt:lpstr>Sightlines_Measure_SSD_Actual_N_or_E_Approach</vt:lpstr>
      <vt:lpstr>Sightlines_Measure_SSD_Actual_S_or_W_Approach</vt:lpstr>
      <vt:lpstr>Sightlines_Observe_Sightline_Obstructions</vt:lpstr>
      <vt:lpstr>Signs_and_Markings_Advisory_Speed_Comments</vt:lpstr>
      <vt:lpstr>Signs_and_Markings_Advisory_Speed_N_or_E_Approach_Present</vt:lpstr>
      <vt:lpstr>Signs_and_Markings_Advisory_Speed_N_or_E_Approach_with_WA_18_20</vt:lpstr>
      <vt:lpstr>Signs_and_Markings_Advisory_Speed_S_or_W_Approach_Present</vt:lpstr>
      <vt:lpstr>Signs_and_Markings_Advisory_Speed_S_or_W_Approach_with_WA_18_20</vt:lpstr>
      <vt:lpstr>Signs_and_Markings_Comments</vt:lpstr>
      <vt:lpstr>Signs_and_Markings_Dividing_Lines_Present</vt:lpstr>
      <vt:lpstr>Signs_and_Markings_Emergency_Notification_Comments</vt:lpstr>
      <vt:lpstr>Signs_and_Markings_Emergency_Notification_N_or_E_Approach_Condition</vt:lpstr>
      <vt:lpstr>Signs_and_Markings_Emergency_Notification_N_or_E_Approach_Legible</vt:lpstr>
      <vt:lpstr>Signs_and_Markings_Emergency_Notification_N_or_E_Approach_Orientation</vt:lpstr>
      <vt:lpstr>Signs_and_Markings_Emergency_Notification_N_or_E_Approach_Present</vt:lpstr>
      <vt:lpstr>Signs_and_Markings_Emergency_Notification_S_or_W_Approach_Condition</vt:lpstr>
      <vt:lpstr>Signs_and_Markings_Emergency_Notification_S_or_W_Approach_Legible</vt:lpstr>
      <vt:lpstr>Signs_and_Markings_Emergency_Notification_S_or_W_Approach_Orientation</vt:lpstr>
      <vt:lpstr>Signs_and_Markings_Emergency_Notification_S_or_W_Approach_Present</vt:lpstr>
      <vt:lpstr>Signs_and_Markings_Number_of_Tracks_Comments</vt:lpstr>
      <vt:lpstr>Signs_and_Markings_Number_of_Tracks_N_or_E_Approach_Per_Fig_8.1b</vt:lpstr>
      <vt:lpstr>Signs_and_Markings_Number_of_Tracks_N_or_E_Approach_Per_Fig_8.3c</vt:lpstr>
      <vt:lpstr>Signs_and_Markings_Number_of_Tracks_N_or_E_Approach_Present</vt:lpstr>
      <vt:lpstr>Signs_and_Markings_Number_of_Tracks_S_or_W_Approach_Per_Fig_8.1b</vt:lpstr>
      <vt:lpstr>Signs_and_Markings_Number_of_Tracks_S_or_W_Approach_Per_Fig_8.3c</vt:lpstr>
      <vt:lpstr>Signs_and_Markings_Number_of_Tracks_S_or_W_Approach_Present</vt:lpstr>
      <vt:lpstr>Signs_and_Markings_Per_MUTCD</vt:lpstr>
      <vt:lpstr>Signs_and_Markings_Posted_Speed_N_or_E_Approach_Present</vt:lpstr>
      <vt:lpstr>Signs_and_Markings_Posted_Speed_S_or_W_Approach_Present</vt:lpstr>
      <vt:lpstr>Signs_and_Markings_Railway_Crossing_Ahead_Comments</vt:lpstr>
      <vt:lpstr>Signs_and_Markings_Railway_Crossing_Ahead_N_or_E_Approach_Distance_From_Rail</vt:lpstr>
      <vt:lpstr>Signs_and_Markings_Railway_Crossing_Ahead_N_or_E_Approach_Distance_From_Road</vt:lpstr>
      <vt:lpstr>Signs_and_Markings_Railway_Crossing_Ahead_N_or_E_Approach_Height</vt:lpstr>
      <vt:lpstr>Signs_and_Markings_Railway_Crossing_Ahead_N_or_E_Approach_Orientation</vt:lpstr>
      <vt:lpstr>Signs_and_Markings_Railway_Crossing_Ahead_N_or_E_Approach_Present</vt:lpstr>
      <vt:lpstr>Signs_and_Markings_Railway_Crossing_Ahead_S_or_W_Approach_Distance_From_Rail</vt:lpstr>
      <vt:lpstr>Signs_and_Markings_Railway_Crossing_Ahead_S_or_W_Approach_Distance_From_Road</vt:lpstr>
      <vt:lpstr>Signs_and_Markings_Railway_Crossing_Ahead_S_or_W_Approach_Height</vt:lpstr>
      <vt:lpstr>Signs_and_Markings_Railway_Crossing_Ahead_S_or_W_Approach_Orientation</vt:lpstr>
      <vt:lpstr>Signs_and_Markings_Railway_Crossing_Ahead_S_or_W_Approach_Present</vt:lpstr>
      <vt:lpstr>Signs_and_Markings_Railway_Crossing_Comments</vt:lpstr>
      <vt:lpstr>Signs_and_Markings_Railway_Crossing_N_or_E_Approach_Per_Fig_8.1a</vt:lpstr>
      <vt:lpstr>Signs_and_Markings_Railway_Crossing_N_or_E_Approach_Present</vt:lpstr>
      <vt:lpstr>Signs_and_Markings_Railway_Crossing_S_or_W_Approach_Per_Fig_8.1a</vt:lpstr>
      <vt:lpstr>Signs_and_Markings_Railway_Crossing_S_or_W_Approach_Present</vt:lpstr>
      <vt:lpstr>Signs_and_Markings_Sidewalks_Present</vt:lpstr>
      <vt:lpstr>Signs_and_Markings_Stop_Comments</vt:lpstr>
      <vt:lpstr>Signs_and_Markings_Stop_N_or_E_Approach_Height</vt:lpstr>
      <vt:lpstr>Signs_and_Markings_Stop_N_or_E_Approach_Location_from_Rail</vt:lpstr>
      <vt:lpstr>Signs_and_Markings_Stop_N_or_E_Approach_Location_from_Road</vt:lpstr>
      <vt:lpstr>Signs_and_Markings_Stop_N_or_E_Approach_Per_Fig_8.4</vt:lpstr>
      <vt:lpstr>Signs_and_Markings_Stop_N_or_E_Approach_Present</vt:lpstr>
      <vt:lpstr>Signs_and_Markings_Stop_N_or_E_Approach_Same_Post</vt:lpstr>
      <vt:lpstr>Signs_and_Markings_Stop_S_or_W_Approach_Height</vt:lpstr>
      <vt:lpstr>Signs_and_Markings_Stop_S_or_W_Approach_Location_from_Rail</vt:lpstr>
      <vt:lpstr>Signs_and_Markings_Stop_S_or_W_Approach_Location_from_Road</vt:lpstr>
      <vt:lpstr>Signs_and_Markings_Stop_S_or_W_Approach_Per_Fig_8.4</vt:lpstr>
      <vt:lpstr>Signs_and_Markings_Stop_S_or_W_Approach_Present</vt:lpstr>
      <vt:lpstr>Signs_and_Markings_Stop_S_or_W_Approach_Same_Post</vt:lpstr>
      <vt:lpstr>Signs_and_Markings_Stop_Sign_Ahead_Comments</vt:lpstr>
      <vt:lpstr>Signs_and_Markings_Stop_Sign_Ahead_N_or_E_Approach_Height</vt:lpstr>
      <vt:lpstr>Signs_and_Markings_Stop_Sign_Ahead_N_or_E_Approach_Location_from_Rail</vt:lpstr>
      <vt:lpstr>Signs_and_Markings_Stop_Sign_Ahead_N_or_E_Approach_Location_from_Road</vt:lpstr>
      <vt:lpstr>Signs_and_Markings_Stop_Sign_Ahead_N_or_E_Approach_Present</vt:lpstr>
      <vt:lpstr>Signs_and_Markings_Stop_Sign_Ahead_S_or_W_Approach_Height</vt:lpstr>
      <vt:lpstr>Signs_and_Markings_Stop_Sign_Ahead_S_or_W_Approach_Location_from_Rail</vt:lpstr>
      <vt:lpstr>Signs_and_Markings_Stop_Sign_Ahead_S_or_W_Approach_Location_from_Road</vt:lpstr>
      <vt:lpstr>Signs_and_Markings_Stop_Sign_Ahead_S_or_W_Approach_Present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Orr</dc:creator>
  <cp:lastModifiedBy>Michael Orr</cp:lastModifiedBy>
  <dcterms:created xsi:type="dcterms:W3CDTF">2021-10-13T03:14:27Z</dcterms:created>
  <dcterms:modified xsi:type="dcterms:W3CDTF">2021-10-13T03:15:33Z</dcterms:modified>
</cp:coreProperties>
</file>