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codeName="ThisWorkbook"/>
  <mc:AlternateContent xmlns:mc="http://schemas.openxmlformats.org/markup-compatibility/2006">
    <mc:Choice Requires="x15">
      <x15ac:absPath xmlns:x15ac="http://schemas.microsoft.com/office/spreadsheetml/2010/11/ac" url="D:\Programming Projects\Python Scripts\Crossing_Inspection_GUI_PyQt\app\resources\data\input\"/>
    </mc:Choice>
  </mc:AlternateContent>
  <xr:revisionPtr revIDLastSave="0" documentId="8_{E94FD0C4-576E-4022-B9E4-9028D286C5DF}" xr6:coauthVersionLast="47" xr6:coauthVersionMax="47" xr10:uidLastSave="{00000000-0000-0000-0000-000000000000}"/>
  <bookViews>
    <workbookView xWindow="-98" yWindow="-98" windowWidth="20715" windowHeight="13276" tabRatio="850" firstSheet="1" activeTab="2"/>
  </bookViews>
  <sheets>
    <sheet name="Table" sheetId="4" state="hidden" r:id="rId1"/>
    <sheet name="Instructions" sheetId="5" r:id="rId2"/>
    <sheet name="Location" sheetId="11" r:id="rId3"/>
  </sheets>
  <definedNames>
    <definedName name="_xlnm.Print_Area" localSheetId="1">Instructions!$A$1:$C$58</definedName>
    <definedName name="_xlnm.Print_Area" localSheetId="2">Location!$A$1:$S$57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1" l="1"/>
  <c r="G20" i="11"/>
  <c r="H20" i="11"/>
  <c r="J20" i="11"/>
  <c r="I20" i="11"/>
  <c r="F20" i="11"/>
  <c r="G24" i="11"/>
  <c r="H24" i="11"/>
  <c r="I24" i="11"/>
  <c r="F24" i="11"/>
  <c r="J24" i="11" s="1"/>
  <c r="G22" i="11"/>
  <c r="H22" i="11"/>
  <c r="I22" i="11"/>
  <c r="F22" i="11"/>
  <c r="J22" i="11"/>
  <c r="G23" i="11"/>
  <c r="H23" i="11"/>
  <c r="I23" i="11"/>
  <c r="F23" i="11"/>
  <c r="F10" i="11"/>
  <c r="I17" i="11" s="1"/>
  <c r="I18" i="11" s="1"/>
  <c r="F16" i="11"/>
  <c r="F17" i="11" s="1"/>
  <c r="F18" i="11" s="1"/>
  <c r="G16" i="11"/>
  <c r="H16" i="11"/>
  <c r="I16" i="11"/>
  <c r="F34" i="11"/>
  <c r="F21" i="11"/>
  <c r="J21" i="11"/>
  <c r="G21" i="11"/>
  <c r="H21" i="11"/>
  <c r="I21" i="11"/>
  <c r="F44" i="11"/>
  <c r="F46" i="11"/>
  <c r="S1" i="11"/>
  <c r="L1" i="11"/>
  <c r="P14" i="11"/>
  <c r="P17" i="11"/>
  <c r="Q7" i="11"/>
  <c r="Q8" i="11"/>
  <c r="Q9" i="11"/>
  <c r="R2" i="11"/>
  <c r="N2" i="11"/>
  <c r="H36" i="11"/>
  <c r="H35" i="11"/>
  <c r="H43" i="11"/>
  <c r="P16" i="11"/>
  <c r="J23" i="11"/>
  <c r="G19" i="11"/>
  <c r="H19" i="11"/>
  <c r="G17" i="11"/>
  <c r="G18" i="11" s="1"/>
  <c r="F19" i="11"/>
  <c r="J19" i="11" s="1"/>
  <c r="I19" i="11"/>
  <c r="R23" i="11" l="1"/>
  <c r="H17" i="11"/>
  <c r="H18" i="11" s="1"/>
  <c r="J18" i="11" s="1"/>
  <c r="F29" i="11" l="1"/>
  <c r="O18" i="11"/>
  <c r="F28" i="11"/>
  <c r="F50" i="11"/>
  <c r="F52" i="11" l="1"/>
  <c r="F54" i="11" s="1"/>
  <c r="Q10" i="11"/>
  <c r="F36" i="11"/>
  <c r="H28" i="11"/>
  <c r="H29" i="11"/>
  <c r="P13" i="11"/>
  <c r="O12" i="11"/>
  <c r="P11" i="11"/>
  <c r="P19" i="11" l="1"/>
  <c r="O11" i="11"/>
  <c r="R22" i="11"/>
  <c r="P21" i="11" l="1"/>
  <c r="P23" i="11" s="1"/>
  <c r="P22" i="11" l="1"/>
</calcChain>
</file>

<file path=xl/sharedStrings.xml><?xml version="1.0" encoding="utf-8"?>
<sst xmlns="http://schemas.openxmlformats.org/spreadsheetml/2006/main" count="122" uniqueCount="83">
  <si>
    <t>Warning
Device</t>
  </si>
  <si>
    <t>Gate Down</t>
  </si>
  <si>
    <t>Gate Descent</t>
  </si>
  <si>
    <t>Lights Flash</t>
  </si>
  <si>
    <t>ft</t>
  </si>
  <si>
    <t>Advance Preemption</t>
  </si>
  <si>
    <t>Separation</t>
  </si>
  <si>
    <t>Length, L</t>
  </si>
  <si>
    <t>Track Clear Green</t>
  </si>
  <si>
    <t>Car</t>
  </si>
  <si>
    <t>Truck</t>
  </si>
  <si>
    <t>Bus</t>
  </si>
  <si>
    <t>Semi</t>
  </si>
  <si>
    <t>Yellow + All Red</t>
  </si>
  <si>
    <t>Vehicle Length (ft)</t>
  </si>
  <si>
    <t>Queue Space (ft/veh)</t>
  </si>
  <si>
    <t>Vehicles within L (veh)</t>
  </si>
  <si>
    <t>Walk</t>
  </si>
  <si>
    <t>Start moving last vehicle in L (sec)</t>
  </si>
  <si>
    <t>Move front of vehicle thru L (sec)</t>
  </si>
  <si>
    <t>Move entire vehicle thru MTCD (sec)</t>
  </si>
  <si>
    <t>Include as Design Vehicle?</t>
  </si>
  <si>
    <t>Yes</t>
  </si>
  <si>
    <t>Green Track Clearance Time</t>
  </si>
  <si>
    <t>sec</t>
  </si>
  <si>
    <t>MTCD Queue Clearance Time</t>
  </si>
  <si>
    <t>Maximum RWTT</t>
  </si>
  <si>
    <t>Separation Time, ST</t>
  </si>
  <si>
    <t>Maximum Preemption Time, MPT</t>
  </si>
  <si>
    <t>Minimum Time, MT</t>
  </si>
  <si>
    <t>Clearance Time, CT</t>
  </si>
  <si>
    <t>Minimum Warning Time, MWT</t>
  </si>
  <si>
    <t>Buffer Time, BT</t>
  </si>
  <si>
    <t>Total Warning Time, TWT</t>
  </si>
  <si>
    <t>Advance Preemption Time, APT</t>
  </si>
  <si>
    <t>Equipment Response Time, ERT</t>
  </si>
  <si>
    <t>Total Approach Time, TAT</t>
  </si>
  <si>
    <t>Maximum Authorized Speed, MAS</t>
  </si>
  <si>
    <t>mph</t>
  </si>
  <si>
    <t>Total Approach Distance, TAD</t>
  </si>
  <si>
    <t>Move entire vehicle past gate (sec)</t>
  </si>
  <si>
    <t>Vehicle Height (ft)</t>
  </si>
  <si>
    <t>Non-interaction gate descent time (sec)</t>
  </si>
  <si>
    <t>Use</t>
  </si>
  <si>
    <t>Distance from gate to vehicle</t>
  </si>
  <si>
    <t>Include vehicle-gate interaction check?</t>
  </si>
  <si>
    <t>Queue Clearance</t>
  </si>
  <si>
    <t>Queue Startup</t>
  </si>
  <si>
    <t>No</t>
  </si>
  <si>
    <t xml:space="preserve">Traffic  
Signal  </t>
  </si>
  <si>
    <t>Design
Vehicle</t>
  </si>
  <si>
    <t>Preemption Timeline Displays Minimum RWTT?</t>
  </si>
  <si>
    <t>Grade</t>
  </si>
  <si>
    <t>%</t>
  </si>
  <si>
    <t>Street Name:</t>
  </si>
  <si>
    <t>Part 1:</t>
  </si>
  <si>
    <t xml:space="preserve">Part 2: </t>
  </si>
  <si>
    <t>Part 3:</t>
  </si>
  <si>
    <t>Section 2: Railroad Information</t>
  </si>
  <si>
    <t>Crossing No:</t>
  </si>
  <si>
    <t>Page 1</t>
  </si>
  <si>
    <t>Page 2</t>
  </si>
  <si>
    <t>Page 3</t>
  </si>
  <si>
    <t>Conflicting vehicle clearance time (sec)</t>
  </si>
  <si>
    <t>Maximum Conflicting Move Distance</t>
  </si>
  <si>
    <t>Minimum Track Clearance Dist, MTCD</t>
  </si>
  <si>
    <t>Minimum Walk</t>
  </si>
  <si>
    <t>Minimum Green</t>
  </si>
  <si>
    <t>Maximum Yellow + All Red</t>
  </si>
  <si>
    <t>sec minimum</t>
  </si>
  <si>
    <t>Section 1: Highway and Traffic Information</t>
  </si>
  <si>
    <t>Omit Conflicting Move</t>
  </si>
  <si>
    <t>Maximum Approach Move Distance</t>
  </si>
  <si>
    <t>Approach vehicle clearance time (sec)</t>
  </si>
  <si>
    <t>Clear Storage Distance, CSD</t>
  </si>
  <si>
    <t>Omit Approach Move</t>
  </si>
  <si>
    <t>Omit Both Moves</t>
  </si>
  <si>
    <t>Phase Omit</t>
  </si>
  <si>
    <t>Ped Clearance</t>
  </si>
  <si>
    <t>Maximum Ped Clearance</t>
  </si>
  <si>
    <t>LADOT Railroad Preemption Form Instructions</t>
  </si>
  <si>
    <t>LADOT Railroad Preemption Form</t>
  </si>
  <si>
    <t>Revised 6/23/2008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</si>
</sst>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0"/>
      <name val="Arial"/>
    </font>
    <font>
      <sz val="10"/>
      <name val="Arial"/>
    </font>
    <font>
      <b/>
      <sz val="12"/>
      <name val="Arial"/>
      <family val="2"/>
    </font>
    <font>
      <sz val="10"/>
      <name val="Arial"/>
      <family val="2"/>
    </font>
    <font>
      <b/>
      <sz val="10"/>
      <name val="Arial"/>
      <family val="2"/>
    </font>
    <font>
      <sz val="10"/>
      <name val="Arial Narrow"/>
      <family val="2"/>
    </font>
    <font>
      <b/>
      <sz val="10"/>
      <color indexed="60"/>
      <name val="Arial"/>
      <family val="2"/>
    </font>
    <font>
      <sz val="10"/>
      <color indexed="60"/>
      <name val="Arial"/>
      <family val="2"/>
    </font>
    <font>
      <b/>
      <sz val="9"/>
      <color indexed="10"/>
      <name val="Arial"/>
      <family val="2"/>
    </font>
    <font>
      <sz val="9"/>
      <name val="Arial Narrow"/>
      <family val="2"/>
    </font>
    <font>
      <sz val="10"/>
      <color indexed="10"/>
      <name val="Arial"/>
      <family val="2"/>
    </font>
    <font>
      <i/>
      <sz val="10"/>
      <color indexed="10"/>
      <name val="Arial Narrow"/>
      <family val="2"/>
    </font>
    <font>
      <b/>
      <sz val="9"/>
      <name val="Arial"/>
      <family val="2"/>
    </font>
    <font>
      <sz val="9"/>
      <name val="Arial"/>
      <family val="2"/>
    </font>
    <font>
      <sz val="9"/>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1"/>
        <bgColor indexed="64"/>
      </patternFill>
    </fill>
    <fill>
      <patternFill patternType="solid">
        <fgColor indexed="45"/>
        <bgColor indexed="64"/>
      </patternFill>
    </fill>
    <fill>
      <patternFill patternType="solid">
        <fgColor indexed="41"/>
        <bgColor indexed="64"/>
      </patternFill>
    </fill>
    <fill>
      <patternFill patternType="solid">
        <fgColor indexed="46"/>
        <bgColor indexed="64"/>
      </patternFill>
    </fill>
  </fills>
  <borders count="30">
    <border>
      <left/>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3">
    <xf numFmtId="0" fontId="0" fillId="0" borderId="0" xfId="0"/>
    <xf numFmtId="0" fontId="2" fillId="0" borderId="0" xfId="0" applyFont="1" applyAlignment="1">
      <alignment horizontal="left"/>
    </xf>
    <xf numFmtId="0" fontId="0" fillId="0" borderId="0" xfId="0" applyAlignment="1">
      <alignment horizontal="right"/>
    </xf>
    <xf numFmtId="0" fontId="0" fillId="0" borderId="0" xfId="0" applyBorder="1"/>
    <xf numFmtId="0" fontId="0" fillId="0" borderId="1" xfId="0" applyBorder="1"/>
    <xf numFmtId="1" fontId="0" fillId="0" borderId="0" xfId="0" applyNumberFormat="1"/>
    <xf numFmtId="0" fontId="0" fillId="0" borderId="2" xfId="0" applyBorder="1"/>
    <xf numFmtId="0" fontId="0" fillId="0" borderId="0" xfId="0" applyBorder="1" applyAlignment="1">
      <alignment horizontal="right"/>
    </xf>
    <xf numFmtId="0" fontId="0" fillId="0" borderId="0" xfId="0" applyBorder="1" applyAlignment="1">
      <alignment vertical="center"/>
    </xf>
    <xf numFmtId="0" fontId="3" fillId="0" borderId="0" xfId="0" applyFont="1" applyBorder="1" applyAlignment="1">
      <alignment horizontal="right" vertical="center"/>
    </xf>
    <xf numFmtId="0" fontId="0" fillId="2" borderId="3" xfId="0" applyFill="1" applyBorder="1" applyAlignment="1" applyProtection="1">
      <alignment vertical="center"/>
      <protection locked="0"/>
    </xf>
    <xf numFmtId="0" fontId="3" fillId="0" borderId="0" xfId="0" applyFont="1" applyBorder="1" applyAlignment="1">
      <alignment horizontal="right"/>
    </xf>
    <xf numFmtId="164" fontId="3" fillId="0" borderId="0" xfId="0" applyNumberFormat="1" applyFont="1" applyBorder="1"/>
    <xf numFmtId="0" fontId="3" fillId="0" borderId="0" xfId="0" applyFont="1" applyBorder="1"/>
    <xf numFmtId="0" fontId="9" fillId="0" borderId="0" xfId="0" applyFont="1" applyBorder="1"/>
    <xf numFmtId="0" fontId="10" fillId="0" borderId="0" xfId="0" applyFont="1"/>
    <xf numFmtId="0" fontId="3" fillId="0" borderId="0" xfId="0" applyFont="1" applyFill="1" applyBorder="1" applyAlignment="1">
      <alignment horizontal="right" vertical="center"/>
    </xf>
    <xf numFmtId="0" fontId="3" fillId="0" borderId="0" xfId="0" applyFont="1" applyFill="1" applyBorder="1" applyAlignment="1">
      <alignment horizontal="right"/>
    </xf>
    <xf numFmtId="0" fontId="0" fillId="0" borderId="4" xfId="0" applyBorder="1"/>
    <xf numFmtId="0" fontId="0" fillId="0" borderId="5" xfId="0" applyBorder="1"/>
    <xf numFmtId="0" fontId="0" fillId="0" borderId="6" xfId="0" applyBorder="1"/>
    <xf numFmtId="0" fontId="11" fillId="0" borderId="0" xfId="0" applyFont="1" applyBorder="1"/>
    <xf numFmtId="0" fontId="0" fillId="0" borderId="0" xfId="0" applyAlignment="1">
      <alignment horizontal="center" wrapText="1"/>
    </xf>
    <xf numFmtId="0" fontId="0" fillId="0" borderId="0" xfId="0" applyAlignment="1">
      <alignment horizontal="center"/>
    </xf>
    <xf numFmtId="0" fontId="2" fillId="0" borderId="0" xfId="0" applyFont="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0" fontId="0" fillId="0" borderId="0" xfId="0" quotePrefix="1" applyAlignment="1">
      <alignment horizontal="center"/>
    </xf>
    <xf numFmtId="0" fontId="12" fillId="3" borderId="3" xfId="0" applyFont="1" applyFill="1" applyBorder="1" applyAlignment="1" applyProtection="1">
      <alignment horizontal="center"/>
      <protection locked="0"/>
    </xf>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2" fontId="0" fillId="0" borderId="0" xfId="0" applyNumberFormat="1" applyBorder="1"/>
    <xf numFmtId="2" fontId="0" fillId="0" borderId="11" xfId="0" applyNumberFormat="1" applyBorder="1"/>
    <xf numFmtId="2" fontId="0" fillId="0" borderId="12" xfId="0" applyNumberFormat="1" applyBorder="1"/>
    <xf numFmtId="2" fontId="0" fillId="0" borderId="13" xfId="0" applyNumberFormat="1" applyBorder="1"/>
    <xf numFmtId="2" fontId="0" fillId="0" borderId="14" xfId="0" applyNumberFormat="1" applyBorder="1"/>
    <xf numFmtId="164" fontId="0" fillId="2" borderId="3" xfId="0" applyNumberFormat="1" applyFill="1" applyBorder="1" applyAlignment="1" applyProtection="1">
      <alignment vertical="center"/>
      <protection locked="0"/>
    </xf>
    <xf numFmtId="0" fontId="13" fillId="0" borderId="15" xfId="0" applyFont="1" applyBorder="1"/>
    <xf numFmtId="0" fontId="13" fillId="0" borderId="8" xfId="0" applyFont="1" applyBorder="1"/>
    <xf numFmtId="0" fontId="13" fillId="0" borderId="8" xfId="0" applyFont="1" applyBorder="1" applyAlignment="1">
      <alignment horizontal="right"/>
    </xf>
    <xf numFmtId="0" fontId="13" fillId="0" borderId="16" xfId="0" applyFont="1" applyBorder="1"/>
    <xf numFmtId="0" fontId="14" fillId="0" borderId="8" xfId="0" applyFont="1" applyBorder="1" applyAlignment="1">
      <alignment horizontal="right"/>
    </xf>
    <xf numFmtId="0" fontId="14" fillId="0" borderId="8" xfId="0" applyFont="1" applyBorder="1"/>
    <xf numFmtId="0" fontId="13" fillId="0" borderId="0" xfId="0" applyFont="1" applyBorder="1"/>
    <xf numFmtId="1" fontId="6"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7" fillId="0" borderId="0" xfId="0" applyFont="1" applyBorder="1" applyAlignment="1">
      <alignment horizontal="center"/>
    </xf>
    <xf numFmtId="9" fontId="0" fillId="0" borderId="17" xfId="0" applyNumberFormat="1" applyBorder="1"/>
    <xf numFmtId="9" fontId="0" fillId="0" borderId="15" xfId="0" applyNumberFormat="1" applyBorder="1"/>
    <xf numFmtId="9" fontId="0" fillId="0" borderId="18" xfId="0" applyNumberFormat="1" applyBorder="1"/>
    <xf numFmtId="0" fontId="0" fillId="0" borderId="19" xfId="0" applyBorder="1"/>
    <xf numFmtId="0" fontId="0" fillId="0" borderId="20" xfId="0" applyBorder="1"/>
    <xf numFmtId="0" fontId="0" fillId="0" borderId="21" xfId="0" applyBorder="1"/>
    <xf numFmtId="0" fontId="12" fillId="0" borderId="2" xfId="0" applyFont="1" applyBorder="1"/>
    <xf numFmtId="0" fontId="13" fillId="0" borderId="1" xfId="0" applyFont="1" applyBorder="1"/>
    <xf numFmtId="0" fontId="13" fillId="0" borderId="13" xfId="0" applyFont="1" applyBorder="1"/>
    <xf numFmtId="0" fontId="13" fillId="0" borderId="13" xfId="0" applyFont="1" applyBorder="1" applyAlignment="1">
      <alignment horizontal="right"/>
    </xf>
    <xf numFmtId="0" fontId="13" fillId="0" borderId="22" xfId="0" applyFont="1" applyBorder="1"/>
    <xf numFmtId="0" fontId="0" fillId="0" borderId="5" xfId="0" applyBorder="1" applyAlignment="1">
      <alignment horizontal="right"/>
    </xf>
    <xf numFmtId="0" fontId="2" fillId="0" borderId="0" xfId="0" applyNumberFormat="1" applyFont="1" applyAlignment="1">
      <alignment horizontal="left"/>
    </xf>
    <xf numFmtId="0" fontId="1" fillId="0" borderId="0" xfId="0" applyFont="1" applyBorder="1"/>
    <xf numFmtId="0" fontId="1" fillId="0" borderId="0" xfId="0" applyFont="1"/>
    <xf numFmtId="0" fontId="1" fillId="0" borderId="0" xfId="0" applyFont="1" applyBorder="1" applyAlignment="1">
      <alignment horizontal="right" vertical="top"/>
    </xf>
    <xf numFmtId="0" fontId="1" fillId="0" borderId="0" xfId="0" applyFont="1" applyFill="1" applyBorder="1"/>
    <xf numFmtId="1" fontId="4" fillId="0" borderId="0" xfId="0" applyNumberFormat="1" applyFont="1" applyFill="1" applyBorder="1"/>
    <xf numFmtId="0" fontId="3" fillId="0" borderId="0" xfId="0" applyFont="1" applyFill="1" applyBorder="1"/>
    <xf numFmtId="0" fontId="11" fillId="0" borderId="0" xfId="0" applyFont="1" applyFill="1" applyBorder="1"/>
    <xf numFmtId="164" fontId="3" fillId="0" borderId="0" xfId="0" applyNumberFormat="1" applyFont="1" applyFill="1" applyBorder="1"/>
    <xf numFmtId="0" fontId="1" fillId="0" borderId="0" xfId="0" applyFont="1" applyFill="1"/>
    <xf numFmtId="0" fontId="13" fillId="0" borderId="0" xfId="0" applyFont="1"/>
    <xf numFmtId="1" fontId="1" fillId="0" borderId="0" xfId="0" applyNumberFormat="1" applyFont="1" applyFill="1" applyBorder="1" applyProtection="1">
      <protection locked="0"/>
    </xf>
    <xf numFmtId="0" fontId="5" fillId="0" borderId="0" xfId="0" applyFont="1" applyFill="1" applyBorder="1"/>
    <xf numFmtId="0" fontId="1" fillId="0" borderId="0" xfId="0" applyFont="1" applyFill="1" applyBorder="1" applyAlignment="1">
      <alignment horizontal="right"/>
    </xf>
    <xf numFmtId="164" fontId="1" fillId="0" borderId="0" xfId="0" applyNumberFormat="1" applyFont="1" applyFill="1" applyBorder="1" applyProtection="1">
      <protection locked="0"/>
    </xf>
    <xf numFmtId="0" fontId="4" fillId="0" borderId="0" xfId="0" applyFont="1" applyBorder="1" applyAlignment="1">
      <alignment horizontal="center"/>
    </xf>
    <xf numFmtId="0" fontId="1" fillId="0" borderId="0" xfId="0" applyFont="1" applyBorder="1" applyAlignment="1">
      <alignment horizontal="center"/>
    </xf>
    <xf numFmtId="0" fontId="1" fillId="0" borderId="0" xfId="0" applyFont="1" applyAlignment="1">
      <alignment horizontal="center"/>
    </xf>
    <xf numFmtId="0" fontId="13" fillId="0" borderId="0" xfId="0" applyFont="1" applyBorder="1" applyAlignment="1">
      <alignment horizontal="center"/>
    </xf>
    <xf numFmtId="0" fontId="0" fillId="0" borderId="0" xfId="0" applyBorder="1" applyAlignment="1">
      <alignment horizontal="center"/>
    </xf>
    <xf numFmtId="0" fontId="12" fillId="0" borderId="2" xfId="0" applyFont="1" applyFill="1" applyBorder="1"/>
    <xf numFmtId="0" fontId="0" fillId="0" borderId="0" xfId="0" applyBorder="1" applyAlignment="1">
      <alignment horizontal="right" vertical="center"/>
    </xf>
    <xf numFmtId="1" fontId="4" fillId="4" borderId="3" xfId="0" applyNumberFormat="1" applyFont="1" applyFill="1" applyBorder="1" applyAlignment="1">
      <alignment vertical="center"/>
    </xf>
    <xf numFmtId="0" fontId="3" fillId="0" borderId="0" xfId="0" applyFont="1" applyBorder="1" applyAlignment="1">
      <alignment vertical="center"/>
    </xf>
    <xf numFmtId="1" fontId="4" fillId="5" borderId="3" xfId="0" applyNumberFormat="1" applyFont="1" applyFill="1" applyBorder="1" applyAlignment="1">
      <alignment vertical="center"/>
    </xf>
    <xf numFmtId="1" fontId="0" fillId="2" borderId="3" xfId="0" applyNumberFormat="1" applyFill="1" applyBorder="1" applyAlignment="1" applyProtection="1">
      <alignment vertical="center"/>
      <protection locked="0"/>
    </xf>
    <xf numFmtId="0" fontId="0" fillId="0" borderId="0" xfId="0" applyFill="1" applyBorder="1" applyAlignment="1">
      <alignment vertical="center"/>
    </xf>
    <xf numFmtId="164" fontId="0" fillId="2" borderId="19" xfId="0" applyNumberFormat="1" applyFill="1" applyBorder="1" applyAlignment="1" applyProtection="1">
      <alignment vertical="center"/>
      <protection locked="0"/>
    </xf>
    <xf numFmtId="1" fontId="4" fillId="0" borderId="23" xfId="0" applyNumberFormat="1" applyFont="1" applyBorder="1" applyAlignment="1">
      <alignment vertical="center"/>
    </xf>
    <xf numFmtId="1" fontId="0" fillId="2" borderId="20" xfId="0" applyNumberFormat="1" applyFill="1" applyBorder="1" applyAlignment="1" applyProtection="1">
      <alignment vertical="center"/>
      <protection locked="0"/>
    </xf>
    <xf numFmtId="1" fontId="4" fillId="0" borderId="24" xfId="0" applyNumberFormat="1" applyFont="1" applyBorder="1" applyAlignment="1">
      <alignment vertical="center"/>
    </xf>
    <xf numFmtId="0" fontId="3" fillId="0" borderId="3" xfId="0" applyFont="1" applyBorder="1" applyAlignment="1">
      <alignment horizontal="center" vertical="center"/>
    </xf>
    <xf numFmtId="0" fontId="0" fillId="0" borderId="1" xfId="0" applyBorder="1" applyAlignment="1">
      <alignment vertical="center"/>
    </xf>
    <xf numFmtId="0" fontId="3" fillId="2" borderId="3" xfId="0" applyFont="1" applyFill="1" applyBorder="1" applyAlignment="1" applyProtection="1">
      <alignment vertical="center"/>
      <protection locked="0"/>
    </xf>
    <xf numFmtId="1" fontId="3" fillId="0" borderId="0" xfId="0" applyNumberFormat="1" applyFont="1" applyBorder="1" applyAlignment="1">
      <alignment vertical="center"/>
    </xf>
    <xf numFmtId="164" fontId="4" fillId="0" borderId="0" xfId="0" applyNumberFormat="1" applyFont="1" applyBorder="1" applyAlignment="1">
      <alignment vertical="center"/>
    </xf>
    <xf numFmtId="1" fontId="6" fillId="0" borderId="1" xfId="0" applyNumberFormat="1" applyFont="1" applyFill="1" applyBorder="1" applyAlignment="1">
      <alignment horizontal="center" vertical="center"/>
    </xf>
    <xf numFmtId="164" fontId="3" fillId="0" borderId="0" xfId="0" applyNumberFormat="1" applyFont="1" applyBorder="1" applyAlignment="1">
      <alignment vertical="center"/>
    </xf>
    <xf numFmtId="1" fontId="7" fillId="0" borderId="1" xfId="0" applyNumberFormat="1" applyFont="1" applyFill="1" applyBorder="1" applyAlignment="1">
      <alignment horizontal="center" vertical="center"/>
    </xf>
    <xf numFmtId="0" fontId="8" fillId="2" borderId="3" xfId="0" applyFont="1" applyFill="1" applyBorder="1" applyAlignment="1" applyProtection="1">
      <alignment horizontal="center" vertical="center"/>
      <protection locked="0"/>
    </xf>
    <xf numFmtId="0" fontId="7" fillId="0" borderId="1" xfId="0" applyFont="1" applyBorder="1" applyAlignment="1">
      <alignment horizontal="center" vertical="center"/>
    </xf>
    <xf numFmtId="0" fontId="0" fillId="2" borderId="19" xfId="0" applyFill="1" applyBorder="1" applyAlignment="1" applyProtection="1">
      <alignment vertical="center"/>
      <protection locked="0"/>
    </xf>
    <xf numFmtId="0" fontId="4" fillId="0" borderId="24" xfId="0" applyFont="1" applyBorder="1" applyAlignment="1">
      <alignment vertical="center"/>
    </xf>
    <xf numFmtId="1" fontId="0" fillId="0" borderId="0" xfId="0" applyNumberFormat="1" applyBorder="1" applyAlignment="1">
      <alignment vertical="center"/>
    </xf>
    <xf numFmtId="1" fontId="0" fillId="6" borderId="3" xfId="0" applyNumberFormat="1" applyFill="1" applyBorder="1" applyAlignment="1" applyProtection="1">
      <alignment vertical="center"/>
      <protection locked="0"/>
    </xf>
    <xf numFmtId="0" fontId="0" fillId="6" borderId="3" xfId="0" applyFill="1" applyBorder="1" applyAlignment="1" applyProtection="1">
      <alignment vertical="center"/>
      <protection locked="0"/>
    </xf>
    <xf numFmtId="0" fontId="0" fillId="6" borderId="25" xfId="0" applyFill="1" applyBorder="1" applyAlignment="1" applyProtection="1">
      <alignment vertical="center"/>
      <protection locked="0"/>
    </xf>
    <xf numFmtId="1" fontId="4" fillId="0" borderId="0" xfId="0" applyNumberFormat="1" applyFont="1" applyBorder="1" applyAlignment="1">
      <alignment vertical="center"/>
    </xf>
    <xf numFmtId="0" fontId="0" fillId="6" borderId="25" xfId="0" applyNumberFormat="1" applyFill="1" applyBorder="1" applyAlignment="1" applyProtection="1">
      <alignment vertical="center"/>
      <protection locked="0"/>
    </xf>
    <xf numFmtId="0" fontId="8" fillId="6" borderId="3" xfId="0" applyFont="1" applyFill="1" applyBorder="1" applyAlignment="1" applyProtection="1">
      <alignment horizontal="center" vertical="center"/>
      <protection locked="0"/>
    </xf>
    <xf numFmtId="1" fontId="3" fillId="6" borderId="3" xfId="0" applyNumberFormat="1" applyFont="1" applyFill="1" applyBorder="1" applyAlignment="1" applyProtection="1">
      <alignment vertical="center"/>
      <protection locked="0"/>
    </xf>
    <xf numFmtId="1" fontId="4" fillId="7" borderId="3" xfId="0" applyNumberFormat="1" applyFont="1" applyFill="1" applyBorder="1" applyAlignment="1">
      <alignment vertical="center"/>
    </xf>
    <xf numFmtId="0" fontId="0" fillId="6" borderId="19" xfId="0" applyFill="1" applyBorder="1" applyAlignment="1" applyProtection="1">
      <alignment vertical="center"/>
      <protection locked="0"/>
    </xf>
    <xf numFmtId="0" fontId="0" fillId="0" borderId="0" xfId="0" applyFill="1" applyBorder="1" applyAlignment="1">
      <alignment horizontal="right" vertical="center"/>
    </xf>
    <xf numFmtId="0" fontId="4" fillId="0" borderId="0" xfId="0" applyFont="1" applyBorder="1" applyAlignment="1">
      <alignment vertical="center"/>
    </xf>
    <xf numFmtId="0" fontId="7" fillId="0" borderId="0" xfId="0" applyFont="1" applyBorder="1" applyAlignment="1">
      <alignment vertical="center"/>
    </xf>
    <xf numFmtId="0" fontId="4" fillId="0" borderId="26" xfId="0" applyFont="1" applyBorder="1" applyAlignment="1">
      <alignment horizontal="left" vertical="center"/>
    </xf>
    <xf numFmtId="0" fontId="4" fillId="0" borderId="27" xfId="0" applyFont="1" applyBorder="1"/>
    <xf numFmtId="0" fontId="4" fillId="0" borderId="27" xfId="0" applyFont="1" applyFill="1" applyBorder="1"/>
    <xf numFmtId="0" fontId="4" fillId="0" borderId="28" xfId="0" applyFont="1" applyBorder="1" applyAlignment="1"/>
    <xf numFmtId="2" fontId="0" fillId="0" borderId="0" xfId="0" applyNumberFormat="1"/>
    <xf numFmtId="0" fontId="4" fillId="0" borderId="26" xfId="0" applyFont="1" applyBorder="1" applyAlignment="1" applyProtection="1">
      <alignment horizontal="left" vertical="center"/>
      <protection locked="0"/>
    </xf>
    <xf numFmtId="0" fontId="4" fillId="0" borderId="26" xfId="0" applyFont="1" applyBorder="1" applyAlignment="1">
      <alignment horizontal="center" vertical="center"/>
    </xf>
    <xf numFmtId="0" fontId="4" fillId="0" borderId="29" xfId="0" applyFont="1" applyBorder="1" applyAlignment="1">
      <alignment horizontal="center" vertical="center"/>
    </xf>
    <xf numFmtId="0" fontId="2" fillId="0" borderId="26" xfId="0" applyFont="1" applyBorder="1" applyAlignment="1">
      <alignment horizontal="left" vertical="center"/>
    </xf>
    <xf numFmtId="0" fontId="2" fillId="0" borderId="29" xfId="0" applyFont="1" applyBorder="1" applyAlignment="1">
      <alignment horizontal="left" vertical="center"/>
    </xf>
    <xf numFmtId="0" fontId="2" fillId="0" borderId="26" xfId="0" applyFont="1" applyBorder="1" applyAlignment="1" applyProtection="1">
      <alignment horizontal="left" vertical="center"/>
      <protection locked="0"/>
    </xf>
    <xf numFmtId="0" fontId="2" fillId="0" borderId="29" xfId="0" applyFont="1" applyBorder="1" applyAlignment="1" applyProtection="1">
      <alignment horizontal="left" vertical="center"/>
      <protection locked="0"/>
    </xf>
    <xf numFmtId="0" fontId="2" fillId="0" borderId="26" xfId="0" applyNumberFormat="1" applyFont="1" applyBorder="1" applyAlignment="1">
      <alignment horizontal="left" vertical="center"/>
    </xf>
    <xf numFmtId="0" fontId="2" fillId="0" borderId="29" xfId="0" applyNumberFormat="1" applyFont="1" applyBorder="1" applyAlignment="1">
      <alignment horizontal="left" vertical="center"/>
    </xf>
    <xf numFmtId="0" fontId="4" fillId="0" borderId="26" xfId="0" applyFont="1" applyBorder="1" applyAlignment="1">
      <alignment horizontal="left" vertical="center"/>
    </xf>
    <xf numFmtId="0" fontId="4" fillId="0" borderId="29"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25" b="1" i="0" u="none" strike="noStrike" baseline="0">
                <a:solidFill>
                  <a:srgbClr val="000000"/>
                </a:solidFill>
                <a:latin typeface="Arial"/>
                <a:ea typeface="Arial"/>
                <a:cs typeface="Arial"/>
              </a:defRPr>
            </a:pPr>
            <a:r>
              <a:rPr lang="en-US"/>
              <a:t>Preemption Timeline</a:t>
            </a:r>
          </a:p>
        </c:rich>
      </c:tx>
      <c:layout>
        <c:manualLayout>
          <c:xMode val="edge"/>
          <c:yMode val="edge"/>
          <c:x val="0.32220367278797996"/>
          <c:y val="2.5882352941176471E-2"/>
        </c:manualLayout>
      </c:layout>
      <c:overlay val="0"/>
      <c:spPr>
        <a:noFill/>
        <a:ln w="25400">
          <a:noFill/>
        </a:ln>
      </c:spPr>
    </c:title>
    <c:autoTitleDeleted val="0"/>
    <c:plotArea>
      <c:layout>
        <c:manualLayout>
          <c:layoutTarget val="inner"/>
          <c:xMode val="edge"/>
          <c:yMode val="edge"/>
          <c:x val="0.14858096828046743"/>
          <c:y val="0.10705888502923083"/>
          <c:w val="0.80801335559265441"/>
          <c:h val="0.66352979292841963"/>
        </c:manualLayout>
      </c:layout>
      <c:barChart>
        <c:barDir val="bar"/>
        <c:grouping val="stacked"/>
        <c:varyColors val="0"/>
        <c:ser>
          <c:idx val="0"/>
          <c:order val="0"/>
          <c:tx>
            <c:strRef>
              <c:f>Location!$N$7</c:f>
              <c:strCache>
                <c:ptCount val="1"/>
                <c:pt idx="0">
                  <c:v>Gate Down</c:v>
                </c:pt>
              </c:strCache>
            </c:strRef>
          </c:tx>
          <c:spPr>
            <a:solidFill>
              <a:srgbClr val="FF00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Location!$O$7:$Q$7</c:f>
              <c:numCache>
                <c:formatCode>General</c:formatCode>
                <c:ptCount val="3"/>
                <c:pt idx="2" formatCode="0">
                  <c:v>13</c:v>
                </c:pt>
              </c:numCache>
            </c:numRef>
          </c:val>
          <c:extLst>
            <c:ext xmlns:c16="http://schemas.microsoft.com/office/drawing/2014/chart" uri="{C3380CC4-5D6E-409C-BE32-E72D297353CC}">
              <c16:uniqueId val="{00000000-F467-4330-9340-F6FCCD976AE6}"/>
            </c:ext>
          </c:extLst>
        </c:ser>
        <c:ser>
          <c:idx val="1"/>
          <c:order val="1"/>
          <c:tx>
            <c:strRef>
              <c:f>Location!$N$8</c:f>
              <c:strCache>
                <c:ptCount val="1"/>
                <c:pt idx="0">
                  <c:v>Gate Descent</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Location!$O$8:$Q$8</c:f>
              <c:numCache>
                <c:formatCode>General</c:formatCode>
                <c:ptCount val="3"/>
                <c:pt idx="2" formatCode="0">
                  <c:v>10</c:v>
                </c:pt>
              </c:numCache>
            </c:numRef>
          </c:val>
          <c:extLst>
            <c:ext xmlns:c16="http://schemas.microsoft.com/office/drawing/2014/chart" uri="{C3380CC4-5D6E-409C-BE32-E72D297353CC}">
              <c16:uniqueId val="{00000001-F467-4330-9340-F6FCCD976AE6}"/>
            </c:ext>
          </c:extLst>
        </c:ser>
        <c:ser>
          <c:idx val="2"/>
          <c:order val="2"/>
          <c:tx>
            <c:strRef>
              <c:f>Location!$N$9</c:f>
              <c:strCache>
                <c:ptCount val="1"/>
                <c:pt idx="0">
                  <c:v>Lights Flash</c:v>
                </c:pt>
              </c:strCache>
            </c:strRef>
          </c:tx>
          <c:spPr>
            <a:solidFill>
              <a:srgbClr val="FFFF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Location!$O$9:$Q$9</c:f>
              <c:numCache>
                <c:formatCode>General</c:formatCode>
                <c:ptCount val="3"/>
                <c:pt idx="2" formatCode="0">
                  <c:v>3</c:v>
                </c:pt>
              </c:numCache>
            </c:numRef>
          </c:val>
          <c:extLst>
            <c:ext xmlns:c16="http://schemas.microsoft.com/office/drawing/2014/chart" uri="{C3380CC4-5D6E-409C-BE32-E72D297353CC}">
              <c16:uniqueId val="{00000002-F467-4330-9340-F6FCCD976AE6}"/>
            </c:ext>
          </c:extLst>
        </c:ser>
        <c:ser>
          <c:idx val="3"/>
          <c:order val="3"/>
          <c:tx>
            <c:strRef>
              <c:f>Location!$N$10</c:f>
              <c:strCache>
                <c:ptCount val="1"/>
                <c:pt idx="0">
                  <c:v>Advance Preemption</c:v>
                </c:pt>
              </c:strCache>
            </c:strRef>
          </c:tx>
          <c:spPr>
            <a:solidFill>
              <a:srgbClr val="CC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Location!$O$10:$Q$10</c:f>
              <c:numCache>
                <c:formatCode>General</c:formatCode>
                <c:ptCount val="3"/>
                <c:pt idx="2" formatCode="0">
                  <c:v>25</c:v>
                </c:pt>
              </c:numCache>
            </c:numRef>
          </c:val>
          <c:extLst>
            <c:ext xmlns:c16="http://schemas.microsoft.com/office/drawing/2014/chart" uri="{C3380CC4-5D6E-409C-BE32-E72D297353CC}">
              <c16:uniqueId val="{00000003-F467-4330-9340-F6FCCD976AE6}"/>
            </c:ext>
          </c:extLst>
        </c:ser>
        <c:ser>
          <c:idx val="4"/>
          <c:order val="4"/>
          <c:tx>
            <c:strRef>
              <c:f>Location!$N$11</c:f>
              <c:strCache>
                <c:ptCount val="1"/>
                <c:pt idx="0">
                  <c:v>Separation</c:v>
                </c:pt>
              </c:strCache>
            </c:strRef>
          </c:tx>
          <c:spPr>
            <a:solidFill>
              <a:srgbClr val="C0C0C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Location!$O$11:$Q$11</c:f>
              <c:numCache>
                <c:formatCode>0</c:formatCode>
                <c:ptCount val="3"/>
                <c:pt idx="0">
                  <c:v>16</c:v>
                </c:pt>
                <c:pt idx="1">
                  <c:v>13</c:v>
                </c:pt>
              </c:numCache>
            </c:numRef>
          </c:val>
          <c:extLst>
            <c:ext xmlns:c16="http://schemas.microsoft.com/office/drawing/2014/chart" uri="{C3380CC4-5D6E-409C-BE32-E72D297353CC}">
              <c16:uniqueId val="{00000004-F467-4330-9340-F6FCCD976AE6}"/>
            </c:ext>
          </c:extLst>
        </c:ser>
        <c:ser>
          <c:idx val="5"/>
          <c:order val="5"/>
          <c:tx>
            <c:strRef>
              <c:f>Location!$N$13</c:f>
              <c:strCache>
                <c:ptCount val="1"/>
                <c:pt idx="0">
                  <c:v>Track Clear Green</c:v>
                </c:pt>
              </c:strCache>
            </c:strRef>
          </c:tx>
          <c:spPr>
            <a:solidFill>
              <a:srgbClr val="00FF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Location!$O$13:$Q$13</c:f>
              <c:numCache>
                <c:formatCode>0</c:formatCode>
                <c:ptCount val="3"/>
                <c:pt idx="1">
                  <c:v>13</c:v>
                </c:pt>
              </c:numCache>
            </c:numRef>
          </c:val>
          <c:extLst>
            <c:ext xmlns:c16="http://schemas.microsoft.com/office/drawing/2014/chart" uri="{C3380CC4-5D6E-409C-BE32-E72D297353CC}">
              <c16:uniqueId val="{00000005-F467-4330-9340-F6FCCD976AE6}"/>
            </c:ext>
          </c:extLst>
        </c:ser>
        <c:ser>
          <c:idx val="6"/>
          <c:order val="6"/>
          <c:tx>
            <c:strRef>
              <c:f>Location!$N$14</c:f>
              <c:strCache>
                <c:ptCount val="1"/>
                <c:pt idx="0">
                  <c:v>Yellow + All Red</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Location!$O$14:$Q$14</c:f>
              <c:numCache>
                <c:formatCode>0</c:formatCode>
                <c:ptCount val="3"/>
                <c:pt idx="1">
                  <c:v>4</c:v>
                </c:pt>
              </c:numCache>
            </c:numRef>
          </c:val>
          <c:extLst>
            <c:ext xmlns:c16="http://schemas.microsoft.com/office/drawing/2014/chart" uri="{C3380CC4-5D6E-409C-BE32-E72D297353CC}">
              <c16:uniqueId val="{00000006-F467-4330-9340-F6FCCD976AE6}"/>
            </c:ext>
          </c:extLst>
        </c:ser>
        <c:ser>
          <c:idx val="10"/>
          <c:order val="7"/>
          <c:tx>
            <c:strRef>
              <c:f>Location!$N$15</c:f>
              <c:strCache>
                <c:ptCount val="1"/>
                <c:pt idx="0">
                  <c:v>Minimum Green</c:v>
                </c:pt>
              </c:strCache>
            </c:strRef>
          </c:tx>
          <c:spPr>
            <a:solidFill>
              <a:srgbClr val="CC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Location!$O$15:$Q$15</c:f>
              <c:numCache>
                <c:formatCode>0</c:formatCode>
                <c:ptCount val="3"/>
                <c:pt idx="1">
                  <c:v>0</c:v>
                </c:pt>
              </c:numCache>
            </c:numRef>
          </c:val>
          <c:extLst>
            <c:ext xmlns:c16="http://schemas.microsoft.com/office/drawing/2014/chart" uri="{C3380CC4-5D6E-409C-BE32-E72D297353CC}">
              <c16:uniqueId val="{00000007-F467-4330-9340-F6FCCD976AE6}"/>
            </c:ext>
          </c:extLst>
        </c:ser>
        <c:ser>
          <c:idx val="7"/>
          <c:order val="8"/>
          <c:tx>
            <c:strRef>
              <c:f>Location!$N$16</c:f>
              <c:strCache>
                <c:ptCount val="1"/>
                <c:pt idx="0">
                  <c:v>Ped Clearance</c:v>
                </c:pt>
              </c:strCache>
            </c:strRef>
          </c:tx>
          <c:spPr>
            <a:solidFill>
              <a:srgbClr val="FF66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Location!$O$16:$Q$16</c:f>
              <c:numCache>
                <c:formatCode>0</c:formatCode>
                <c:ptCount val="3"/>
                <c:pt idx="1">
                  <c:v>14</c:v>
                </c:pt>
              </c:numCache>
            </c:numRef>
          </c:val>
          <c:extLst>
            <c:ext xmlns:c16="http://schemas.microsoft.com/office/drawing/2014/chart" uri="{C3380CC4-5D6E-409C-BE32-E72D297353CC}">
              <c16:uniqueId val="{00000008-F467-4330-9340-F6FCCD976AE6}"/>
            </c:ext>
          </c:extLst>
        </c:ser>
        <c:ser>
          <c:idx val="8"/>
          <c:order val="9"/>
          <c:tx>
            <c:strRef>
              <c:f>Location!$N$17</c:f>
              <c:strCache>
                <c:ptCount val="1"/>
                <c:pt idx="0">
                  <c:v>Walk</c:v>
                </c:pt>
              </c:strCache>
            </c:strRef>
          </c:tx>
          <c:spPr>
            <a:solidFill>
              <a:srgbClr val="00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Location!$O$17:$Q$17</c:f>
              <c:numCache>
                <c:formatCode>0</c:formatCode>
                <c:ptCount val="3"/>
                <c:pt idx="1">
                  <c:v>7</c:v>
                </c:pt>
              </c:numCache>
            </c:numRef>
          </c:val>
          <c:extLst>
            <c:ext xmlns:c16="http://schemas.microsoft.com/office/drawing/2014/chart" uri="{C3380CC4-5D6E-409C-BE32-E72D297353CC}">
              <c16:uniqueId val="{00000009-F467-4330-9340-F6FCCD976AE6}"/>
            </c:ext>
          </c:extLst>
        </c:ser>
        <c:ser>
          <c:idx val="9"/>
          <c:order val="10"/>
          <c:tx>
            <c:strRef>
              <c:f>Location!$N$12</c:f>
              <c:strCache>
                <c:ptCount val="1"/>
                <c:pt idx="0">
                  <c:v>Queue Clearance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Location!$O$12:$Q$12</c:f>
              <c:numCache>
                <c:formatCode>General</c:formatCode>
                <c:ptCount val="3"/>
                <c:pt idx="0" formatCode="0">
                  <c:v>6</c:v>
                </c:pt>
              </c:numCache>
            </c:numRef>
          </c:val>
          <c:extLst>
            <c:ext xmlns:c16="http://schemas.microsoft.com/office/drawing/2014/chart" uri="{C3380CC4-5D6E-409C-BE32-E72D297353CC}">
              <c16:uniqueId val="{0000000A-F467-4330-9340-F6FCCD976AE6}"/>
            </c:ext>
          </c:extLst>
        </c:ser>
        <c:ser>
          <c:idx val="13"/>
          <c:order val="11"/>
          <c:tx>
            <c:strRef>
              <c:f>Location!$N$18</c:f>
              <c:strCache>
                <c:ptCount val="1"/>
                <c:pt idx="0">
                  <c:v>Queue Startup</c:v>
                </c:pt>
              </c:strCache>
            </c:strRef>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Location!$O$4:$Q$4</c:f>
              <c:strCache>
                <c:ptCount val="3"/>
                <c:pt idx="0">
                  <c:v>Design
Vehicle</c:v>
                </c:pt>
                <c:pt idx="1">
                  <c:v>Traffic  
Signal  </c:v>
                </c:pt>
                <c:pt idx="2">
                  <c:v>Warning
Device</c:v>
                </c:pt>
              </c:strCache>
            </c:strRef>
          </c:cat>
          <c:val>
            <c:numRef>
              <c:f>Location!$O$18:$Q$18</c:f>
              <c:numCache>
                <c:formatCode>0</c:formatCode>
                <c:ptCount val="3"/>
                <c:pt idx="0">
                  <c:v>4</c:v>
                </c:pt>
              </c:numCache>
            </c:numRef>
          </c:val>
          <c:extLst>
            <c:ext xmlns:c16="http://schemas.microsoft.com/office/drawing/2014/chart" uri="{C3380CC4-5D6E-409C-BE32-E72D297353CC}">
              <c16:uniqueId val="{0000000B-F467-4330-9340-F6FCCD976AE6}"/>
            </c:ext>
          </c:extLst>
        </c:ser>
        <c:ser>
          <c:idx val="11"/>
          <c:order val="12"/>
          <c:tx>
            <c:strRef>
              <c:f>Location!$N$19</c:f>
              <c:strCache>
                <c:ptCount val="1"/>
                <c:pt idx="0">
                  <c:v>Phase Omit</c:v>
                </c:pt>
              </c:strCache>
            </c:strRef>
          </c:tx>
          <c:spPr>
            <a:pattFill prst="wdUpDiag">
              <a:fgClr>
                <a:srgbClr xmlns:mc="http://schemas.openxmlformats.org/markup-compatibility/2006" xmlns:a14="http://schemas.microsoft.com/office/drawing/2010/main" val="FF0000" mc:Ignorable="a14" a14:legacySpreadsheetColorIndex="1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Location!$O$19:$Q$19</c:f>
              <c:numCache>
                <c:formatCode>0</c:formatCode>
                <c:ptCount val="3"/>
                <c:pt idx="1">
                  <c:v>0</c:v>
                </c:pt>
              </c:numCache>
            </c:numRef>
          </c:val>
          <c:extLst>
            <c:ext xmlns:c16="http://schemas.microsoft.com/office/drawing/2014/chart" uri="{C3380CC4-5D6E-409C-BE32-E72D297353CC}">
              <c16:uniqueId val="{0000000C-F467-4330-9340-F6FCCD976AE6}"/>
            </c:ext>
          </c:extLst>
        </c:ser>
        <c:dLbls>
          <c:showLegendKey val="0"/>
          <c:showVal val="0"/>
          <c:showCatName val="0"/>
          <c:showSerName val="0"/>
          <c:showPercent val="0"/>
          <c:showBubbleSize val="0"/>
        </c:dLbls>
        <c:gapWidth val="100"/>
        <c:overlap val="100"/>
        <c:axId val="1230571663"/>
        <c:axId val="1"/>
      </c:barChart>
      <c:catAx>
        <c:axId val="1230571663"/>
        <c:scaling>
          <c:orientation val="minMax"/>
        </c:scaling>
        <c:delete val="0"/>
        <c:axPos val="l"/>
        <c:majorGridlines>
          <c:spPr>
            <a:ln w="3175">
              <a:solidFill>
                <a:srgbClr val="000000"/>
              </a:solidFill>
              <a:prstDash val="solid"/>
            </a:ln>
          </c:spPr>
        </c:majorGridlines>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At val="0"/>
        <c:auto val="1"/>
        <c:lblAlgn val="ctr"/>
        <c:lblOffset val="100"/>
        <c:tickLblSkip val="1"/>
        <c:tickMarkSkip val="1"/>
        <c:noMultiLvlLbl val="0"/>
      </c:catAx>
      <c:valAx>
        <c:axId val="1"/>
        <c:scaling>
          <c:orientation val="minMax"/>
          <c:min val="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200" b="1" i="0" u="none" strike="noStrike" baseline="0">
                    <a:solidFill>
                      <a:srgbClr val="000000"/>
                    </a:solidFill>
                    <a:latin typeface="Arial"/>
                    <a:ea typeface="Arial"/>
                    <a:cs typeface="Arial"/>
                  </a:defRPr>
                </a:pPr>
                <a:r>
                  <a:rPr lang="en-US"/>
                  <a:t>Time in Seconds</a:t>
                </a:r>
              </a:p>
            </c:rich>
          </c:tx>
          <c:layout>
            <c:manualLayout>
              <c:xMode val="edge"/>
              <c:yMode val="edge"/>
              <c:x val="0.44240400667779634"/>
              <c:y val="0.812941670526478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30571663"/>
        <c:crosses val="autoZero"/>
        <c:crossBetween val="between"/>
        <c:majorUnit val="5"/>
        <c:minorUnit val="1"/>
      </c:valAx>
      <c:spPr>
        <a:solidFill>
          <a:srgbClr val="FFFFFF"/>
        </a:solidFill>
        <a:ln w="12700">
          <a:solidFill>
            <a:srgbClr val="808080"/>
          </a:solidFill>
          <a:prstDash val="solid"/>
        </a:ln>
      </c:spPr>
    </c:plotArea>
    <c:legend>
      <c:legendPos val="r"/>
      <c:layout>
        <c:manualLayout>
          <c:xMode val="edge"/>
          <c:yMode val="edge"/>
          <c:x val="9.953654549022016E-2"/>
          <c:y val="0.86355599276689587"/>
          <c:w val="0.81262257841625052"/>
          <c:h val="0.13059225503695565"/>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horizontalDpi="300" verticalDpi="300"/>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100013</xdr:colOff>
      <xdr:row>2</xdr:row>
      <xdr:rowOff>36195</xdr:rowOff>
    </xdr:from>
    <xdr:to>
      <xdr:col>0</xdr:col>
      <xdr:colOff>6721914</xdr:colOff>
      <xdr:row>56</xdr:row>
      <xdr:rowOff>5</xdr:rowOff>
    </xdr:to>
    <xdr:sp macro="" textlink="">
      <xdr:nvSpPr>
        <xdr:cNvPr id="8193" name="Text Box 1">
          <a:extLst>
            <a:ext uri="{FF2B5EF4-FFF2-40B4-BE49-F238E27FC236}">
              <a16:creationId xmlns:a16="http://schemas.microsoft.com/office/drawing/2014/main" id="{64D63A1B-CD04-40FE-A419-708967EADF6B}"/>
            </a:ext>
          </a:extLst>
        </xdr:cNvPr>
        <xdr:cNvSpPr txBox="1">
          <a:spLocks noChangeArrowheads="1"/>
        </xdr:cNvSpPr>
      </xdr:nvSpPr>
      <xdr:spPr bwMode="auto">
        <a:xfrm>
          <a:off x="95250" y="352425"/>
          <a:ext cx="6172200" cy="86772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LADOT Railroad Preemption Form is entirely contained on one worksheet within an Excel workbook. If Additional approaches to the crossing are analyzed, the worksheet can be copied within the workbook to provide the appropriate analysis of the crossing. To copy the worksheet, right click on the worksheet tab, select “Move or Copy”, select the “Create a Copy” checkbox, and select OK. Once copied, rename the worksheet by right clicking on the new tab, and selecting “Rename”. Type in the appropriate name to identify the approach or crossing that is to be analyzed. The data entry process is broken into two sections: Highway and Traffic Signal specific information in yellow boxes and Railroad specific information in blue boxes.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Section 1 consists of the entries specific to the highway and traffic signal system.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1 contains entries for Maximum Approach Move Distance, Maximum Conflicting Move Distance, Minimum Track Clearance Distance (MTCD), Clear Storage Distance (CSD) and Grade. The </a:t>
          </a:r>
          <a:r>
            <a:rPr lang="en-US" sz="1000" b="0" i="1" u="none" strike="noStrike" baseline="0">
              <a:solidFill>
                <a:srgbClr val="000000"/>
              </a:solidFill>
              <a:latin typeface="Arial"/>
              <a:cs typeface="Arial"/>
            </a:rPr>
            <a:t>Maximum Approach Move Distance </a:t>
          </a:r>
          <a:r>
            <a:rPr lang="en-US" sz="1000" b="0" i="0" u="none" strike="noStrike" baseline="0">
              <a:solidFill>
                <a:srgbClr val="000000"/>
              </a:solidFill>
              <a:latin typeface="Arial"/>
              <a:cs typeface="Arial"/>
            </a:rPr>
            <a:t>is the distance (in feet) from the farthest intersection limit line towards the crossing. The </a:t>
          </a:r>
          <a:r>
            <a:rPr lang="en-US" sz="1000" b="0" i="1" u="none" strike="noStrike" baseline="0">
              <a:solidFill>
                <a:srgbClr val="000000"/>
              </a:solidFill>
              <a:latin typeface="Arial"/>
              <a:cs typeface="Arial"/>
            </a:rPr>
            <a:t>Maximum Conflicting Move Distance </a:t>
          </a:r>
          <a:r>
            <a:rPr lang="en-US" sz="1000" b="0" i="0" u="none" strike="noStrike" baseline="0">
              <a:solidFill>
                <a:srgbClr val="000000"/>
              </a:solidFill>
              <a:latin typeface="Arial"/>
              <a:cs typeface="Arial"/>
            </a:rPr>
            <a:t>is the longest distance (in feet) across the adjacent intersection that crosses the path of the track clearance phase. These are used to determine the time require for a design vehicle to clear the intersection prior to activation of the railroad warning devices or display of track clearance green. If these moves are on an uphill grade, enter the percent grade in the adjacent box labeled Grade. The </a:t>
          </a:r>
          <a:r>
            <a:rPr lang="en-US" sz="1000" b="0" i="1" u="sng" strike="noStrike" baseline="0">
              <a:solidFill>
                <a:srgbClr val="000000"/>
              </a:solidFill>
              <a:latin typeface="Arial"/>
              <a:cs typeface="Arial"/>
            </a:rPr>
            <a:t>MTCD</a:t>
          </a:r>
          <a:r>
            <a:rPr lang="en-US" sz="1000" b="0" i="0" u="none" strike="noStrike" baseline="0">
              <a:solidFill>
                <a:srgbClr val="000000"/>
              </a:solidFill>
              <a:latin typeface="Arial"/>
              <a:cs typeface="Arial"/>
            </a:rPr>
            <a:t> is defined to be the distance (in feet) from the railroad warning device limit line or gate to a point 6 feet past the far rail. The </a:t>
          </a:r>
          <a:r>
            <a:rPr lang="en-US" sz="1000" b="0" i="1" u="sng" strike="noStrike" baseline="0">
              <a:solidFill>
                <a:srgbClr val="000000"/>
              </a:solidFill>
              <a:latin typeface="Arial"/>
              <a:cs typeface="Arial"/>
            </a:rPr>
            <a:t>CSD</a:t>
          </a:r>
          <a:r>
            <a:rPr lang="en-US" sz="1000" b="0" i="0" u="none" strike="noStrike" baseline="0">
              <a:solidFill>
                <a:srgbClr val="000000"/>
              </a:solidFill>
              <a:latin typeface="Arial"/>
              <a:cs typeface="Arial"/>
            </a:rPr>
            <a:t> is the distance (in feet) from a point 6 feet past the far rail to the intersection limit line. The sum of the MTCD and CSD values determine the length (L). This is the total distance from the railroad warning device limit line or gate to the intersection limit line. If there is an uphill grade at the crossing, enter the percent grade in the adjacent box labeled Grade.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2 contains information specific to the vehicle characteristics used in the calculation of the MTCD Queue Clearance Time. The default values provided on the form are standard for the types of vehicles shown. These should not be changed unless evaluation of specific vehicle lengths and heights is required. The information regarding the vehicle characteristics is used in the calculation of the vehicle times below the characteristic cells. These values are computed by the spreadsheet and cannot be changed by the user. The row beneath these calculated cells provides an “Include as Design Vehicle?” Yes/No selection for each vehicle type. If the roadway is restricted to certain classes of vehicles, the user may choose to not include a particular type of vehicle by selecting “No”. Typically, all vehicle types should be included in the calculations if they are permitted on the highway.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3 contains the calculations for Green Track Clearance Time and MTCD Queue Clearance Time. These are displayed in the green and pink boxes immediately below the Part 2. These are the minimum amount of time necessary to display a track clearance green to clear the MTCD of a queue of vehicles.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4 contains the entries specific to traffic signal timing.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The Minimum Walk time is the minimum amount of walk time that must be completed prior to entry into railroad preemption. This can be set to zero or more seconds based on the desired operation of the traffic signal during entry into preemption. </a:t>
          </a:r>
        </a:p>
        <a:p>
          <a:pPr algn="l" rtl="0">
            <a:defRPr sz="1000"/>
          </a:pPr>
          <a:r>
            <a:rPr lang="en-US" sz="1000" b="0" i="0" u="none" strike="noStrike" baseline="0">
              <a:solidFill>
                <a:srgbClr val="000000"/>
              </a:solidFill>
              <a:latin typeface="Arial"/>
              <a:cs typeface="Arial"/>
            </a:rPr>
            <a:t>b. The Maximum Ped Clear is the longest pedestrian clearance time that must be completed prior to entry into preemption. This can be set to zero or more seconds based on the desired operation of the traffic signal during entry into preemption. This is typically the Flashing Don't Walk time setting in the controller.</a:t>
          </a:r>
        </a:p>
        <a:p>
          <a:pPr algn="l" rtl="0">
            <a:defRPr sz="1000"/>
          </a:pPr>
          <a:r>
            <a:rPr lang="en-US" sz="1000" b="0" i="0" u="none" strike="noStrike" baseline="0">
              <a:solidFill>
                <a:srgbClr val="000000"/>
              </a:solidFill>
              <a:latin typeface="Arial"/>
              <a:cs typeface="Arial"/>
            </a:rPr>
            <a:t>c. The Minimum Green is the minimum amount of time a green signal must be displayed prior to entry into railroad preemption. This can be set to zero or more seconds based on the desired operation of the traffic signal during entry into preemption. </a:t>
          </a:r>
        </a:p>
        <a:p>
          <a:pPr algn="l" rtl="0">
            <a:defRPr sz="1000"/>
          </a:pPr>
          <a:r>
            <a:rPr lang="en-US" sz="1000" b="0" i="0" u="none" strike="noStrike" baseline="0">
              <a:solidFill>
                <a:srgbClr val="000000"/>
              </a:solidFill>
              <a:latin typeface="Arial"/>
              <a:cs typeface="Arial"/>
            </a:rPr>
            <a:t>d. The Maximum Yellow + All Red is the maximum amount of yellow and all red time that must be displayed prior to entry into preemption. This must be set to 3.0 seconds or more based on the traffic signal controller time settings. </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5</xdr:col>
      <xdr:colOff>171450</xdr:colOff>
      <xdr:row>20</xdr:row>
      <xdr:rowOff>0</xdr:rowOff>
    </xdr:from>
    <xdr:to>
      <xdr:col>5</xdr:col>
      <xdr:colOff>252413</xdr:colOff>
      <xdr:row>21</xdr:row>
      <xdr:rowOff>38100</xdr:rowOff>
    </xdr:to>
    <xdr:sp macro="" textlink="">
      <xdr:nvSpPr>
        <xdr:cNvPr id="8480" name="Text Box 3">
          <a:extLst>
            <a:ext uri="{FF2B5EF4-FFF2-40B4-BE49-F238E27FC236}">
              <a16:creationId xmlns:a16="http://schemas.microsoft.com/office/drawing/2014/main" id="{43954541-E7A2-4AD5-9B19-95F7019529A1}"/>
            </a:ext>
          </a:extLst>
        </xdr:cNvPr>
        <xdr:cNvSpPr txBox="1">
          <a:spLocks noChangeArrowheads="1"/>
        </xdr:cNvSpPr>
      </xdr:nvSpPr>
      <xdr:spPr bwMode="auto">
        <a:xfrm>
          <a:off x="21869400" y="3200400"/>
          <a:ext cx="80963"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528638</xdr:colOff>
      <xdr:row>16</xdr:row>
      <xdr:rowOff>28575</xdr:rowOff>
    </xdr:from>
    <xdr:to>
      <xdr:col>5</xdr:col>
      <xdr:colOff>19050</xdr:colOff>
      <xdr:row>17</xdr:row>
      <xdr:rowOff>66675</xdr:rowOff>
    </xdr:to>
    <xdr:sp macro="" textlink="">
      <xdr:nvSpPr>
        <xdr:cNvPr id="8481" name="Text Box 4">
          <a:extLst>
            <a:ext uri="{FF2B5EF4-FFF2-40B4-BE49-F238E27FC236}">
              <a16:creationId xmlns:a16="http://schemas.microsoft.com/office/drawing/2014/main" id="{7ABD6246-8E31-4D18-926C-49BA701559E9}"/>
            </a:ext>
          </a:extLst>
        </xdr:cNvPr>
        <xdr:cNvSpPr txBox="1">
          <a:spLocks noChangeArrowheads="1"/>
        </xdr:cNvSpPr>
      </xdr:nvSpPr>
      <xdr:spPr bwMode="auto">
        <a:xfrm>
          <a:off x="21636038" y="2581275"/>
          <a:ext cx="80962"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100013</xdr:colOff>
      <xdr:row>2</xdr:row>
      <xdr:rowOff>36195</xdr:rowOff>
    </xdr:from>
    <xdr:to>
      <xdr:col>1</xdr:col>
      <xdr:colOff>6745747</xdr:colOff>
      <xdr:row>56</xdr:row>
      <xdr:rowOff>5</xdr:rowOff>
    </xdr:to>
    <xdr:sp macro="" textlink="">
      <xdr:nvSpPr>
        <xdr:cNvPr id="8197" name="Text Box 5">
          <a:extLst>
            <a:ext uri="{FF2B5EF4-FFF2-40B4-BE49-F238E27FC236}">
              <a16:creationId xmlns:a16="http://schemas.microsoft.com/office/drawing/2014/main" id="{5EC9E490-7390-467F-B6B6-6FFCFCA3080B}"/>
            </a:ext>
          </a:extLst>
        </xdr:cNvPr>
        <xdr:cNvSpPr txBox="1">
          <a:spLocks noChangeArrowheads="1"/>
        </xdr:cNvSpPr>
      </xdr:nvSpPr>
      <xdr:spPr bwMode="auto">
        <a:xfrm>
          <a:off x="6477000" y="352425"/>
          <a:ext cx="6210300" cy="86772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 The Maximum RWTT (Right of Way Transfer Time) is calculated as the maximum  amount of time it takes the controller to transfer from its current phase to the railroad track clearance phase based on the timing parameters entered above. </a:t>
          </a:r>
        </a:p>
        <a:p>
          <a:pPr algn="l" rtl="0">
            <a:defRPr sz="1000"/>
          </a:pPr>
          <a:r>
            <a:rPr lang="en-US" sz="1000" b="0" i="0" u="none" strike="noStrike" baseline="0">
              <a:solidFill>
                <a:srgbClr val="000000"/>
              </a:solidFill>
              <a:latin typeface="Arial"/>
              <a:cs typeface="Arial"/>
            </a:rPr>
            <a:t>f. Separation Time (ST) is additional time that can be provided between the time the traffic clears the track and the train arrival at the crossing. This is determined by the engineering judgment, and can be set to zero or more second. Values of 4 to 8 seconds are typically used. </a:t>
          </a:r>
        </a:p>
        <a:p>
          <a:pPr algn="l" rtl="0">
            <a:defRPr sz="1000"/>
          </a:pPr>
          <a:r>
            <a:rPr lang="en-US" sz="1000" b="0" i="0" u="none" strike="noStrike" baseline="0">
              <a:solidFill>
                <a:srgbClr val="000000"/>
              </a:solidFill>
              <a:latin typeface="Arial"/>
              <a:cs typeface="Arial"/>
            </a:rPr>
            <a:t>g. The Maximum Preemption Time (MPT) is calculated to be the total of MTCD Queue Clearance Time, Maximum RWTT and Separation Time (ST). This is how much time in advance of a train arriving at the crossing that the traffic signal needs to be notified to provide sufficient track clearance green time.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Section 2 consists of the entries specific to the railroad warning system. These can be obtained from the railroad at existing crossings or determined with the railroad for new designs.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The Lights Flash time is the amount of time the railroad warning lights flash once activated before the gates begin to descend. This must be set to at least 3 seconds and can be as high a 9 seconds. </a:t>
          </a:r>
        </a:p>
        <a:p>
          <a:pPr algn="l" rtl="0">
            <a:defRPr sz="1000"/>
          </a:pPr>
          <a:r>
            <a:rPr lang="en-US" sz="1000" b="0" i="0" u="none" strike="noStrike" baseline="0">
              <a:solidFill>
                <a:srgbClr val="000000"/>
              </a:solidFill>
              <a:latin typeface="Arial"/>
              <a:cs typeface="Arial"/>
            </a:rPr>
            <a:t>b. The Gate Descent time is the amount of time it takes the entrance gates to move from the vertical position to the horizontal position. This must be set to at least 8 seconds and can be as high as 20 seconds. </a:t>
          </a:r>
        </a:p>
        <a:p>
          <a:pPr algn="l" rtl="0">
            <a:defRPr sz="1000"/>
          </a:pPr>
          <a:r>
            <a:rPr lang="en-US" sz="1000" b="0" i="0" u="none" strike="noStrike" baseline="0">
              <a:solidFill>
                <a:srgbClr val="000000"/>
              </a:solidFill>
              <a:latin typeface="Arial"/>
              <a:cs typeface="Arial"/>
            </a:rPr>
            <a:t>c. The Minimum Time (MT) is the minimum amount of time the crossing warning system is activated prior to train arrival at the crossing. This must be set to at least 20 seconds.</a:t>
          </a:r>
        </a:p>
        <a:p>
          <a:pPr algn="l" rtl="0">
            <a:defRPr sz="1000"/>
          </a:pPr>
          <a:r>
            <a:rPr lang="en-US" sz="1000" b="0" i="0" u="none" strike="noStrike" baseline="0">
              <a:solidFill>
                <a:srgbClr val="000000"/>
              </a:solidFill>
              <a:latin typeface="Arial"/>
              <a:cs typeface="Arial"/>
            </a:rPr>
            <a:t>d. Clearance Time (CT) is additional warning time provided for wide crossings or other site-specific conditions. This can be set to zero or more seconds. Based on the MTCD entered at the top of the form, a minimum suggested value will be displayed to the right of this entry. The suggested value is based on the requirement that crossings more than 35 feet wide need an one second of Clearance Time for each additional 10 feet of width.</a:t>
          </a:r>
        </a:p>
        <a:p>
          <a:pPr algn="l" rtl="0">
            <a:defRPr sz="1000"/>
          </a:pPr>
          <a:r>
            <a:rPr lang="en-US" sz="1000" b="0" i="0" u="none" strike="noStrike" baseline="0">
              <a:solidFill>
                <a:srgbClr val="000000"/>
              </a:solidFill>
              <a:latin typeface="Arial"/>
              <a:cs typeface="Arial"/>
            </a:rPr>
            <a:t>e. Minimum Warning Time (MWT) is computed from these entries, which is the minimum amount of time that the warning system is activated prior to train arrival at the crossing. </a:t>
          </a:r>
        </a:p>
        <a:p>
          <a:pPr algn="l" rtl="0">
            <a:defRPr sz="1000"/>
          </a:pPr>
          <a:r>
            <a:rPr lang="en-US" sz="1000" b="0" i="0" u="none" strike="noStrike" baseline="0">
              <a:solidFill>
                <a:srgbClr val="000000"/>
              </a:solidFill>
              <a:latin typeface="Arial"/>
              <a:cs typeface="Arial"/>
            </a:rPr>
            <a:t>f. Buffer Time (BT) is discretionary time added by the railroad to account for train handling. This can be set to zero or more seconds. </a:t>
          </a:r>
        </a:p>
        <a:p>
          <a:pPr algn="l" rtl="0">
            <a:defRPr sz="1000"/>
          </a:pPr>
          <a:r>
            <a:rPr lang="en-US" sz="1000" b="0" i="0" u="none" strike="noStrike" baseline="0">
              <a:solidFill>
                <a:srgbClr val="000000"/>
              </a:solidFill>
              <a:latin typeface="Arial"/>
              <a:cs typeface="Arial"/>
            </a:rPr>
            <a:t>g. Total Warning Time (TWT) is obtained by adding Buffer Time (BT) to Minimum Warning Time (MWT), which is the normal amount of warning time in advance of a through train arriving at the crossing</a:t>
          </a:r>
        </a:p>
        <a:p>
          <a:pPr algn="l" rtl="0">
            <a:defRPr sz="1000"/>
          </a:pPr>
          <a:r>
            <a:rPr lang="en-US" sz="1000" b="0" i="0" u="none" strike="noStrike" baseline="0">
              <a:solidFill>
                <a:srgbClr val="000000"/>
              </a:solidFill>
              <a:latin typeface="Arial"/>
              <a:cs typeface="Arial"/>
            </a:rPr>
            <a:t>h. The entry “Include vehicle-gate interaction check?” is a Yes/No selection that the user can choose to adjust the Advance Preemption Time (APT) so the largest design vehicle will not be hit by the gates. This check is optional, but highly recommended to ensure that the design vehicle has sufficient time to move out of the path of the descending gates. </a:t>
          </a:r>
        </a:p>
        <a:p>
          <a:pPr algn="l" rtl="0">
            <a:defRPr sz="1000"/>
          </a:pPr>
          <a:r>
            <a:rPr lang="en-US" sz="1000" b="0" i="0" u="none" strike="noStrike" baseline="0">
              <a:solidFill>
                <a:srgbClr val="000000"/>
              </a:solidFill>
              <a:latin typeface="Arial"/>
              <a:cs typeface="Arial"/>
            </a:rPr>
            <a:t>i. The “Distance from gate to vehicle” is required with a “Yes” selection on item h. This is the distance between the side of the design vehicle and the center of gate mast. This must be set to at least 4 feet and can be as much as 20 feet depending on lane width and gate setback.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resultant Advance Preemption Time (APT) is shown in the purple box, and represents the time before warning system activation that the traffic signal needs to be notified of an approaching train to provide sufficient queue clearance time. If the vehicle gate interaction check is set to No, then the Advance Preemption Time (APT) is the difference between the Maximum Preemption Time (MPT) and the Minimum Warning Time (MWT). If the vehicle-gate interaction check is set to “Yes”, then the Advance Preemption Time (APT) is calculated so the largest design vehicle has enough time to start up and move before the descending gate hits the vehicle. This will usually result in a larger Advance Preemption Time (APT) than when the vehicle-gate interaction check is not performed. This may adjust the Green Track Clearance time and the Separation Time (ST) to account for the additional Advance Preemption Time (APT). A note is shown in red on the form if an adjustment is made.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last two railroad parameters are use to determine the length of approach circuits necessary to provide the calculated Advance Preemption Time (APT).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The Equipment Response Time (ERT) is the amount of time the railroad train detection equipment needs once a train has entered the track circuit before it can be acted upon. This can be set to zero or more seconds, and is typically between 2 and 5 seconds depending on the type of train detection equipment used.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120015</xdr:colOff>
      <xdr:row>2</xdr:row>
      <xdr:rowOff>36195</xdr:rowOff>
    </xdr:from>
    <xdr:to>
      <xdr:col>2</xdr:col>
      <xdr:colOff>6703864</xdr:colOff>
      <xdr:row>56</xdr:row>
      <xdr:rowOff>5</xdr:rowOff>
    </xdr:to>
    <xdr:sp macro="" textlink="">
      <xdr:nvSpPr>
        <xdr:cNvPr id="8198" name="Text Box 6">
          <a:extLst>
            <a:ext uri="{FF2B5EF4-FFF2-40B4-BE49-F238E27FC236}">
              <a16:creationId xmlns:a16="http://schemas.microsoft.com/office/drawing/2014/main" id="{C53836C3-4B84-43E8-A4D5-54E8A1BCD560}"/>
            </a:ext>
          </a:extLst>
        </xdr:cNvPr>
        <xdr:cNvSpPr txBox="1">
          <a:spLocks noChangeArrowheads="1"/>
        </xdr:cNvSpPr>
      </xdr:nvSpPr>
      <xdr:spPr bwMode="auto">
        <a:xfrm>
          <a:off x="12858750" y="352425"/>
          <a:ext cx="6134100" cy="86772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b. Total Approach Time (TAT) is obtained by adding the Equipment Response Time (ERT) to the Total Warning Time (TWT)</a:t>
          </a:r>
        </a:p>
        <a:p>
          <a:pPr algn="l" rtl="0">
            <a:defRPr sz="1000"/>
          </a:pPr>
          <a:r>
            <a:rPr lang="en-US" sz="1000" b="0" i="0" u="none" strike="noStrike" baseline="0">
              <a:solidFill>
                <a:srgbClr val="000000"/>
              </a:solidFill>
              <a:latin typeface="Arial"/>
              <a:cs typeface="Arial"/>
            </a:rPr>
            <a:t>c. Maximum Authorized Speed (MAS), is the highest speed trains are allowed to operate on the approach to the crossing. This must be set to at least 5 miles per hour and can be as high as 100 miles per hour. </a:t>
          </a:r>
        </a:p>
        <a:p>
          <a:pPr algn="l" rtl="0">
            <a:defRPr sz="1000"/>
          </a:pPr>
          <a:r>
            <a:rPr lang="en-US" sz="1000" b="0" i="0" u="none" strike="noStrike" baseline="0">
              <a:solidFill>
                <a:srgbClr val="000000"/>
              </a:solidFill>
              <a:latin typeface="Arial"/>
              <a:cs typeface="Arial"/>
            </a:rPr>
            <a:t>d. The Total Approach Distance (TAD) is obtained by multiplying the Total Approach Time (TAT) by the Maximum Authorized Speed (MAS). This is the required length of the approach circuit.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Preemption Timeline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With the data entry completed, the Preemption Timeline will display the time relationships between the railroad Warning Device, Traffic Signal and the Design Vehicle. The timeline is read from right to left, with the leftmost time zero being train arrival at the crossing. The timeline is a graphical representation of the sequence of events leading up to the train arriving at the crossing, and can be used to determine if the preemption timings entered are adequate.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 Phase Omit interval is shown on the Traffic Signal timeline, then the Maximum Approach Move Distance and/or the Maximum Conflicting Move Distance govern the advance preemption time at the intersection. This means that the traffic signal should not start the approach or conflicting moves during this time to prevent a design vehicle from being stopped at the crossing or blocking the track clearance phase. Appropriate settings in the traffic signal controller should be made to account for this situation at the start of the preemption.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Note that the Green Track Clearance time shown on the Preemption Timeline may be less than the value calculated on the form if it extends beyond the arrival of the train at the crossing. This can occur when a large Clear Storage Distance (CSD) exists, and the value shown on the form should be used for the track clearance green time. Also note that the MTCD Queue Clearance Time calculated on the form is shown in two parts on the preemption timeline: Queue Startup and Queue Clearance. This illustrates the portion of time that is needed before the last design vehicle within length begins to move as well as the time it takes the design vehicle to move through the MTCD. The sum of these two parts is equal to the MTCD Queue Clearance Time shown on the form.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Below the timeline is the “Preemption Timeline displays Minimum RWTT?” Yes/No selection box. Normally this is set to “No” and the preemption timeline displays the worst-case Maximum RWTT time that was used to determine the Advance Preemption Time (APT). Selecting “Yes” will cause the timeline to display the best-case Minimum RWTT time, and can be used to show the variability in preemption timing. Care should be taken when the Maximum RWTT time is large to ensure that track clearance green does not end prior to the warning system activation or vehicles may become trapped on the tracks. If the vehicle-gate interaction check is set to “Yes”, then track clearance green is automatically extended to the point when the gates are horizontal to specifically prevent vehicles from becoming trapped on the tracks. This requires either the programming of a longer track clearance green time, the use of a controller that is capable of dynamically adjusting the track clearance green time to account for RWTT variability, or an interconnection between the railroad system and the traffic signal that does not allow the track clearance green to end until the gates are down.</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2</xdr:row>
      <xdr:rowOff>9525</xdr:rowOff>
    </xdr:from>
    <xdr:to>
      <xdr:col>19</xdr:col>
      <xdr:colOff>0</xdr:colOff>
      <xdr:row>52</xdr:row>
      <xdr:rowOff>9525</xdr:rowOff>
    </xdr:to>
    <xdr:graphicFrame macro="">
      <xdr:nvGraphicFramePr>
        <xdr:cNvPr id="19523" name="Chart 1">
          <a:extLst>
            <a:ext uri="{FF2B5EF4-FFF2-40B4-BE49-F238E27FC236}">
              <a16:creationId xmlns:a16="http://schemas.microsoft.com/office/drawing/2014/main" id="{764BC0DB-BF39-4406-B938-277A85571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7"/>
  <sheetViews>
    <sheetView workbookViewId="0">
      <selection activeCell="F31" sqref="F31"/>
    </sheetView>
  </sheetViews>
  <sheetFormatPr defaultRowHeight="12.75" x14ac:dyDescent="0.35"/>
  <cols>
    <col min="1" max="16" width="4.59765625" bestFit="1" customWidth="1"/>
  </cols>
  <sheetData>
    <row r="1" spans="1:16" x14ac:dyDescent="0.35">
      <c r="B1" s="49">
        <v>0</v>
      </c>
      <c r="C1" s="50">
        <v>0.02</v>
      </c>
      <c r="D1" s="50">
        <v>0.04</v>
      </c>
      <c r="E1" s="50">
        <v>0.06</v>
      </c>
      <c r="F1" s="51">
        <v>0.08</v>
      </c>
      <c r="G1" s="49">
        <v>0</v>
      </c>
      <c r="H1" s="50">
        <v>0.02</v>
      </c>
      <c r="I1" s="50">
        <v>0.04</v>
      </c>
      <c r="J1" s="50">
        <v>0.06</v>
      </c>
      <c r="K1" s="51">
        <v>0.08</v>
      </c>
      <c r="L1" s="49">
        <v>0</v>
      </c>
      <c r="M1" s="50">
        <v>0.02</v>
      </c>
      <c r="N1" s="50">
        <v>0.04</v>
      </c>
      <c r="O1" s="50">
        <v>0.06</v>
      </c>
      <c r="P1" s="51">
        <v>0.08</v>
      </c>
    </row>
    <row r="2" spans="1:16" x14ac:dyDescent="0.35">
      <c r="A2" s="52">
        <v>25</v>
      </c>
      <c r="B2" s="29">
        <v>1</v>
      </c>
      <c r="C2" s="30">
        <v>1</v>
      </c>
      <c r="D2" s="30">
        <v>1.06</v>
      </c>
      <c r="E2" s="30">
        <v>1.1299999999999999</v>
      </c>
      <c r="F2" s="31">
        <v>1.19</v>
      </c>
      <c r="G2" s="29">
        <v>1</v>
      </c>
      <c r="H2" s="30">
        <v>1.01</v>
      </c>
      <c r="I2" s="30">
        <v>1.1000000000000001</v>
      </c>
      <c r="J2" s="30">
        <v>1.19</v>
      </c>
      <c r="K2" s="31">
        <v>1.28</v>
      </c>
      <c r="L2" s="29">
        <v>1</v>
      </c>
      <c r="M2" s="30">
        <v>1.0900000000000001</v>
      </c>
      <c r="N2" s="30">
        <v>1.27</v>
      </c>
      <c r="O2" s="30">
        <v>1.42</v>
      </c>
      <c r="P2" s="31">
        <v>1.55</v>
      </c>
    </row>
    <row r="3" spans="1:16" x14ac:dyDescent="0.35">
      <c r="A3" s="53">
        <v>50</v>
      </c>
      <c r="B3" s="32">
        <v>1</v>
      </c>
      <c r="C3" s="33">
        <v>1</v>
      </c>
      <c r="D3" s="33">
        <v>1.0900000000000001</v>
      </c>
      <c r="E3" s="33">
        <v>1.17</v>
      </c>
      <c r="F3" s="34">
        <v>1.25</v>
      </c>
      <c r="G3" s="32">
        <v>1</v>
      </c>
      <c r="H3" s="33">
        <v>1.01</v>
      </c>
      <c r="I3" s="33">
        <v>1.1200000000000001</v>
      </c>
      <c r="J3" s="33">
        <v>1.21</v>
      </c>
      <c r="K3" s="34">
        <v>1.3</v>
      </c>
      <c r="L3" s="32">
        <v>1</v>
      </c>
      <c r="M3" s="33">
        <v>1.1000000000000001</v>
      </c>
      <c r="N3" s="33">
        <v>1.28</v>
      </c>
      <c r="O3" s="33">
        <v>1.44</v>
      </c>
      <c r="P3" s="34">
        <v>1.58</v>
      </c>
    </row>
    <row r="4" spans="1:16" x14ac:dyDescent="0.35">
      <c r="A4" s="53">
        <v>75</v>
      </c>
      <c r="B4" s="32">
        <v>1</v>
      </c>
      <c r="C4" s="33">
        <v>1</v>
      </c>
      <c r="D4" s="33">
        <v>1.1000000000000001</v>
      </c>
      <c r="E4" s="33">
        <v>1.19</v>
      </c>
      <c r="F4" s="34">
        <v>1.29</v>
      </c>
      <c r="G4" s="32">
        <v>1</v>
      </c>
      <c r="H4" s="33">
        <v>1.02</v>
      </c>
      <c r="I4" s="33">
        <v>1.1299999999999999</v>
      </c>
      <c r="J4" s="33">
        <v>1.23</v>
      </c>
      <c r="K4" s="34">
        <v>1.33</v>
      </c>
      <c r="L4" s="32">
        <v>1</v>
      </c>
      <c r="M4" s="33">
        <v>1.1100000000000001</v>
      </c>
      <c r="N4" s="33">
        <v>1.3</v>
      </c>
      <c r="O4" s="33">
        <v>1.47</v>
      </c>
      <c r="P4" s="34">
        <v>1.61</v>
      </c>
    </row>
    <row r="5" spans="1:16" x14ac:dyDescent="0.35">
      <c r="A5" s="53">
        <v>100</v>
      </c>
      <c r="B5" s="32">
        <v>1</v>
      </c>
      <c r="C5" s="33">
        <v>1</v>
      </c>
      <c r="D5" s="33">
        <v>1.1100000000000001</v>
      </c>
      <c r="E5" s="33">
        <v>1.21</v>
      </c>
      <c r="F5" s="34">
        <v>1.32</v>
      </c>
      <c r="G5" s="32">
        <v>1</v>
      </c>
      <c r="H5" s="33">
        <v>1.02</v>
      </c>
      <c r="I5" s="33">
        <v>1.1399999999999999</v>
      </c>
      <c r="J5" s="33">
        <v>1.25</v>
      </c>
      <c r="K5" s="34">
        <v>1.35</v>
      </c>
      <c r="L5" s="32">
        <v>1</v>
      </c>
      <c r="M5" s="33">
        <v>1.1100000000000001</v>
      </c>
      <c r="N5" s="33">
        <v>1.31</v>
      </c>
      <c r="O5" s="33">
        <v>1.48</v>
      </c>
      <c r="P5" s="34">
        <v>1.64</v>
      </c>
    </row>
    <row r="6" spans="1:16" x14ac:dyDescent="0.35">
      <c r="A6" s="53">
        <v>125</v>
      </c>
      <c r="B6" s="32">
        <v>1</v>
      </c>
      <c r="C6" s="33">
        <v>1</v>
      </c>
      <c r="D6" s="33">
        <v>1.1200000000000001</v>
      </c>
      <c r="E6" s="33">
        <v>1.23</v>
      </c>
      <c r="F6" s="34">
        <v>1.34</v>
      </c>
      <c r="G6" s="32">
        <v>1</v>
      </c>
      <c r="H6" s="33">
        <v>1.03</v>
      </c>
      <c r="I6" s="33">
        <v>1.1499999999999999</v>
      </c>
      <c r="J6" s="33">
        <v>1.26</v>
      </c>
      <c r="K6" s="34">
        <v>1.37</v>
      </c>
      <c r="L6" s="32">
        <v>1</v>
      </c>
      <c r="M6" s="33">
        <v>1.1200000000000001</v>
      </c>
      <c r="N6" s="33">
        <v>1.32</v>
      </c>
      <c r="O6" s="33">
        <v>1.5</v>
      </c>
      <c r="P6" s="34">
        <v>1.66</v>
      </c>
    </row>
    <row r="7" spans="1:16" x14ac:dyDescent="0.35">
      <c r="A7" s="53">
        <v>150</v>
      </c>
      <c r="B7" s="32">
        <v>1</v>
      </c>
      <c r="C7" s="33">
        <v>1</v>
      </c>
      <c r="D7" s="33">
        <v>1.1200000000000001</v>
      </c>
      <c r="E7" s="33">
        <v>1.24</v>
      </c>
      <c r="F7" s="34">
        <v>1.37</v>
      </c>
      <c r="G7" s="32">
        <v>1</v>
      </c>
      <c r="H7" s="33">
        <v>1.03</v>
      </c>
      <c r="I7" s="33">
        <v>1.1599999999999999</v>
      </c>
      <c r="J7" s="33">
        <v>1.28</v>
      </c>
      <c r="K7" s="34">
        <v>1.4</v>
      </c>
      <c r="L7" s="32">
        <v>1</v>
      </c>
      <c r="M7" s="33">
        <v>1.1200000000000001</v>
      </c>
      <c r="N7" s="33">
        <v>1.33</v>
      </c>
      <c r="O7" s="33">
        <v>1.52</v>
      </c>
      <c r="P7" s="34">
        <v>1.68</v>
      </c>
    </row>
    <row r="8" spans="1:16" x14ac:dyDescent="0.35">
      <c r="A8" s="53">
        <v>175</v>
      </c>
      <c r="B8" s="32">
        <v>1</v>
      </c>
      <c r="C8" s="33">
        <v>1</v>
      </c>
      <c r="D8" s="33">
        <v>1.1299999999999999</v>
      </c>
      <c r="E8" s="33">
        <v>1.25</v>
      </c>
      <c r="F8" s="34">
        <v>1.38</v>
      </c>
      <c r="G8" s="32">
        <v>1</v>
      </c>
      <c r="H8" s="33">
        <v>1.03</v>
      </c>
      <c r="I8" s="33">
        <v>1.17</v>
      </c>
      <c r="J8" s="33">
        <v>1.29</v>
      </c>
      <c r="K8" s="34">
        <v>1.42</v>
      </c>
      <c r="L8" s="32">
        <v>1</v>
      </c>
      <c r="M8" s="33">
        <v>1.1200000000000001</v>
      </c>
      <c r="N8" s="33">
        <v>1.34</v>
      </c>
      <c r="O8" s="33">
        <v>1.53</v>
      </c>
      <c r="P8" s="34">
        <v>1.7</v>
      </c>
    </row>
    <row r="9" spans="1:16" x14ac:dyDescent="0.35">
      <c r="A9" s="53">
        <v>200</v>
      </c>
      <c r="B9" s="32">
        <v>1</v>
      </c>
      <c r="C9" s="33">
        <v>1</v>
      </c>
      <c r="D9" s="33">
        <v>1.1299999999999999</v>
      </c>
      <c r="E9" s="33">
        <v>1.26</v>
      </c>
      <c r="F9" s="34">
        <v>1.4</v>
      </c>
      <c r="G9" s="32">
        <v>1</v>
      </c>
      <c r="H9" s="33">
        <v>1.04</v>
      </c>
      <c r="I9" s="33">
        <v>1.17</v>
      </c>
      <c r="J9" s="33">
        <v>1.3</v>
      </c>
      <c r="K9" s="34">
        <v>1.43</v>
      </c>
      <c r="L9" s="32">
        <v>1</v>
      </c>
      <c r="M9" s="33">
        <v>1.1299999999999999</v>
      </c>
      <c r="N9" s="33">
        <v>1.35</v>
      </c>
      <c r="O9" s="33">
        <v>1.54</v>
      </c>
      <c r="P9" s="34">
        <v>1.72</v>
      </c>
    </row>
    <row r="10" spans="1:16" x14ac:dyDescent="0.35">
      <c r="A10" s="53">
        <v>225</v>
      </c>
      <c r="B10" s="32">
        <v>1</v>
      </c>
      <c r="C10" s="33">
        <v>1</v>
      </c>
      <c r="D10" s="33">
        <v>1.1399999999999999</v>
      </c>
      <c r="E10" s="33">
        <v>1.27</v>
      </c>
      <c r="F10" s="34">
        <v>1.42</v>
      </c>
      <c r="G10" s="32">
        <v>1</v>
      </c>
      <c r="H10" s="33">
        <v>1.04</v>
      </c>
      <c r="I10" s="33">
        <v>1.18</v>
      </c>
      <c r="J10" s="33">
        <v>1.32</v>
      </c>
      <c r="K10" s="34">
        <v>1.45</v>
      </c>
      <c r="L10" s="32">
        <v>1</v>
      </c>
      <c r="M10" s="33">
        <v>1.1299999999999999</v>
      </c>
      <c r="N10" s="33">
        <v>1.35</v>
      </c>
      <c r="O10" s="33">
        <v>1.56</v>
      </c>
      <c r="P10" s="34">
        <v>1.74</v>
      </c>
    </row>
    <row r="11" spans="1:16" x14ac:dyDescent="0.35">
      <c r="A11" s="53">
        <v>250</v>
      </c>
      <c r="B11" s="32">
        <v>1</v>
      </c>
      <c r="C11" s="33">
        <v>1</v>
      </c>
      <c r="D11" s="33">
        <v>1.1399999999999999</v>
      </c>
      <c r="E11" s="33">
        <v>1.28</v>
      </c>
      <c r="F11" s="34">
        <v>1.43</v>
      </c>
      <c r="G11" s="32">
        <v>1</v>
      </c>
      <c r="H11" s="33">
        <v>1.04</v>
      </c>
      <c r="I11" s="33">
        <v>1.19</v>
      </c>
      <c r="J11" s="33">
        <v>1.33</v>
      </c>
      <c r="K11" s="34">
        <v>1.47</v>
      </c>
      <c r="L11" s="32">
        <v>1</v>
      </c>
      <c r="M11" s="33">
        <v>1.1299999999999999</v>
      </c>
      <c r="N11" s="33">
        <v>1.36</v>
      </c>
      <c r="O11" s="33">
        <v>1.57</v>
      </c>
      <c r="P11" s="34">
        <v>1.76</v>
      </c>
    </row>
    <row r="12" spans="1:16" x14ac:dyDescent="0.35">
      <c r="A12" s="53">
        <v>275</v>
      </c>
      <c r="B12" s="32">
        <v>1</v>
      </c>
      <c r="C12" s="33">
        <v>1</v>
      </c>
      <c r="D12" s="33">
        <v>1.1399999999999999</v>
      </c>
      <c r="E12" s="33">
        <v>1.29</v>
      </c>
      <c r="F12" s="34">
        <v>1.44</v>
      </c>
      <c r="G12" s="32">
        <v>1</v>
      </c>
      <c r="H12" s="33">
        <v>1.05</v>
      </c>
      <c r="I12" s="33">
        <v>1.2</v>
      </c>
      <c r="J12" s="33">
        <v>1.34</v>
      </c>
      <c r="K12" s="34">
        <v>1.49</v>
      </c>
      <c r="L12" s="32">
        <v>1</v>
      </c>
      <c r="M12" s="33">
        <v>1.1399999999999999</v>
      </c>
      <c r="N12" s="33">
        <v>1.37</v>
      </c>
      <c r="O12" s="33">
        <v>1.58</v>
      </c>
      <c r="P12" s="34">
        <v>1.77</v>
      </c>
    </row>
    <row r="13" spans="1:16" x14ac:dyDescent="0.35">
      <c r="A13" s="53">
        <v>300</v>
      </c>
      <c r="B13" s="32">
        <v>1</v>
      </c>
      <c r="C13" s="33">
        <v>1</v>
      </c>
      <c r="D13" s="33">
        <v>1.1399999999999999</v>
      </c>
      <c r="E13" s="33">
        <v>1.3</v>
      </c>
      <c r="F13" s="34">
        <v>1.46</v>
      </c>
      <c r="G13" s="32">
        <v>1</v>
      </c>
      <c r="H13" s="33">
        <v>1.05</v>
      </c>
      <c r="I13" s="33">
        <v>1.2</v>
      </c>
      <c r="J13" s="33">
        <v>1.35</v>
      </c>
      <c r="K13" s="34">
        <v>1.5</v>
      </c>
      <c r="L13" s="32">
        <v>1</v>
      </c>
      <c r="M13" s="33">
        <v>1.1399999999999999</v>
      </c>
      <c r="N13" s="33">
        <v>1.37</v>
      </c>
      <c r="O13" s="33">
        <v>1.59</v>
      </c>
      <c r="P13" s="34">
        <v>1.79</v>
      </c>
    </row>
    <row r="14" spans="1:16" x14ac:dyDescent="0.35">
      <c r="A14" s="53">
        <v>325</v>
      </c>
      <c r="B14" s="32">
        <v>1</v>
      </c>
      <c r="C14" s="33">
        <v>1</v>
      </c>
      <c r="D14" s="33">
        <v>1.1499999999999999</v>
      </c>
      <c r="E14" s="33">
        <v>1.3</v>
      </c>
      <c r="F14" s="34">
        <v>1.47</v>
      </c>
      <c r="G14" s="32">
        <v>1</v>
      </c>
      <c r="H14" s="33">
        <v>1.05</v>
      </c>
      <c r="I14" s="33">
        <v>1.21</v>
      </c>
      <c r="J14" s="33">
        <v>1.36</v>
      </c>
      <c r="K14" s="34">
        <v>1.52</v>
      </c>
      <c r="L14" s="32">
        <v>1</v>
      </c>
      <c r="M14" s="33">
        <v>1.1399999999999999</v>
      </c>
      <c r="N14" s="33">
        <v>1.38</v>
      </c>
      <c r="O14" s="33">
        <v>1.6</v>
      </c>
      <c r="P14" s="34">
        <v>1.81</v>
      </c>
    </row>
    <row r="15" spans="1:16" x14ac:dyDescent="0.35">
      <c r="A15" s="53">
        <v>350</v>
      </c>
      <c r="B15" s="32">
        <v>1</v>
      </c>
      <c r="C15" s="33">
        <v>1</v>
      </c>
      <c r="D15" s="33">
        <v>1.1499999999999999</v>
      </c>
      <c r="E15" s="33">
        <v>1.31</v>
      </c>
      <c r="F15" s="34">
        <v>1.48</v>
      </c>
      <c r="G15" s="32">
        <v>1</v>
      </c>
      <c r="H15" s="33">
        <v>1.05</v>
      </c>
      <c r="I15" s="33">
        <v>1.22</v>
      </c>
      <c r="J15" s="33">
        <v>1.37</v>
      </c>
      <c r="K15" s="34">
        <v>1.54</v>
      </c>
      <c r="L15" s="32">
        <v>1</v>
      </c>
      <c r="M15" s="33">
        <v>1.1499999999999999</v>
      </c>
      <c r="N15" s="33">
        <v>1.39</v>
      </c>
      <c r="O15" s="33">
        <v>1.61</v>
      </c>
      <c r="P15" s="34">
        <v>1.82</v>
      </c>
    </row>
    <row r="16" spans="1:16" x14ac:dyDescent="0.35">
      <c r="A16" s="53">
        <v>375</v>
      </c>
      <c r="B16" s="32">
        <v>1</v>
      </c>
      <c r="C16" s="33">
        <v>1</v>
      </c>
      <c r="D16" s="33">
        <v>1.1499999999999999</v>
      </c>
      <c r="E16" s="33">
        <v>1.31</v>
      </c>
      <c r="F16" s="34">
        <v>1.49</v>
      </c>
      <c r="G16" s="32">
        <v>1</v>
      </c>
      <c r="H16" s="33">
        <v>1.06</v>
      </c>
      <c r="I16" s="33">
        <v>1.22</v>
      </c>
      <c r="J16" s="33">
        <v>1.38</v>
      </c>
      <c r="K16" s="34">
        <v>1.55</v>
      </c>
      <c r="L16" s="32">
        <v>1</v>
      </c>
      <c r="M16" s="33">
        <v>1.1499999999999999</v>
      </c>
      <c r="N16" s="33">
        <v>1.39</v>
      </c>
      <c r="O16" s="33">
        <v>1.62</v>
      </c>
      <c r="P16" s="34">
        <v>1.84</v>
      </c>
    </row>
    <row r="17" spans="1:16" x14ac:dyDescent="0.35">
      <c r="A17" s="54">
        <v>400</v>
      </c>
      <c r="B17" s="35">
        <v>1</v>
      </c>
      <c r="C17" s="36">
        <v>1</v>
      </c>
      <c r="D17" s="36">
        <v>1.1499999999999999</v>
      </c>
      <c r="E17" s="36">
        <v>1.32</v>
      </c>
      <c r="F17" s="37">
        <v>1.5</v>
      </c>
      <c r="G17" s="35">
        <v>1</v>
      </c>
      <c r="H17" s="36">
        <v>1.06</v>
      </c>
      <c r="I17" s="36">
        <v>1.23</v>
      </c>
      <c r="J17" s="36">
        <v>1.4</v>
      </c>
      <c r="K17" s="37">
        <v>1.57</v>
      </c>
      <c r="L17" s="35">
        <v>1</v>
      </c>
      <c r="M17" s="36">
        <v>1.1499999999999999</v>
      </c>
      <c r="N17" s="36">
        <v>1.4</v>
      </c>
      <c r="O17" s="36">
        <v>1.63</v>
      </c>
      <c r="P17" s="37">
        <v>1.85</v>
      </c>
    </row>
  </sheetData>
  <sheetProtection password="C442" sheet="1" objects="1" scenarios="1"/>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58"/>
  <sheetViews>
    <sheetView view="pageBreakPreview" zoomScale="80" zoomScaleNormal="100" zoomScaleSheetLayoutView="80" workbookViewId="0"/>
  </sheetViews>
  <sheetFormatPr defaultRowHeight="12.75" x14ac:dyDescent="0.35"/>
  <cols>
    <col min="1" max="3" width="95.73046875" style="63" customWidth="1"/>
    <col min="4" max="8" width="8.265625" style="63" customWidth="1"/>
    <col min="9" max="9" width="13" style="63" customWidth="1"/>
    <col min="10" max="10" width="4.73046875" style="63" customWidth="1"/>
    <col min="11" max="21" width="5.86328125" style="63" customWidth="1"/>
    <col min="22" max="22" width="9.1328125" style="63" customWidth="1"/>
    <col min="23" max="23" width="9.1328125" style="71" customWidth="1"/>
  </cols>
  <sheetData>
    <row r="1" spans="1:57" s="23" customFormat="1" ht="12.75" customHeight="1" x14ac:dyDescent="0.4">
      <c r="A1" s="76" t="s">
        <v>80</v>
      </c>
      <c r="B1" s="76" t="s">
        <v>80</v>
      </c>
      <c r="C1" s="76" t="s">
        <v>80</v>
      </c>
      <c r="D1" s="77"/>
      <c r="E1" s="77"/>
      <c r="F1" s="77"/>
      <c r="G1" s="77"/>
      <c r="H1" s="77"/>
      <c r="I1" s="77"/>
      <c r="J1" s="77"/>
      <c r="K1" s="78"/>
      <c r="L1" s="77"/>
      <c r="M1" s="76"/>
      <c r="N1" s="77"/>
      <c r="O1" s="77"/>
      <c r="P1" s="77"/>
      <c r="Q1" s="77"/>
      <c r="R1" s="77"/>
      <c r="S1" s="77"/>
      <c r="T1" s="77"/>
      <c r="U1" s="77"/>
      <c r="V1" s="77"/>
      <c r="W1" s="79"/>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row>
    <row r="2" spans="1:57" ht="12.95" customHeight="1" x14ac:dyDescent="0.4">
      <c r="A2" s="64"/>
      <c r="B2" s="65"/>
      <c r="C2" s="65"/>
      <c r="D2" s="17"/>
      <c r="E2" s="66"/>
      <c r="F2" s="67"/>
      <c r="G2" s="68"/>
      <c r="H2" s="69"/>
      <c r="I2" s="65"/>
      <c r="J2" s="65"/>
      <c r="K2" s="70"/>
      <c r="L2" s="70"/>
      <c r="M2" s="70"/>
    </row>
    <row r="3" spans="1:57" ht="12.95" customHeight="1" x14ac:dyDescent="0.4">
      <c r="A3" s="64"/>
      <c r="B3" s="65"/>
      <c r="C3" s="65"/>
      <c r="D3" s="17"/>
      <c r="E3" s="66"/>
      <c r="F3" s="65"/>
      <c r="G3" s="68"/>
      <c r="H3" s="65"/>
      <c r="I3" s="65"/>
      <c r="J3" s="65"/>
      <c r="K3" s="70"/>
      <c r="L3" s="70"/>
      <c r="M3" s="70"/>
    </row>
    <row r="4" spans="1:57" ht="9.9499999999999993" customHeight="1" x14ac:dyDescent="0.35">
      <c r="A4" s="64"/>
      <c r="B4" s="65"/>
      <c r="C4" s="65"/>
      <c r="D4" s="65"/>
      <c r="E4" s="65"/>
      <c r="F4" s="65"/>
      <c r="G4" s="65"/>
      <c r="H4" s="65"/>
      <c r="I4" s="65"/>
      <c r="J4" s="65"/>
      <c r="K4" s="70"/>
      <c r="L4" s="70"/>
      <c r="M4" s="70"/>
    </row>
    <row r="5" spans="1:57" ht="12.95" customHeight="1" x14ac:dyDescent="0.35">
      <c r="A5" s="64"/>
      <c r="B5" s="65"/>
      <c r="C5" s="65"/>
      <c r="D5" s="65"/>
      <c r="E5" s="65"/>
      <c r="F5" s="65"/>
      <c r="G5" s="65"/>
      <c r="H5" s="65"/>
      <c r="I5" s="65"/>
      <c r="J5" s="65"/>
      <c r="K5" s="70"/>
      <c r="L5" s="70"/>
      <c r="M5" s="70"/>
    </row>
    <row r="6" spans="1:57" ht="12.95" customHeight="1" x14ac:dyDescent="0.35">
      <c r="A6" s="64"/>
      <c r="B6" s="65"/>
      <c r="C6" s="65"/>
      <c r="D6" s="17"/>
      <c r="E6" s="72"/>
      <c r="F6" s="65"/>
      <c r="G6" s="68"/>
      <c r="H6" s="65"/>
      <c r="I6" s="65"/>
      <c r="J6" s="65"/>
      <c r="K6" s="70"/>
      <c r="L6" s="70"/>
      <c r="M6" s="70"/>
    </row>
    <row r="7" spans="1:57" ht="12.95" customHeight="1" x14ac:dyDescent="0.35">
      <c r="A7" s="64"/>
      <c r="B7" s="65"/>
      <c r="C7" s="65"/>
      <c r="D7" s="17"/>
      <c r="E7" s="72"/>
      <c r="F7" s="65"/>
      <c r="G7" s="73"/>
      <c r="H7" s="65"/>
      <c r="I7" s="65"/>
      <c r="J7" s="65"/>
      <c r="K7" s="70"/>
      <c r="L7" s="70"/>
      <c r="M7" s="70"/>
    </row>
    <row r="8" spans="1:57" ht="12.95" customHeight="1" x14ac:dyDescent="0.35">
      <c r="A8" s="64"/>
      <c r="B8" s="65"/>
      <c r="C8" s="65"/>
      <c r="D8" s="17"/>
      <c r="E8" s="72"/>
      <c r="F8" s="65"/>
      <c r="G8" s="73"/>
      <c r="H8" s="65"/>
      <c r="I8" s="65"/>
      <c r="J8" s="65"/>
      <c r="K8" s="70"/>
      <c r="L8" s="70"/>
      <c r="M8" s="70"/>
    </row>
    <row r="9" spans="1:57" ht="12.95" customHeight="1" x14ac:dyDescent="0.35">
      <c r="A9" s="64"/>
      <c r="B9" s="65"/>
      <c r="C9" s="65"/>
      <c r="D9" s="74"/>
      <c r="E9" s="75"/>
      <c r="F9" s="65"/>
      <c r="G9" s="73"/>
      <c r="H9" s="65"/>
      <c r="I9" s="65"/>
      <c r="J9" s="65"/>
      <c r="K9" s="70"/>
      <c r="L9" s="70"/>
      <c r="M9" s="70"/>
    </row>
    <row r="10" spans="1:57" ht="12.95" customHeight="1" x14ac:dyDescent="0.4">
      <c r="A10" s="64"/>
      <c r="B10" s="65"/>
      <c r="C10" s="65"/>
      <c r="D10" s="74"/>
      <c r="E10" s="66"/>
      <c r="F10" s="65"/>
      <c r="G10" s="73"/>
      <c r="H10" s="65"/>
      <c r="I10" s="65"/>
      <c r="J10" s="65"/>
      <c r="K10" s="70"/>
      <c r="L10" s="70"/>
      <c r="M10" s="70"/>
    </row>
    <row r="11" spans="1:57" x14ac:dyDescent="0.35">
      <c r="A11" s="62"/>
      <c r="B11" s="62"/>
      <c r="C11" s="62"/>
      <c r="D11" s="62"/>
      <c r="E11" s="62"/>
      <c r="F11" s="62"/>
      <c r="G11" s="62"/>
      <c r="H11" s="62"/>
      <c r="I11" s="62"/>
      <c r="J11" s="62"/>
    </row>
    <row r="12" spans="1:57" x14ac:dyDescent="0.35">
      <c r="A12" s="62"/>
      <c r="B12" s="62"/>
      <c r="C12" s="62"/>
      <c r="D12" s="62"/>
      <c r="E12" s="62"/>
      <c r="F12" s="62"/>
      <c r="G12" s="62"/>
      <c r="H12" s="62"/>
      <c r="I12" s="62"/>
      <c r="J12" s="62"/>
    </row>
    <row r="13" spans="1:57" x14ac:dyDescent="0.35">
      <c r="A13" s="62"/>
      <c r="B13" s="62"/>
      <c r="C13" s="62"/>
      <c r="D13" s="62"/>
      <c r="E13" s="62"/>
      <c r="F13" s="62"/>
      <c r="G13" s="62"/>
      <c r="H13" s="62"/>
      <c r="I13" s="62"/>
      <c r="J13" s="62"/>
    </row>
    <row r="14" spans="1:57" x14ac:dyDescent="0.35">
      <c r="A14" s="62"/>
      <c r="B14" s="62"/>
      <c r="C14" s="62"/>
      <c r="D14" s="62"/>
      <c r="E14" s="62"/>
      <c r="F14" s="62"/>
      <c r="G14" s="62"/>
      <c r="H14" s="62"/>
      <c r="I14" s="62"/>
      <c r="J14" s="62"/>
    </row>
    <row r="15" spans="1:57" x14ac:dyDescent="0.35">
      <c r="A15" s="62"/>
      <c r="B15" s="62"/>
      <c r="C15" s="62"/>
      <c r="D15" s="62"/>
      <c r="E15" s="62"/>
      <c r="F15" s="62"/>
      <c r="G15" s="62"/>
      <c r="H15" s="62"/>
      <c r="I15" s="62"/>
      <c r="J15" s="62"/>
    </row>
    <row r="16" spans="1:57" x14ac:dyDescent="0.35">
      <c r="A16" s="62"/>
      <c r="B16" s="62"/>
      <c r="C16" s="62"/>
      <c r="D16" s="62"/>
      <c r="E16" s="62"/>
      <c r="F16" s="62"/>
      <c r="G16" s="62"/>
      <c r="H16" s="62"/>
      <c r="I16" s="62"/>
      <c r="J16" s="62"/>
    </row>
    <row r="17" spans="1:10" x14ac:dyDescent="0.35">
      <c r="A17" s="62"/>
      <c r="B17" s="62"/>
      <c r="C17" s="62"/>
      <c r="D17" s="62"/>
      <c r="E17" s="62"/>
      <c r="F17" s="62"/>
      <c r="G17" s="62"/>
      <c r="H17" s="62"/>
      <c r="I17" s="62"/>
      <c r="J17" s="62"/>
    </row>
    <row r="18" spans="1:10" x14ac:dyDescent="0.35">
      <c r="A18" s="62"/>
      <c r="B18" s="62"/>
      <c r="C18" s="62"/>
      <c r="D18" s="62"/>
      <c r="E18" s="62"/>
      <c r="F18" s="62"/>
      <c r="G18" s="62"/>
      <c r="H18" s="62"/>
      <c r="I18" s="62"/>
      <c r="J18" s="62"/>
    </row>
    <row r="19" spans="1:10" x14ac:dyDescent="0.35">
      <c r="A19" s="62"/>
      <c r="B19" s="62"/>
      <c r="C19" s="62"/>
      <c r="D19" s="62"/>
      <c r="E19" s="62"/>
      <c r="F19" s="62"/>
      <c r="G19" s="62"/>
      <c r="H19" s="62"/>
      <c r="I19" s="62"/>
      <c r="J19" s="62"/>
    </row>
    <row r="20" spans="1:10" x14ac:dyDescent="0.35">
      <c r="A20" s="62"/>
      <c r="B20" s="62"/>
      <c r="C20" s="62"/>
      <c r="D20" s="62"/>
      <c r="E20" s="62"/>
      <c r="F20" s="62"/>
      <c r="G20" s="62"/>
      <c r="H20" s="62"/>
      <c r="I20" s="62"/>
      <c r="J20" s="62"/>
    </row>
    <row r="21" spans="1:10" x14ac:dyDescent="0.35">
      <c r="A21" s="62"/>
      <c r="B21" s="62"/>
      <c r="C21" s="62"/>
      <c r="D21" s="62"/>
      <c r="E21" s="62"/>
      <c r="F21" s="62"/>
      <c r="G21" s="62"/>
      <c r="H21" s="62"/>
      <c r="I21" s="62"/>
      <c r="J21" s="62"/>
    </row>
    <row r="22" spans="1:10" x14ac:dyDescent="0.35">
      <c r="A22" s="62"/>
      <c r="B22" s="62"/>
      <c r="C22" s="62"/>
      <c r="D22" s="62"/>
      <c r="E22" s="62"/>
      <c r="F22" s="62"/>
      <c r="G22" s="62"/>
      <c r="H22" s="62"/>
      <c r="I22" s="62"/>
      <c r="J22" s="62"/>
    </row>
    <row r="23" spans="1:10" x14ac:dyDescent="0.35">
      <c r="A23" s="62"/>
      <c r="B23" s="62"/>
      <c r="C23" s="62"/>
      <c r="D23" s="62"/>
      <c r="E23" s="62"/>
      <c r="F23" s="62"/>
      <c r="G23" s="62"/>
      <c r="H23" s="62"/>
      <c r="I23" s="62"/>
      <c r="J23" s="62"/>
    </row>
    <row r="24" spans="1:10" x14ac:dyDescent="0.35">
      <c r="A24" s="62"/>
      <c r="B24" s="62"/>
      <c r="C24" s="62"/>
      <c r="D24" s="62"/>
      <c r="E24" s="62"/>
      <c r="F24" s="62"/>
      <c r="G24" s="62"/>
      <c r="H24" s="62"/>
      <c r="I24" s="62"/>
      <c r="J24" s="62"/>
    </row>
    <row r="25" spans="1:10" x14ac:dyDescent="0.35">
      <c r="A25" s="62"/>
      <c r="B25" s="62"/>
      <c r="C25" s="62"/>
      <c r="D25" s="62"/>
      <c r="E25" s="62"/>
      <c r="F25" s="62"/>
      <c r="G25" s="62"/>
      <c r="H25" s="62"/>
      <c r="I25" s="62"/>
      <c r="J25" s="62"/>
    </row>
    <row r="26" spans="1:10" x14ac:dyDescent="0.35">
      <c r="A26" s="62"/>
      <c r="B26" s="62"/>
      <c r="C26" s="62"/>
      <c r="D26" s="62"/>
      <c r="E26" s="62"/>
      <c r="F26" s="62"/>
      <c r="G26" s="62"/>
      <c r="H26" s="62"/>
      <c r="I26" s="62"/>
      <c r="J26" s="62"/>
    </row>
    <row r="27" spans="1:10" x14ac:dyDescent="0.35">
      <c r="A27" s="62"/>
      <c r="B27" s="62"/>
      <c r="C27" s="62"/>
      <c r="D27" s="62"/>
      <c r="E27" s="62"/>
      <c r="F27" s="62"/>
      <c r="G27" s="62"/>
      <c r="H27" s="62"/>
      <c r="I27" s="62"/>
      <c r="J27" s="62"/>
    </row>
    <row r="28" spans="1:10" x14ac:dyDescent="0.35">
      <c r="A28" s="62"/>
      <c r="B28" s="62"/>
      <c r="C28" s="62"/>
      <c r="D28" s="62"/>
      <c r="E28" s="62"/>
      <c r="F28" s="62"/>
      <c r="G28" s="62"/>
      <c r="H28" s="62"/>
      <c r="I28" s="62"/>
      <c r="J28" s="62"/>
    </row>
    <row r="29" spans="1:10" x14ac:dyDescent="0.35">
      <c r="A29" s="62"/>
      <c r="B29" s="62"/>
      <c r="C29" s="62"/>
      <c r="D29" s="62"/>
      <c r="E29" s="62"/>
      <c r="F29" s="62"/>
      <c r="G29" s="62"/>
      <c r="H29" s="62"/>
      <c r="I29" s="62"/>
      <c r="J29" s="62"/>
    </row>
    <row r="30" spans="1:10" x14ac:dyDescent="0.35">
      <c r="A30" s="62"/>
      <c r="B30" s="62"/>
      <c r="C30" s="62"/>
      <c r="D30" s="62"/>
      <c r="E30" s="62"/>
      <c r="F30" s="62"/>
      <c r="G30" s="62"/>
      <c r="H30" s="62"/>
      <c r="I30" s="62"/>
      <c r="J30" s="62"/>
    </row>
    <row r="31" spans="1:10" x14ac:dyDescent="0.35">
      <c r="A31" s="62"/>
      <c r="B31" s="62"/>
      <c r="C31" s="62"/>
      <c r="D31" s="62"/>
      <c r="E31" s="62"/>
      <c r="F31" s="62"/>
      <c r="G31" s="62"/>
      <c r="H31" s="62"/>
      <c r="I31" s="62"/>
      <c r="J31" s="62"/>
    </row>
    <row r="32" spans="1:10" x14ac:dyDescent="0.35">
      <c r="A32" s="62"/>
      <c r="B32" s="62"/>
      <c r="C32" s="62"/>
      <c r="D32" s="62"/>
      <c r="E32" s="62"/>
      <c r="F32" s="62"/>
      <c r="G32" s="62"/>
      <c r="H32" s="62"/>
      <c r="I32" s="62"/>
      <c r="J32" s="62"/>
    </row>
    <row r="33" spans="1:10" x14ac:dyDescent="0.35">
      <c r="A33" s="62"/>
      <c r="B33" s="62"/>
      <c r="C33" s="62"/>
      <c r="D33" s="62"/>
      <c r="E33" s="62"/>
      <c r="F33" s="62"/>
      <c r="G33" s="62"/>
      <c r="H33" s="62"/>
      <c r="I33" s="62"/>
      <c r="J33" s="62"/>
    </row>
    <row r="34" spans="1:10" x14ac:dyDescent="0.35">
      <c r="A34" s="62"/>
      <c r="B34" s="62"/>
      <c r="C34" s="62"/>
      <c r="D34" s="62"/>
      <c r="E34" s="62"/>
      <c r="F34" s="62"/>
      <c r="G34" s="62"/>
      <c r="H34" s="62"/>
      <c r="I34" s="62"/>
      <c r="J34" s="62"/>
    </row>
    <row r="35" spans="1:10" x14ac:dyDescent="0.35">
      <c r="A35" s="62"/>
      <c r="B35" s="62"/>
      <c r="C35" s="62"/>
      <c r="D35" s="62"/>
      <c r="E35" s="62"/>
      <c r="F35" s="62"/>
      <c r="G35" s="62"/>
      <c r="H35" s="62"/>
      <c r="I35" s="62"/>
      <c r="J35" s="62"/>
    </row>
    <row r="36" spans="1:10" x14ac:dyDescent="0.35">
      <c r="A36" s="62"/>
      <c r="B36" s="62"/>
      <c r="C36" s="62"/>
      <c r="D36" s="62"/>
      <c r="E36" s="62"/>
      <c r="F36" s="62"/>
      <c r="G36" s="62"/>
      <c r="H36" s="62"/>
      <c r="I36" s="62"/>
      <c r="J36" s="62"/>
    </row>
    <row r="37" spans="1:10" x14ac:dyDescent="0.35">
      <c r="A37" s="62"/>
      <c r="B37" s="62"/>
      <c r="C37" s="62"/>
      <c r="D37" s="62"/>
      <c r="E37" s="62"/>
      <c r="F37" s="62"/>
      <c r="G37" s="62"/>
      <c r="H37" s="62"/>
      <c r="I37" s="62"/>
      <c r="J37" s="62"/>
    </row>
    <row r="38" spans="1:10" x14ac:dyDescent="0.35">
      <c r="A38" s="62"/>
      <c r="B38" s="62"/>
      <c r="C38" s="62"/>
      <c r="D38" s="62"/>
      <c r="E38" s="62"/>
      <c r="F38" s="62"/>
      <c r="G38" s="62"/>
      <c r="H38" s="62"/>
      <c r="I38" s="62"/>
      <c r="J38" s="62"/>
    </row>
    <row r="39" spans="1:10" x14ac:dyDescent="0.35">
      <c r="A39" s="62"/>
      <c r="B39" s="62"/>
      <c r="C39" s="62"/>
      <c r="D39" s="62"/>
      <c r="E39" s="62"/>
      <c r="F39" s="62"/>
      <c r="G39" s="62"/>
      <c r="H39" s="62"/>
      <c r="I39" s="62"/>
      <c r="J39" s="62"/>
    </row>
    <row r="40" spans="1:10" x14ac:dyDescent="0.35">
      <c r="A40" s="62"/>
      <c r="B40" s="62"/>
      <c r="C40" s="62"/>
      <c r="D40" s="62"/>
      <c r="E40" s="62"/>
      <c r="F40" s="62"/>
      <c r="G40" s="62"/>
      <c r="H40" s="62"/>
      <c r="I40" s="62"/>
      <c r="J40" s="62"/>
    </row>
    <row r="41" spans="1:10" x14ac:dyDescent="0.35">
      <c r="A41" s="62"/>
      <c r="B41" s="62"/>
      <c r="C41" s="62"/>
      <c r="D41" s="62"/>
      <c r="E41" s="62"/>
      <c r="F41" s="62"/>
      <c r="G41" s="62"/>
      <c r="H41" s="62"/>
      <c r="I41" s="62"/>
      <c r="J41" s="62"/>
    </row>
    <row r="42" spans="1:10" x14ac:dyDescent="0.35">
      <c r="A42" s="62"/>
      <c r="B42" s="62"/>
      <c r="C42" s="62"/>
      <c r="D42" s="62"/>
      <c r="E42" s="62"/>
      <c r="F42" s="62"/>
      <c r="G42" s="62"/>
      <c r="H42" s="62"/>
      <c r="I42" s="62"/>
      <c r="J42" s="62"/>
    </row>
    <row r="43" spans="1:10" x14ac:dyDescent="0.35">
      <c r="A43" s="62"/>
      <c r="B43" s="62"/>
      <c r="C43" s="62"/>
      <c r="D43" s="62"/>
      <c r="E43" s="62"/>
      <c r="F43" s="62"/>
      <c r="G43" s="62"/>
      <c r="H43" s="62"/>
      <c r="I43" s="62"/>
      <c r="J43" s="62"/>
    </row>
    <row r="44" spans="1:10" x14ac:dyDescent="0.35">
      <c r="A44" s="62"/>
      <c r="B44" s="62"/>
      <c r="C44" s="62"/>
      <c r="D44" s="62"/>
      <c r="E44" s="62"/>
      <c r="F44" s="62"/>
      <c r="G44" s="62"/>
      <c r="H44" s="62"/>
      <c r="I44" s="62"/>
      <c r="J44" s="62"/>
    </row>
    <row r="45" spans="1:10" x14ac:dyDescent="0.35">
      <c r="A45" s="62"/>
      <c r="B45" s="62"/>
      <c r="C45" s="62"/>
      <c r="D45" s="62"/>
      <c r="E45" s="62"/>
      <c r="F45" s="62"/>
      <c r="G45" s="62"/>
      <c r="H45" s="62"/>
      <c r="I45" s="62"/>
      <c r="J45" s="62"/>
    </row>
    <row r="46" spans="1:10" x14ac:dyDescent="0.35">
      <c r="A46" s="62"/>
      <c r="B46" s="62"/>
      <c r="C46" s="62"/>
      <c r="D46" s="62"/>
      <c r="E46" s="62"/>
      <c r="F46" s="62"/>
      <c r="G46" s="62"/>
      <c r="H46" s="62"/>
      <c r="I46" s="62"/>
      <c r="J46" s="62"/>
    </row>
    <row r="47" spans="1:10" x14ac:dyDescent="0.35">
      <c r="A47" s="62"/>
      <c r="B47" s="62"/>
      <c r="C47" s="62"/>
      <c r="D47" s="62"/>
      <c r="E47" s="62"/>
      <c r="F47" s="62"/>
      <c r="G47" s="62"/>
      <c r="H47" s="62"/>
      <c r="I47" s="62"/>
      <c r="J47" s="62"/>
    </row>
    <row r="48" spans="1:10" x14ac:dyDescent="0.35">
      <c r="A48" s="62"/>
      <c r="B48" s="62"/>
      <c r="C48" s="62"/>
      <c r="D48" s="62"/>
      <c r="E48" s="62"/>
      <c r="F48" s="62"/>
      <c r="G48" s="62"/>
      <c r="H48" s="62"/>
      <c r="I48" s="62"/>
      <c r="J48" s="62"/>
    </row>
    <row r="49" spans="1:10" x14ac:dyDescent="0.35">
      <c r="A49" s="62"/>
      <c r="B49" s="62"/>
      <c r="C49" s="62"/>
      <c r="D49" s="62"/>
      <c r="E49" s="62"/>
      <c r="F49" s="62"/>
      <c r="G49" s="62"/>
      <c r="H49" s="62"/>
      <c r="I49" s="62"/>
      <c r="J49" s="62"/>
    </row>
    <row r="50" spans="1:10" x14ac:dyDescent="0.35">
      <c r="A50" s="62"/>
      <c r="B50" s="62"/>
      <c r="C50" s="62"/>
      <c r="D50" s="62"/>
      <c r="E50" s="62"/>
      <c r="F50" s="62"/>
      <c r="G50" s="62"/>
      <c r="H50" s="62"/>
      <c r="I50" s="62"/>
      <c r="J50" s="62"/>
    </row>
    <row r="51" spans="1:10" x14ac:dyDescent="0.35">
      <c r="A51" s="62"/>
      <c r="B51" s="62"/>
      <c r="C51" s="62"/>
      <c r="D51" s="62"/>
      <c r="E51" s="62"/>
      <c r="F51" s="62"/>
      <c r="G51" s="62"/>
      <c r="H51" s="62"/>
      <c r="I51" s="62"/>
      <c r="J51" s="62"/>
    </row>
    <row r="52" spans="1:10" x14ac:dyDescent="0.35">
      <c r="A52" s="62"/>
      <c r="B52" s="62"/>
      <c r="C52" s="62"/>
      <c r="D52" s="62"/>
      <c r="E52" s="62"/>
      <c r="F52" s="62"/>
      <c r="G52" s="62"/>
      <c r="H52" s="62"/>
      <c r="I52" s="62"/>
      <c r="J52" s="62"/>
    </row>
    <row r="58" spans="1:10" ht="13.15" x14ac:dyDescent="0.4">
      <c r="A58" s="76" t="s">
        <v>60</v>
      </c>
      <c r="B58" s="76" t="s">
        <v>61</v>
      </c>
      <c r="C58" s="76" t="s">
        <v>62</v>
      </c>
    </row>
  </sheetData>
  <phoneticPr fontId="0" type="noConversion"/>
  <dataValidations count="4">
    <dataValidation type="whole" operator="greaterThanOrEqual" showInputMessage="1" showErrorMessage="1" errorTitle="Minimum Walk" error="Out of range (minimum 0 seconds)" promptTitle="Minimum Walk" prompt="Time in seconds" sqref="E6">
      <formula1>0</formula1>
    </dataValidation>
    <dataValidation type="whole" operator="greaterThanOrEqual" showInputMessage="1" showErrorMessage="1" errorTitle="Maximum Ped Clear" error="Out of range (minimum 0 seconds)" promptTitle="Maximum Ped Clear" prompt="Time in seconds" sqref="E7">
      <formula1>0</formula1>
    </dataValidation>
    <dataValidation type="whole" operator="greaterThanOrEqual" showInputMessage="1" showErrorMessage="1" errorTitle="Minimum Green" error="Out of range (minimum 0 seconds)" promptTitle="Minimum Green" prompt="Time in seconds" sqref="E8">
      <formula1>0</formula1>
    </dataValidation>
    <dataValidation type="decimal" operator="greaterThanOrEqual" showInputMessage="1" showErrorMessage="1" errorTitle="Maximum Yellow plus All Red" error="Out of range (minimum 3.0 seconds)" promptTitle="Maximum Yellow plus All Red" prompt="Time in seconds" sqref="E9">
      <formula1>3</formula1>
    </dataValidation>
  </dataValidations>
  <pageMargins left="0.75" right="0.75" top="0.5" bottom="0.5" header="0.5" footer="0.5"/>
  <pageSetup scale="9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59"/>
  <sheetViews>
    <sheetView tabSelected="1" zoomScale="70" zoomScaleNormal="70" workbookViewId="0">
      <selection activeCell="H6" sqref="H6"/>
    </sheetView>
  </sheetViews>
  <sheetFormatPr defaultRowHeight="12.75" x14ac:dyDescent="0.35"/>
  <cols>
    <col min="1" max="1" width="6.73046875" customWidth="1"/>
    <col min="2" max="2" width="13.73046875" customWidth="1"/>
    <col min="3" max="11" width="6.73046875" customWidth="1"/>
    <col min="12" max="13" width="8.73046875" customWidth="1"/>
    <col min="14" max="14" width="24.73046875" customWidth="1"/>
    <col min="15" max="17" width="8.73046875" style="23" customWidth="1"/>
    <col min="18" max="19" width="8.73046875" customWidth="1"/>
    <col min="20" max="31" width="5.86328125" customWidth="1"/>
  </cols>
  <sheetData>
    <row r="1" spans="2:20" ht="16.5" customHeight="1" thickBot="1" x14ac:dyDescent="0.45">
      <c r="B1" s="1" t="s">
        <v>81</v>
      </c>
      <c r="C1" s="1"/>
      <c r="D1" s="1"/>
      <c r="E1" s="1"/>
      <c r="F1" s="1"/>
      <c r="G1" s="1"/>
      <c r="H1" s="1"/>
      <c r="I1" s="1"/>
      <c r="J1" s="2" t="s">
        <v>82</v>
      </c>
      <c r="K1" s="2"/>
      <c r="L1" s="1" t="str">
        <f>B1</f>
        <v>LADOT Railroad Preemption Form</v>
      </c>
      <c r="M1" s="1"/>
      <c r="N1" s="1"/>
      <c r="O1" s="24"/>
      <c r="P1" s="24"/>
      <c r="S1" s="2" t="str">
        <f>J1</f>
        <v>Revised 6/23/2008</v>
      </c>
    </row>
    <row r="2" spans="2:20" ht="16.5" customHeight="1" thickBot="1" x14ac:dyDescent="0.4">
      <c r="B2" s="117" t="s">
        <v>54</v>
      </c>
      <c r="C2" s="122"/>
      <c r="D2" s="122"/>
      <c r="E2" s="122"/>
      <c r="F2" s="122"/>
      <c r="G2" s="123" t="s">
        <v>59</v>
      </c>
      <c r="H2" s="124"/>
      <c r="I2" s="127"/>
      <c r="J2" s="128"/>
      <c r="K2" s="7"/>
      <c r="L2" s="131" t="s">
        <v>54</v>
      </c>
      <c r="M2" s="132"/>
      <c r="N2" s="129" t="str">
        <f>IF(C2="","",C2)</f>
        <v/>
      </c>
      <c r="O2" s="130"/>
      <c r="P2" s="123" t="s">
        <v>59</v>
      </c>
      <c r="Q2" s="124"/>
      <c r="R2" s="125" t="str">
        <f>IF(I2="","",I2)</f>
        <v/>
      </c>
      <c r="S2" s="126"/>
      <c r="T2" s="7"/>
    </row>
    <row r="3" spans="2:20" ht="12.75" customHeight="1" x14ac:dyDescent="0.4">
      <c r="B3" s="120" t="s">
        <v>70</v>
      </c>
      <c r="C3" s="57"/>
      <c r="D3" s="57"/>
      <c r="E3" s="58"/>
      <c r="F3" s="57"/>
      <c r="G3" s="57"/>
      <c r="H3" s="57"/>
      <c r="I3" s="57"/>
      <c r="J3" s="59"/>
      <c r="K3" s="7"/>
      <c r="L3" s="1"/>
      <c r="N3" s="61"/>
      <c r="O3" s="24"/>
      <c r="P3" s="24"/>
    </row>
    <row r="4" spans="2:20" ht="12.75" customHeight="1" x14ac:dyDescent="0.4">
      <c r="B4" s="119" t="s">
        <v>55</v>
      </c>
      <c r="C4" s="40"/>
      <c r="D4" s="40"/>
      <c r="E4" s="41"/>
      <c r="F4" s="40"/>
      <c r="G4" s="40"/>
      <c r="H4" s="40"/>
      <c r="I4" s="40"/>
      <c r="J4" s="42"/>
      <c r="K4" s="7"/>
      <c r="L4" s="1"/>
      <c r="O4" s="22" t="s">
        <v>50</v>
      </c>
      <c r="P4" s="22" t="s">
        <v>49</v>
      </c>
      <c r="Q4" s="22" t="s">
        <v>0</v>
      </c>
    </row>
    <row r="5" spans="2:20" ht="12.75" customHeight="1" x14ac:dyDescent="0.4">
      <c r="B5" s="81"/>
      <c r="C5" s="45"/>
      <c r="D5" s="45"/>
      <c r="E5" s="9" t="s">
        <v>72</v>
      </c>
      <c r="F5" s="10">
        <v>0</v>
      </c>
      <c r="G5" s="8" t="s">
        <v>4</v>
      </c>
      <c r="H5" s="82" t="s">
        <v>52</v>
      </c>
      <c r="I5" s="38">
        <v>0</v>
      </c>
      <c r="J5" s="93" t="s">
        <v>53</v>
      </c>
      <c r="K5" s="7"/>
      <c r="L5" s="1"/>
      <c r="O5" s="22"/>
      <c r="P5" s="22"/>
      <c r="Q5" s="22"/>
    </row>
    <row r="6" spans="2:20" ht="12.75" customHeight="1" x14ac:dyDescent="0.4">
      <c r="B6" s="81"/>
      <c r="C6" s="45"/>
      <c r="D6" s="45"/>
      <c r="E6" s="9" t="s">
        <v>64</v>
      </c>
      <c r="F6" s="10">
        <v>0</v>
      </c>
      <c r="G6" s="8" t="s">
        <v>4</v>
      </c>
      <c r="H6" s="82" t="s">
        <v>52</v>
      </c>
      <c r="I6" s="38">
        <v>0</v>
      </c>
      <c r="J6" s="93" t="s">
        <v>53</v>
      </c>
      <c r="K6" s="7"/>
      <c r="L6" s="1"/>
      <c r="O6" s="22"/>
      <c r="P6" s="22"/>
      <c r="Q6" s="22"/>
    </row>
    <row r="7" spans="2:20" ht="12.75" customHeight="1" x14ac:dyDescent="0.35">
      <c r="B7" s="6"/>
      <c r="C7" s="3"/>
      <c r="D7" s="3"/>
      <c r="E7" s="82"/>
      <c r="F7" s="8"/>
      <c r="G7" s="8"/>
      <c r="H7" s="8"/>
      <c r="I7" s="8"/>
      <c r="J7" s="93"/>
      <c r="K7" s="3"/>
      <c r="N7" t="s">
        <v>1</v>
      </c>
      <c r="Q7" s="25">
        <f>F42+F43-F40-F41</f>
        <v>13</v>
      </c>
      <c r="R7" s="121"/>
    </row>
    <row r="8" spans="2:20" ht="12.75" customHeight="1" x14ac:dyDescent="0.35">
      <c r="B8" s="6"/>
      <c r="C8" s="3"/>
      <c r="D8" s="8"/>
      <c r="E8" s="9" t="s">
        <v>65</v>
      </c>
      <c r="F8" s="10">
        <v>40</v>
      </c>
      <c r="G8" s="8" t="s">
        <v>4</v>
      </c>
      <c r="H8" s="82" t="s">
        <v>52</v>
      </c>
      <c r="I8" s="38">
        <v>0</v>
      </c>
      <c r="J8" s="93" t="s">
        <v>53</v>
      </c>
      <c r="K8" s="3"/>
      <c r="N8" t="s">
        <v>2</v>
      </c>
      <c r="Q8" s="25">
        <f>F41</f>
        <v>10</v>
      </c>
      <c r="R8" s="121"/>
    </row>
    <row r="9" spans="2:20" ht="12.75" customHeight="1" thickBot="1" x14ac:dyDescent="0.4">
      <c r="B9" s="6"/>
      <c r="C9" s="3"/>
      <c r="D9" s="3"/>
      <c r="E9" s="82" t="s">
        <v>74</v>
      </c>
      <c r="F9" s="102">
        <v>0</v>
      </c>
      <c r="G9" s="8" t="s">
        <v>4</v>
      </c>
      <c r="H9" s="8"/>
      <c r="I9" s="98"/>
      <c r="J9" s="93"/>
      <c r="K9" s="3"/>
      <c r="N9" t="s">
        <v>3</v>
      </c>
      <c r="Q9" s="25">
        <f>F40</f>
        <v>3</v>
      </c>
      <c r="R9" s="121"/>
    </row>
    <row r="10" spans="2:20" ht="12.75" customHeight="1" x14ac:dyDescent="0.35">
      <c r="B10" s="6"/>
      <c r="C10" s="3"/>
      <c r="D10" s="3"/>
      <c r="E10" s="82" t="s">
        <v>7</v>
      </c>
      <c r="F10" s="103">
        <f>SUM(F8:F9)</f>
        <v>40</v>
      </c>
      <c r="G10" s="8" t="s">
        <v>4</v>
      </c>
      <c r="H10" s="8"/>
      <c r="I10" s="104"/>
      <c r="J10" s="93"/>
      <c r="K10" s="45"/>
      <c r="N10" t="s">
        <v>5</v>
      </c>
      <c r="Q10" s="25">
        <f>F50</f>
        <v>25</v>
      </c>
      <c r="R10" s="121"/>
    </row>
    <row r="11" spans="2:20" ht="12.75" customHeight="1" x14ac:dyDescent="0.35">
      <c r="B11" s="6"/>
      <c r="C11" s="3"/>
      <c r="D11" s="3"/>
      <c r="E11" s="7"/>
      <c r="F11" s="3"/>
      <c r="G11" s="3"/>
      <c r="H11" s="3"/>
      <c r="I11" s="3"/>
      <c r="J11" s="4"/>
      <c r="K11" s="3"/>
      <c r="N11" t="s">
        <v>6</v>
      </c>
      <c r="O11" s="25">
        <f>P11+P13-O12-O18</f>
        <v>16</v>
      </c>
      <c r="P11" s="25">
        <f>IF(F47="Yes",MAX(0,F44+J18+J20-F40-J22-F28),MAX(0,F35-F28+F29+IF(Q54="Yes",F34,0)))</f>
        <v>13</v>
      </c>
    </row>
    <row r="12" spans="2:20" ht="12.75" customHeight="1" x14ac:dyDescent="0.4">
      <c r="B12" s="118" t="s">
        <v>56</v>
      </c>
      <c r="C12" s="40"/>
      <c r="D12" s="40"/>
      <c r="E12" s="41"/>
      <c r="F12" s="40"/>
      <c r="G12" s="40"/>
      <c r="H12" s="40"/>
      <c r="I12" s="40"/>
      <c r="J12" s="42"/>
      <c r="K12" s="3"/>
      <c r="N12" t="s">
        <v>46</v>
      </c>
      <c r="O12" s="25">
        <f>F29-O18</f>
        <v>6</v>
      </c>
      <c r="R12" s="5"/>
    </row>
    <row r="13" spans="2:20" ht="12.75" customHeight="1" x14ac:dyDescent="0.35">
      <c r="B13" s="6"/>
      <c r="C13" s="3"/>
      <c r="D13" s="3"/>
      <c r="E13" s="82"/>
      <c r="F13" s="92" t="s">
        <v>9</v>
      </c>
      <c r="G13" s="92" t="s">
        <v>10</v>
      </c>
      <c r="H13" s="92" t="s">
        <v>11</v>
      </c>
      <c r="I13" s="92" t="s">
        <v>12</v>
      </c>
      <c r="J13" s="93"/>
      <c r="K13" s="3"/>
      <c r="N13" t="s">
        <v>8</v>
      </c>
      <c r="P13" s="25">
        <f>IF(F47="Yes",F28+IF(Q54="Yes",F34,0),MIN(F28,F50+F44-IF(Q54="Yes",0,F34)))</f>
        <v>13</v>
      </c>
      <c r="R13" s="25"/>
    </row>
    <row r="14" spans="2:20" ht="12.75" customHeight="1" x14ac:dyDescent="0.35">
      <c r="B14" s="6"/>
      <c r="C14" s="3"/>
      <c r="D14" s="3"/>
      <c r="E14" s="82" t="s">
        <v>14</v>
      </c>
      <c r="F14" s="94">
        <v>15</v>
      </c>
      <c r="G14" s="94">
        <v>30</v>
      </c>
      <c r="H14" s="94">
        <v>40</v>
      </c>
      <c r="I14" s="94">
        <v>65</v>
      </c>
      <c r="J14" s="93"/>
      <c r="K14" s="3"/>
      <c r="N14" t="s">
        <v>13</v>
      </c>
      <c r="O14" s="26"/>
      <c r="P14" s="25">
        <f>IF(Q54="Yes",0,F33)</f>
        <v>4</v>
      </c>
      <c r="R14" s="25"/>
    </row>
    <row r="15" spans="2:20" ht="12.75" customHeight="1" x14ac:dyDescent="0.35">
      <c r="B15" s="6"/>
      <c r="C15" s="3"/>
      <c r="D15" s="3"/>
      <c r="E15" s="82" t="s">
        <v>41</v>
      </c>
      <c r="F15" s="94">
        <v>5</v>
      </c>
      <c r="G15" s="94">
        <v>14</v>
      </c>
      <c r="H15" s="94">
        <v>11</v>
      </c>
      <c r="I15" s="94">
        <v>14</v>
      </c>
      <c r="J15" s="93"/>
      <c r="K15" s="3"/>
      <c r="N15" t="s">
        <v>67</v>
      </c>
      <c r="O15" s="25"/>
      <c r="P15" s="25">
        <f>IF(Q54="Yes",0,IF(F32&gt;F31+F30,F32-F31-F30,0))</f>
        <v>0</v>
      </c>
      <c r="Q15" s="27"/>
      <c r="R15" s="5"/>
    </row>
    <row r="16" spans="2:20" ht="12.75" customHeight="1" x14ac:dyDescent="0.35">
      <c r="B16" s="6"/>
      <c r="C16" s="3"/>
      <c r="D16" s="3"/>
      <c r="E16" s="82" t="s">
        <v>15</v>
      </c>
      <c r="F16" s="84">
        <f>F14+6</f>
        <v>21</v>
      </c>
      <c r="G16" s="84">
        <f>G14+6</f>
        <v>36</v>
      </c>
      <c r="H16" s="84">
        <f>H14+6</f>
        <v>46</v>
      </c>
      <c r="I16" s="84">
        <f>I14+6</f>
        <v>71</v>
      </c>
      <c r="J16" s="93"/>
      <c r="K16" s="45"/>
      <c r="N16" t="s">
        <v>78</v>
      </c>
      <c r="O16" s="25"/>
      <c r="P16" s="25">
        <f>IF(Q54="Yes",0,F31)</f>
        <v>14</v>
      </c>
    </row>
    <row r="17" spans="2:18" ht="12.75" customHeight="1" x14ac:dyDescent="0.35">
      <c r="B17" s="6"/>
      <c r="C17" s="3"/>
      <c r="D17" s="3"/>
      <c r="E17" s="82" t="s">
        <v>16</v>
      </c>
      <c r="F17" s="95">
        <f>ROUNDDOWN($F$10/F16,0)</f>
        <v>1</v>
      </c>
      <c r="G17" s="95">
        <f>ROUNDDOWN($F$10/G16,0)</f>
        <v>1</v>
      </c>
      <c r="H17" s="95">
        <f>ROUNDDOWN($F$10/H16,0)</f>
        <v>0</v>
      </c>
      <c r="I17" s="95">
        <f>ROUNDDOWN($F$10/I16,0)</f>
        <v>0</v>
      </c>
      <c r="J17" s="93"/>
      <c r="K17" s="3"/>
      <c r="N17" t="s">
        <v>17</v>
      </c>
      <c r="O17" s="25"/>
      <c r="P17" s="25">
        <f>IF(Q54="Yes",0,F30)</f>
        <v>7</v>
      </c>
    </row>
    <row r="18" spans="2:18" ht="12.75" customHeight="1" x14ac:dyDescent="0.35">
      <c r="B18" s="6"/>
      <c r="C18" s="3"/>
      <c r="D18" s="3"/>
      <c r="E18" s="9" t="s">
        <v>18</v>
      </c>
      <c r="F18" s="96">
        <f>1.46*(F17+1)+1</f>
        <v>3.92</v>
      </c>
      <c r="G18" s="96">
        <f>1.46*(G17+1)+1.02</f>
        <v>3.94</v>
      </c>
      <c r="H18" s="96">
        <f>1.75*(H17+1)+0.97</f>
        <v>2.7199999999999998</v>
      </c>
      <c r="I18" s="96">
        <f>2.99*(I17+1)+1</f>
        <v>3.99</v>
      </c>
      <c r="J18" s="97">
        <f>ROUND(MAX(IF(F$25="Yes",F18),IF(G$25="Yes",G18),IF(H$25="Yes",H18),IF(I$25="Yes",I18)),0)</f>
        <v>4</v>
      </c>
      <c r="K18" s="3"/>
      <c r="N18" t="s">
        <v>47</v>
      </c>
      <c r="O18" s="25">
        <f>ROUND(J18,0)</f>
        <v>4</v>
      </c>
      <c r="P18" s="25"/>
    </row>
    <row r="19" spans="2:18" ht="12.75" customHeight="1" x14ac:dyDescent="0.35">
      <c r="B19" s="6"/>
      <c r="C19" s="3"/>
      <c r="D19" s="3"/>
      <c r="E19" s="9" t="s">
        <v>19</v>
      </c>
      <c r="F19" s="98">
        <f>0.5483*($F$10)^0.5463</f>
        <v>4.11361477476476</v>
      </c>
      <c r="G19" s="98">
        <f>0.6026*($F$10)^0.5474*IF($I$8=0,1,VLOOKUP($F$10,Table!B4:Q19,$I$8/2+2,TRUE))</f>
        <v>4.5393823697618103</v>
      </c>
      <c r="H19" s="98">
        <f>0.5333*($F$10)^0.5348*IF($I$8=0,1,VLOOKUP($F$10,Table!B4:Q19,$I$8/2+7,TRUE))</f>
        <v>3.8348931425323061</v>
      </c>
      <c r="I19" s="98">
        <f>1.2559*($F$10)^0.5188*IF($I$8=0,1,VLOOKUP($F$10,Table!B4:Q19,$I$8/2+12,TRUE))</f>
        <v>8.5134146011496377</v>
      </c>
      <c r="J19" s="99">
        <f>ROUND(MAX(IF(F$25="Yes",F19),IF(G$25="Yes",G19),IF(H$25="Yes",H19),IF(I$25="Yes",I19)),0)</f>
        <v>5</v>
      </c>
      <c r="K19" s="3"/>
      <c r="N19" t="s">
        <v>77</v>
      </c>
      <c r="P19" s="25">
        <f>SUM(Q7:Q10)-SUM(P11:P17)</f>
        <v>0</v>
      </c>
    </row>
    <row r="20" spans="2:18" ht="12.75" customHeight="1" x14ac:dyDescent="0.35">
      <c r="B20" s="6"/>
      <c r="C20" s="3"/>
      <c r="D20" s="3"/>
      <c r="E20" s="9" t="s">
        <v>40</v>
      </c>
      <c r="F20" s="98">
        <f>0.5483*(F14)^0.5463</f>
        <v>2.4072261951877438</v>
      </c>
      <c r="G20" s="98">
        <f>0.6026*(G14)^0.5474*IF($I$8=0,1,VLOOKUP(G14,Table!B4:Q19,$I$8/2+2,TRUE))</f>
        <v>3.8779776535371684</v>
      </c>
      <c r="H20" s="98">
        <f>0.5333*(H14)^0.5348*IF($I$8=0,1,VLOOKUP(H14,Table!B4:Q19,$I$8/2+7,TRUE))</f>
        <v>3.8348931425323061</v>
      </c>
      <c r="I20" s="98">
        <f>1.2559*(I14)^0.5188*IF($I$8=0,1,VLOOKUP(I14,Table!B4:Q19,$I$8/2+12,TRUE))</f>
        <v>10.952027102703187</v>
      </c>
      <c r="J20" s="99">
        <f>ROUND(MAX(IF(F$25="Yes",F20),IF(G$25="Yes",G20),IF(H$25="Yes",H20),IF(I$25="Yes",I20)),0)</f>
        <v>4</v>
      </c>
      <c r="K20" s="3"/>
    </row>
    <row r="21" spans="2:18" ht="12.75" customHeight="1" x14ac:dyDescent="0.35">
      <c r="B21" s="6"/>
      <c r="C21" s="3"/>
      <c r="D21" s="3"/>
      <c r="E21" s="9" t="s">
        <v>20</v>
      </c>
      <c r="F21" s="96">
        <f>0.5483*($F$8+F14)^0.5463</f>
        <v>4.8952895308652655</v>
      </c>
      <c r="G21" s="96">
        <f>0.6026*($F$8+G14)^0.5474*IF($I$8=0,1,VLOOKUP($F$8+G14,Table!B4:Q19,$I$8/2+2,TRUE))</f>
        <v>6.1664582355960933</v>
      </c>
      <c r="H21" s="96">
        <f>0.5333*($F$8+H14)^0.5348*IF($I$8=0,1,VLOOKUP($F$8+H14,Table!B4:Q19,$I$8/2+7,TRUE))</f>
        <v>5.5557680860433729</v>
      </c>
      <c r="I21" s="96">
        <f>1.2559*($F$8+I14)^0.5188*IF($I$8=0,1,VLOOKUP($F$8+I14,Table!B4:Q19,$I$8/2+12,TRUE))</f>
        <v>14.045851379594492</v>
      </c>
      <c r="J21" s="97">
        <f>ROUND(MAX(IF(F$25="Yes",F21),IF(G$25="Yes",G21),IF(H$25="Yes",H21),IF(I$25="Yes",I21)),0)</f>
        <v>6</v>
      </c>
      <c r="K21" s="3"/>
      <c r="N21" t="s">
        <v>76</v>
      </c>
      <c r="P21" s="25">
        <f>MIN(R22:R23)</f>
        <v>0</v>
      </c>
      <c r="Q21" s="25"/>
    </row>
    <row r="22" spans="2:18" ht="12.75" customHeight="1" x14ac:dyDescent="0.4">
      <c r="B22" s="6"/>
      <c r="C22" s="3"/>
      <c r="D22" s="3"/>
      <c r="E22" s="82" t="s">
        <v>42</v>
      </c>
      <c r="F22" s="98">
        <f>ROUND($F41*ATAN2(F15-4,$F48)*2/PI(),1)</f>
        <v>9.4</v>
      </c>
      <c r="G22" s="98">
        <f>ROUND($F41*ATAN2(G15-4,$F48)*2/PI(),1)</f>
        <v>5</v>
      </c>
      <c r="H22" s="98">
        <f>ROUND($F41*ATAN2(H15-4,$F48)*2/PI(),1)</f>
        <v>6.1</v>
      </c>
      <c r="I22" s="98">
        <f>ROUND($F41*ATAN2(I15-4,$F48)*2/PI(),1)</f>
        <v>5</v>
      </c>
      <c r="J22" s="99">
        <f>ROUND(MIN(IF(F$25="Yes",F22,F41),IF(G$25="Yes",G22,F41),IF(H$25="Yes",H22,F41),IF(I$25="Yes",I22,F41)),0)</f>
        <v>5</v>
      </c>
      <c r="K22" s="46"/>
      <c r="N22" t="s">
        <v>75</v>
      </c>
      <c r="P22" s="25">
        <f>MAX(0,R22-P21)</f>
        <v>0</v>
      </c>
      <c r="R22" s="25">
        <f>MAX(0,J23+SUM(Q7:Q9)-SUM(P11:P17))</f>
        <v>0</v>
      </c>
    </row>
    <row r="23" spans="2:18" ht="12.75" customHeight="1" x14ac:dyDescent="0.35">
      <c r="B23" s="6"/>
      <c r="C23" s="3"/>
      <c r="D23" s="3"/>
      <c r="E23" s="82" t="s">
        <v>73</v>
      </c>
      <c r="F23" s="98">
        <f>IF($F$5&gt;0,2.46+(0.5483*($F$5)^0.5463),0)</f>
        <v>0</v>
      </c>
      <c r="G23" s="98">
        <f>IF($F$5&gt;0,2.48+(0.6026*($F$5)^0.5474*IF($I$5=0,1,VLOOKUP($F$5,Table!B4:Q19,$I$5/2+2,TRUE))),0)</f>
        <v>0</v>
      </c>
      <c r="H23" s="98">
        <f>IF($F$5&gt;0,2.72+(0.5333*($F$5)^0.5348*IF($I$5=0,1,VLOOKUP($F$5,Table!B4:Q19,$I$5/2+7,TRUE))),0)</f>
        <v>0</v>
      </c>
      <c r="I23" s="98">
        <f>IF($F$5&gt;0,3.99+(1.2559*($F$5)^0.5188*IF($I$5=0,1,VLOOKUP($F$5,Table!B4:Q19,$I$5/2+12,TRUE))),0)</f>
        <v>0</v>
      </c>
      <c r="J23" s="99">
        <f>ROUND(MAX(IF(F$25="Yes",F23),IF(G$25="Yes",G23),IF(H$25="Yes",H23),IF(I$25="Yes",I23)),0)</f>
        <v>0</v>
      </c>
      <c r="K23" s="47"/>
      <c r="N23" t="s">
        <v>71</v>
      </c>
      <c r="P23" s="25">
        <f>MAX(0,R23-P21)</f>
        <v>0</v>
      </c>
      <c r="R23" s="25">
        <f>MAX(0,J24-SUM(P14:P17))</f>
        <v>0</v>
      </c>
    </row>
    <row r="24" spans="2:18" ht="12.75" customHeight="1" x14ac:dyDescent="0.35">
      <c r="B24" s="6"/>
      <c r="C24" s="3"/>
      <c r="D24" s="3"/>
      <c r="E24" s="82" t="s">
        <v>63</v>
      </c>
      <c r="F24" s="98">
        <f>IF($F$6&gt;0,2.46+(0.5483*($F$6+F14)^0.5463),0)</f>
        <v>0</v>
      </c>
      <c r="G24" s="98">
        <f>IF($F$6&gt;0,2.48+(0.6026*($F$6+G14)^0.5474*IF($I$6=0,1,VLOOKUP($F$6+G14,Table!B4:Q19,$I$6/2+2,TRUE))),0)</f>
        <v>0</v>
      </c>
      <c r="H24" s="98">
        <f>IF($F$6&gt;0,2.72+(0.5333*($F$6+H14)^0.5348*IF($I$6=0,1,VLOOKUP($F$6+H14,Table!B4:Q19,$I$6/2+7,TRUE))),0)</f>
        <v>0</v>
      </c>
      <c r="I24" s="98">
        <f>IF($F$6&gt;0,3.99+(1.2559*($F$6+I14)^0.5188*IF($I$6=0,1,VLOOKUP($F$6+I14,Table!B4:Q19,$I$6/2+12,TRUE))),0)</f>
        <v>0</v>
      </c>
      <c r="J24" s="99">
        <f>ROUND(MAX(IF(F$25="Yes",F24),IF(G$25="Yes",G24),IF(H$25="Yes",H24),IF(I$25="Yes",I24)),0)</f>
        <v>0</v>
      </c>
      <c r="K24" s="47"/>
      <c r="O24" s="25"/>
    </row>
    <row r="25" spans="2:18" ht="12.75" customHeight="1" x14ac:dyDescent="0.35">
      <c r="B25" s="6"/>
      <c r="C25" s="3"/>
      <c r="D25" s="3"/>
      <c r="E25" s="9" t="s">
        <v>21</v>
      </c>
      <c r="F25" s="100" t="s">
        <v>22</v>
      </c>
      <c r="G25" s="100" t="s">
        <v>22</v>
      </c>
      <c r="H25" s="100" t="s">
        <v>22</v>
      </c>
      <c r="I25" s="100" t="s">
        <v>48</v>
      </c>
      <c r="J25" s="101" t="s">
        <v>43</v>
      </c>
      <c r="K25" s="47"/>
      <c r="P25" s="25"/>
    </row>
    <row r="26" spans="2:18" ht="12.75" customHeight="1" x14ac:dyDescent="0.4">
      <c r="B26" s="6"/>
      <c r="C26" s="3"/>
      <c r="D26" s="3"/>
      <c r="E26" s="11"/>
      <c r="F26" s="13"/>
      <c r="G26" s="13"/>
      <c r="H26" s="13"/>
      <c r="I26" s="13"/>
      <c r="J26" s="4"/>
      <c r="K26" s="46"/>
      <c r="P26" s="25"/>
    </row>
    <row r="27" spans="2:18" ht="12.75" customHeight="1" x14ac:dyDescent="0.4">
      <c r="B27" s="118" t="s">
        <v>57</v>
      </c>
      <c r="C27" s="40"/>
      <c r="D27" s="40"/>
      <c r="E27" s="43"/>
      <c r="F27" s="44"/>
      <c r="G27" s="44"/>
      <c r="H27" s="44"/>
      <c r="I27" s="44"/>
      <c r="J27" s="42"/>
      <c r="K27" s="46"/>
      <c r="P27" s="25"/>
    </row>
    <row r="28" spans="2:18" ht="12.75" customHeight="1" x14ac:dyDescent="0.35">
      <c r="B28" s="6"/>
      <c r="C28" s="3"/>
      <c r="D28" s="3"/>
      <c r="E28" s="9" t="s">
        <v>23</v>
      </c>
      <c r="F28" s="83">
        <f>IF(F47="Yes",MAX(J18+J19,J18+J20-J22+F41),J18+MAX(J19,J21))</f>
        <v>13</v>
      </c>
      <c r="G28" s="84" t="s">
        <v>24</v>
      </c>
      <c r="H28" s="21" t="str">
        <f>IF(F$47="Yes",IF(F28&gt;(J18+J19),"Green Track Clearance",""),"")</f>
        <v>Green Track Clearance</v>
      </c>
      <c r="I28" s="12"/>
      <c r="J28" s="4"/>
      <c r="K28" s="47"/>
      <c r="P28" s="25"/>
    </row>
    <row r="29" spans="2:18" ht="12.75" customHeight="1" x14ac:dyDescent="0.35">
      <c r="B29" s="6"/>
      <c r="C29" s="3"/>
      <c r="D29" s="3"/>
      <c r="E29" s="9" t="s">
        <v>25</v>
      </c>
      <c r="F29" s="85">
        <f>J18+J21</f>
        <v>10</v>
      </c>
      <c r="G29" s="8" t="s">
        <v>24</v>
      </c>
      <c r="H29" s="21" t="str">
        <f>IF(F$47="Yes",IF(F28&gt;(J18+J19),"extended to Gate Down",""),"")</f>
        <v>extended to Gate Down</v>
      </c>
      <c r="I29" s="3"/>
      <c r="J29" s="4"/>
      <c r="K29" s="48"/>
      <c r="P29" s="25"/>
    </row>
    <row r="30" spans="2:18" ht="12.75" customHeight="1" x14ac:dyDescent="0.35">
      <c r="B30" s="6"/>
      <c r="C30" s="3"/>
      <c r="D30" s="3"/>
      <c r="E30" s="9" t="s">
        <v>66</v>
      </c>
      <c r="F30" s="86">
        <v>7</v>
      </c>
      <c r="G30" s="8" t="s">
        <v>24</v>
      </c>
      <c r="H30" s="21"/>
      <c r="I30" s="3"/>
      <c r="J30" s="4"/>
      <c r="K30" s="3"/>
      <c r="P30" s="25"/>
    </row>
    <row r="31" spans="2:18" ht="12.75" customHeight="1" x14ac:dyDescent="0.35">
      <c r="B31" s="6"/>
      <c r="C31" s="3"/>
      <c r="D31" s="3"/>
      <c r="E31" s="9" t="s">
        <v>79</v>
      </c>
      <c r="F31" s="86">
        <v>14</v>
      </c>
      <c r="G31" s="8" t="s">
        <v>24</v>
      </c>
      <c r="H31" s="14"/>
      <c r="I31" s="3"/>
      <c r="J31" s="4"/>
      <c r="K31" s="45"/>
      <c r="P31" s="25"/>
    </row>
    <row r="32" spans="2:18" ht="12.75" customHeight="1" x14ac:dyDescent="0.35">
      <c r="B32" s="6"/>
      <c r="C32" s="3"/>
      <c r="D32" s="3"/>
      <c r="E32" s="9" t="s">
        <v>67</v>
      </c>
      <c r="F32" s="86">
        <v>4</v>
      </c>
      <c r="G32" s="87" t="s">
        <v>24</v>
      </c>
      <c r="H32" s="14"/>
      <c r="I32" s="3"/>
      <c r="J32" s="4"/>
      <c r="K32" s="3"/>
    </row>
    <row r="33" spans="2:13" ht="12.75" customHeight="1" thickBot="1" x14ac:dyDescent="0.4">
      <c r="B33" s="6"/>
      <c r="C33" s="3"/>
      <c r="D33" s="3"/>
      <c r="E33" s="82" t="s">
        <v>68</v>
      </c>
      <c r="F33" s="88">
        <v>4</v>
      </c>
      <c r="G33" s="87" t="s">
        <v>24</v>
      </c>
      <c r="H33" s="14"/>
      <c r="I33" s="3"/>
      <c r="J33" s="4"/>
      <c r="K33" s="3"/>
    </row>
    <row r="34" spans="2:13" ht="12.75" customHeight="1" x14ac:dyDescent="0.35">
      <c r="B34" s="6"/>
      <c r="C34" s="3"/>
      <c r="D34" s="3"/>
      <c r="E34" s="82" t="s">
        <v>26</v>
      </c>
      <c r="F34" s="89">
        <f>ROUND(MAX(F30+F31,F32)+F33,0)</f>
        <v>25</v>
      </c>
      <c r="G34" s="8" t="s">
        <v>24</v>
      </c>
      <c r="H34" s="14"/>
      <c r="I34" s="3"/>
      <c r="J34" s="4"/>
      <c r="K34" s="3"/>
    </row>
    <row r="35" spans="2:13" ht="12.75" customHeight="1" thickBot="1" x14ac:dyDescent="0.4">
      <c r="B35" s="6"/>
      <c r="C35" s="3"/>
      <c r="D35" s="3"/>
      <c r="E35" s="82" t="s">
        <v>27</v>
      </c>
      <c r="F35" s="90">
        <v>2</v>
      </c>
      <c r="G35" s="8" t="s">
        <v>24</v>
      </c>
      <c r="H35" s="21" t="str">
        <f>IF(F$47="Yes","See Preemption Timeline","")</f>
        <v>See Preemption Timeline</v>
      </c>
      <c r="I35" s="3"/>
      <c r="J35" s="4"/>
      <c r="K35" s="3"/>
    </row>
    <row r="36" spans="2:13" ht="12.75" customHeight="1" x14ac:dyDescent="0.35">
      <c r="B36" s="6"/>
      <c r="C36" s="3"/>
      <c r="D36" s="3"/>
      <c r="E36" s="82" t="s">
        <v>28</v>
      </c>
      <c r="F36" s="91">
        <f>IF(F47="Yes",F44+F50,F29+F34+F35)</f>
        <v>51</v>
      </c>
      <c r="G36" s="8" t="s">
        <v>24</v>
      </c>
      <c r="H36" s="21" t="str">
        <f>IF(F$47="Yes","for actual Separation Time","")</f>
        <v>for actual Separation Time</v>
      </c>
      <c r="I36" s="3"/>
      <c r="J36" s="4"/>
      <c r="K36" s="3"/>
      <c r="M36" s="15"/>
    </row>
    <row r="37" spans="2:13" ht="12.75" customHeight="1" thickBot="1" x14ac:dyDescent="0.4">
      <c r="B37" s="18"/>
      <c r="C37" s="19"/>
      <c r="D37" s="19"/>
      <c r="E37" s="60"/>
      <c r="F37" s="19"/>
      <c r="G37" s="19"/>
      <c r="H37" s="19"/>
      <c r="I37" s="19"/>
      <c r="J37" s="20"/>
      <c r="K37" s="3"/>
    </row>
    <row r="38" spans="2:13" ht="12.75" customHeight="1" x14ac:dyDescent="0.4">
      <c r="B38" s="120" t="s">
        <v>58</v>
      </c>
      <c r="C38" s="57"/>
      <c r="D38" s="57"/>
      <c r="E38" s="57"/>
      <c r="F38" s="57"/>
      <c r="G38" s="57"/>
      <c r="H38" s="57"/>
      <c r="I38" s="57"/>
      <c r="J38" s="59"/>
      <c r="K38" s="3"/>
    </row>
    <row r="39" spans="2:13" ht="12.75" customHeight="1" x14ac:dyDescent="0.35">
      <c r="B39" s="55"/>
      <c r="C39" s="45"/>
      <c r="D39" s="45"/>
      <c r="E39" s="45"/>
      <c r="F39" s="39"/>
      <c r="G39" s="45"/>
      <c r="H39" s="45"/>
      <c r="I39" s="45"/>
      <c r="J39" s="56"/>
      <c r="K39" s="3"/>
    </row>
    <row r="40" spans="2:13" ht="12.75" customHeight="1" x14ac:dyDescent="0.35">
      <c r="B40" s="6"/>
      <c r="C40" s="3"/>
      <c r="D40" s="3"/>
      <c r="E40" s="82" t="s">
        <v>3</v>
      </c>
      <c r="F40" s="105">
        <v>3</v>
      </c>
      <c r="G40" s="87" t="s">
        <v>24</v>
      </c>
      <c r="H40" s="3"/>
      <c r="I40" s="3"/>
      <c r="J40" s="4"/>
      <c r="K40" s="3"/>
    </row>
    <row r="41" spans="2:13" ht="12.75" customHeight="1" x14ac:dyDescent="0.35">
      <c r="B41" s="6"/>
      <c r="C41" s="3"/>
      <c r="D41" s="3"/>
      <c r="E41" s="82" t="s">
        <v>2</v>
      </c>
      <c r="F41" s="105">
        <v>10</v>
      </c>
      <c r="G41" s="87" t="s">
        <v>24</v>
      </c>
      <c r="H41" s="3"/>
      <c r="I41" s="3"/>
      <c r="J41" s="4"/>
      <c r="K41" s="3"/>
    </row>
    <row r="42" spans="2:13" ht="12.75" customHeight="1" x14ac:dyDescent="0.35">
      <c r="B42" s="6"/>
      <c r="C42" s="3"/>
      <c r="D42" s="3"/>
      <c r="E42" s="82" t="s">
        <v>29</v>
      </c>
      <c r="F42" s="106">
        <v>25</v>
      </c>
      <c r="G42" s="8" t="s">
        <v>24</v>
      </c>
      <c r="H42" s="3"/>
      <c r="I42" s="3"/>
      <c r="J42" s="4"/>
      <c r="K42" s="45"/>
    </row>
    <row r="43" spans="2:13" ht="12.75" customHeight="1" thickBot="1" x14ac:dyDescent="0.4">
      <c r="B43" s="6"/>
      <c r="C43" s="3"/>
      <c r="D43" s="3"/>
      <c r="E43" s="82" t="s">
        <v>30</v>
      </c>
      <c r="F43" s="107">
        <v>1</v>
      </c>
      <c r="G43" s="8" t="s">
        <v>24</v>
      </c>
      <c r="H43" s="116">
        <f>IF(F8&gt;35,ROUNDUP((F8-35)/10,0),0)</f>
        <v>1</v>
      </c>
      <c r="I43" s="116" t="s">
        <v>69</v>
      </c>
      <c r="J43" s="4"/>
      <c r="K43" s="45"/>
    </row>
    <row r="44" spans="2:13" ht="12.75" customHeight="1" x14ac:dyDescent="0.35">
      <c r="B44" s="6"/>
      <c r="C44" s="3"/>
      <c r="D44" s="3"/>
      <c r="E44" s="82" t="s">
        <v>31</v>
      </c>
      <c r="F44" s="108">
        <f>SUM(F42:F43)</f>
        <v>26</v>
      </c>
      <c r="G44" s="8" t="s">
        <v>24</v>
      </c>
      <c r="H44" s="3"/>
      <c r="I44" s="3"/>
      <c r="J44" s="4"/>
      <c r="K44" s="3"/>
    </row>
    <row r="45" spans="2:13" ht="12.75" customHeight="1" thickBot="1" x14ac:dyDescent="0.4">
      <c r="B45" s="6"/>
      <c r="C45" s="3"/>
      <c r="D45" s="3"/>
      <c r="E45" s="82" t="s">
        <v>32</v>
      </c>
      <c r="F45" s="109">
        <v>0</v>
      </c>
      <c r="G45" s="8" t="s">
        <v>24</v>
      </c>
      <c r="H45" s="3"/>
      <c r="I45" s="3"/>
      <c r="J45" s="4"/>
      <c r="K45" s="3"/>
    </row>
    <row r="46" spans="2:13" ht="12.75" customHeight="1" x14ac:dyDescent="0.35">
      <c r="B46" s="6"/>
      <c r="C46" s="3"/>
      <c r="D46" s="3"/>
      <c r="E46" s="82" t="s">
        <v>33</v>
      </c>
      <c r="F46" s="108">
        <f>SUM(F44:F45)</f>
        <v>26</v>
      </c>
      <c r="G46" s="8" t="s">
        <v>24</v>
      </c>
      <c r="H46" s="3"/>
      <c r="I46" s="3"/>
      <c r="J46" s="4"/>
      <c r="K46" s="3"/>
    </row>
    <row r="47" spans="2:13" ht="12.75" customHeight="1" x14ac:dyDescent="0.35">
      <c r="B47" s="6"/>
      <c r="C47" s="3"/>
      <c r="D47" s="3"/>
      <c r="E47" s="9" t="s">
        <v>45</v>
      </c>
      <c r="F47" s="110" t="s">
        <v>22</v>
      </c>
      <c r="G47" s="8"/>
      <c r="I47" s="3"/>
      <c r="J47" s="4"/>
      <c r="K47" s="3"/>
    </row>
    <row r="48" spans="2:13" ht="12.75" customHeight="1" x14ac:dyDescent="0.35">
      <c r="B48" s="6"/>
      <c r="C48" s="3"/>
      <c r="D48" s="3"/>
      <c r="E48" s="82" t="s">
        <v>44</v>
      </c>
      <c r="F48" s="111">
        <v>10</v>
      </c>
      <c r="G48" s="8" t="s">
        <v>4</v>
      </c>
      <c r="I48" s="3"/>
      <c r="J48" s="4"/>
      <c r="K48" s="3"/>
    </row>
    <row r="49" spans="2:17" ht="12.75" customHeight="1" x14ac:dyDescent="0.35">
      <c r="B49" s="6"/>
      <c r="C49" s="3"/>
      <c r="D49" s="3"/>
      <c r="E49" s="82"/>
      <c r="F49" s="8"/>
      <c r="G49" s="8"/>
      <c r="H49" s="3"/>
      <c r="J49" s="4"/>
      <c r="K49" s="3"/>
    </row>
    <row r="50" spans="2:17" ht="12.75" customHeight="1" x14ac:dyDescent="0.35">
      <c r="B50" s="6"/>
      <c r="C50" s="3"/>
      <c r="D50" s="3"/>
      <c r="E50" s="16" t="s">
        <v>34</v>
      </c>
      <c r="F50" s="112">
        <f>IF(F47="Yes",MAX(J23,J24+J18+J20-F40-J22,F34+J18+J20-F40-J22),MAX(J23,J24-F44+F35+F29,F36-F44,0))</f>
        <v>25</v>
      </c>
      <c r="G50" s="8" t="s">
        <v>24</v>
      </c>
      <c r="H50" s="33"/>
      <c r="I50" s="3"/>
      <c r="J50" s="4"/>
      <c r="K50" s="3"/>
    </row>
    <row r="51" spans="2:17" ht="12.75" customHeight="1" thickBot="1" x14ac:dyDescent="0.4">
      <c r="B51" s="6"/>
      <c r="C51" s="3"/>
      <c r="D51" s="3"/>
      <c r="E51" s="16" t="s">
        <v>35</v>
      </c>
      <c r="F51" s="113">
        <v>0</v>
      </c>
      <c r="G51" s="8" t="s">
        <v>24</v>
      </c>
      <c r="H51" s="3"/>
      <c r="I51" s="3"/>
      <c r="J51" s="4"/>
      <c r="K51" s="3"/>
    </row>
    <row r="52" spans="2:17" ht="12.75" customHeight="1" x14ac:dyDescent="0.35">
      <c r="B52" s="6"/>
      <c r="C52" s="3"/>
      <c r="D52" s="3"/>
      <c r="E52" s="114" t="s">
        <v>36</v>
      </c>
      <c r="F52" s="91">
        <f>SUM(F46,F50:F51)</f>
        <v>51</v>
      </c>
      <c r="G52" s="8" t="s">
        <v>24</v>
      </c>
      <c r="H52" s="3"/>
      <c r="I52" s="3"/>
      <c r="J52" s="4"/>
      <c r="K52" s="3"/>
    </row>
    <row r="53" spans="2:17" ht="12.75" customHeight="1" x14ac:dyDescent="0.35">
      <c r="B53" s="6"/>
      <c r="C53" s="3"/>
      <c r="D53" s="3"/>
      <c r="E53" s="16" t="s">
        <v>37</v>
      </c>
      <c r="F53" s="111">
        <v>25</v>
      </c>
      <c r="G53" s="87" t="s">
        <v>38</v>
      </c>
      <c r="H53" s="3"/>
      <c r="I53" s="3"/>
      <c r="J53" s="4"/>
      <c r="K53" s="3"/>
    </row>
    <row r="54" spans="2:17" ht="12.75" customHeight="1" x14ac:dyDescent="0.35">
      <c r="B54" s="6"/>
      <c r="C54" s="3"/>
      <c r="D54" s="3"/>
      <c r="E54" s="82" t="s">
        <v>39</v>
      </c>
      <c r="F54" s="115">
        <f>ROUND(F52*F53*22/15,0)</f>
        <v>1870</v>
      </c>
      <c r="G54" s="8" t="s">
        <v>4</v>
      </c>
      <c r="H54" s="3"/>
      <c r="I54" s="3"/>
      <c r="J54" s="4"/>
      <c r="K54" s="3"/>
      <c r="P54" s="11" t="s">
        <v>51</v>
      </c>
      <c r="Q54" s="28" t="s">
        <v>48</v>
      </c>
    </row>
    <row r="55" spans="2:17" ht="12.75" customHeight="1" thickBot="1" x14ac:dyDescent="0.4">
      <c r="B55" s="18"/>
      <c r="C55" s="19"/>
      <c r="D55" s="19"/>
      <c r="E55" s="19"/>
      <c r="F55" s="19"/>
      <c r="G55" s="19"/>
      <c r="H55" s="19"/>
      <c r="I55" s="19"/>
      <c r="J55" s="20"/>
      <c r="K55" s="3"/>
    </row>
    <row r="56" spans="2:17" ht="12.75" customHeight="1" x14ac:dyDescent="0.35">
      <c r="K56" s="3"/>
    </row>
    <row r="57" spans="2:17" ht="12.75" customHeight="1" x14ac:dyDescent="0.35">
      <c r="K57" s="3"/>
    </row>
    <row r="58" spans="2:17" x14ac:dyDescent="0.35">
      <c r="K58" s="3"/>
    </row>
    <row r="59" spans="2:17" x14ac:dyDescent="0.35">
      <c r="K59" s="3"/>
    </row>
  </sheetData>
  <sheetProtection password="C442" sheet="1" objects="1" scenarios="1"/>
  <mergeCells count="6">
    <mergeCell ref="P2:Q2"/>
    <mergeCell ref="R2:S2"/>
    <mergeCell ref="I2:J2"/>
    <mergeCell ref="N2:O2"/>
    <mergeCell ref="L2:M2"/>
    <mergeCell ref="G2:H2"/>
  </mergeCells>
  <phoneticPr fontId="0" type="noConversion"/>
  <dataValidations xWindow="470" yWindow="240" count="33">
    <dataValidation type="list" showInputMessage="1" showErrorMessage="1" errorTitle="Semi" error="Out of range (Yes or No)" promptTitle="Semi" prompt="Include as Design Vehicle?" sqref="I25">
      <formula1>"Yes,No"</formula1>
    </dataValidation>
    <dataValidation type="whole" showInputMessage="1" showErrorMessage="1" errorTitle="Car" error="Out of range (15-20 ft)" promptTitle="Car" prompt="Vehicle length in feet" sqref="F14">
      <formula1>15</formula1>
      <formula2>20</formula2>
    </dataValidation>
    <dataValidation type="whole" showInputMessage="1" showErrorMessage="1" errorTitle="Truck" error="Out of range (20-40 ft)" promptTitle="Truck" prompt="Vehicle length in feet" sqref="G14">
      <formula1>20</formula1>
      <formula2>40</formula2>
    </dataValidation>
    <dataValidation type="decimal" allowBlank="1" showInputMessage="1" showErrorMessage="1" errorTitle="Bus" error="Out of range (30-60 ft)" promptTitle="Bus" prompt="Vehicle length in feet" sqref="H14">
      <formula1>30</formula1>
      <formula2>60</formula2>
    </dataValidation>
    <dataValidation type="whole" allowBlank="1" showInputMessage="1" showErrorMessage="1" errorTitle="Semi" error="Out of range (50-65 ft)" promptTitle="Semi" prompt="Vehicle length in feet" sqref="I14">
      <formula1>50</formula1>
      <formula2>65</formula2>
    </dataValidation>
    <dataValidation type="whole" operator="greaterThanOrEqual" showInputMessage="1" showErrorMessage="1" errorTitle="Minimum Track Clearance Distance" error="Out of range (minimum 20 ft)" promptTitle="Minimum Track Clearance Distance" prompt="In feet" sqref="F8">
      <formula1>20</formula1>
    </dataValidation>
    <dataValidation type="whole" operator="greaterThanOrEqual" showInputMessage="1" showErrorMessage="1" errorTitle="Clear Storage Distance" error="Out of range (minimum 0 ft)" promptTitle="Clear Storage Distance" prompt="In feet" sqref="F9">
      <formula1>0</formula1>
    </dataValidation>
    <dataValidation type="whole" operator="greaterThanOrEqual" showInputMessage="1" showErrorMessage="1" errorTitle="Minimum Walk" error="Out of range (minimum 0 seconds)" promptTitle="Minimum Walk" prompt="Time in seconds" sqref="F30">
      <formula1>0</formula1>
    </dataValidation>
    <dataValidation type="whole" operator="greaterThanOrEqual" showInputMessage="1" showErrorMessage="1" errorTitle="Maximum Ped Clear" error="Out of range (minimum 0 seconds)" promptTitle="Maximum Ped Clear" prompt="Time in seconds" sqref="F31">
      <formula1>0</formula1>
    </dataValidation>
    <dataValidation type="whole" operator="greaterThanOrEqual" showInputMessage="1" showErrorMessage="1" errorTitle="Minimum Green" error="Out of range (minimum 0 seconds)" promptTitle="Minimum Green" prompt="Time in seconds" sqref="F32">
      <formula1>0</formula1>
    </dataValidation>
    <dataValidation type="decimal" operator="greaterThanOrEqual" showInputMessage="1" showErrorMessage="1" errorTitle="Maximum Yellow plus All Red" error="Out of range (minimum 3.0 seconds)" promptTitle="Maximum Yellow plus All Red" prompt="Time in seconds" sqref="F33">
      <formula1>3</formula1>
    </dataValidation>
    <dataValidation type="whole" operator="greaterThanOrEqual" allowBlank="1" showInputMessage="1" showErrorMessage="1" errorTitle="Separation Time" error="Out of range (minimum 0 seconds)" promptTitle="Separation Time" prompt="In seconds" sqref="F35">
      <formula1>0</formula1>
    </dataValidation>
    <dataValidation type="whole" showInputMessage="1" showErrorMessage="1" errorTitle="Lights Flash" error="Out of range (3-9 seconds)" promptTitle="Lights Flash" prompt="Time in seconds" sqref="F40">
      <formula1>3</formula1>
      <formula2>9</formula2>
    </dataValidation>
    <dataValidation type="whole" showInputMessage="1" showErrorMessage="1" errorTitle="Gate Descent" error="Out of range (8-20 seconds)" promptTitle="Gate Descent" prompt="Time in seconds" sqref="F41">
      <formula1>8</formula1>
      <formula2>20</formula2>
    </dataValidation>
    <dataValidation type="whole" operator="greaterThanOrEqual" showInputMessage="1" showErrorMessage="1" errorTitle="Minimum Time" error="Out of range (minimum 20 seconds)" promptTitle="Minimum Time" prompt="In seconds" sqref="F42">
      <formula1>20</formula1>
    </dataValidation>
    <dataValidation type="whole" operator="greaterThanOrEqual" showInputMessage="1" showErrorMessage="1" errorTitle="Clearance Time" error="Out of range (minimum 0 seconds)" promptTitle="Clearance Time" prompt="In seconds" sqref="F43">
      <formula1>0</formula1>
    </dataValidation>
    <dataValidation type="whole" operator="greaterThanOrEqual" showInputMessage="1" showErrorMessage="1" errorTitle="Buffer Time" error="Out of range (minimum 0 seconds)" promptTitle="Buffer Time" prompt="In seconds" sqref="F45">
      <formula1>0</formula1>
    </dataValidation>
    <dataValidation type="whole" operator="greaterThanOrEqual" showInputMessage="1" showErrorMessage="1" errorTitle="Equipment Response Time" error="Out of range (minimum 0 seconds)" promptTitle="Equipment Response Time" prompt="In seconds" sqref="F51">
      <formula1>0</formula1>
    </dataValidation>
    <dataValidation type="whole" allowBlank="1" showInputMessage="1" showErrorMessage="1" errorTitle="Maximum Authorized Speed" error="Out of range (5-100 mph)" promptTitle="Maximum Authorized Speed" prompt="In MPH" sqref="F53">
      <formula1>5</formula1>
      <formula2>100</formula2>
    </dataValidation>
    <dataValidation type="list" showInputMessage="1" showErrorMessage="1" errorTitle="Car" error="Out of range (Yes or No)" promptTitle="Car" prompt="Include as Design Vehicle?" sqref="F25">
      <formula1>"Yes,No"</formula1>
    </dataValidation>
    <dataValidation type="list" showInputMessage="1" showErrorMessage="1" errorTitle="Truck" error="Out of range (Yes or No)" promptTitle="Truck" prompt="Include as Design Vehicle?" sqref="G25">
      <formula1>"Yes,No"</formula1>
    </dataValidation>
    <dataValidation type="list" showInputMessage="1" showErrorMessage="1" errorTitle="Bus" error="Out of range (Yes or No)" promptTitle="Bus" prompt="Include as Design Vehicle?" sqref="H25">
      <formula1>"Yes,No"</formula1>
    </dataValidation>
    <dataValidation type="whole" allowBlank="1" showInputMessage="1" showErrorMessage="1" errorTitle="Semi" error="Out of range (12-15 ft)" promptTitle="Semi" prompt="Vehicle height in feet" sqref="I15">
      <formula1>12</formula1>
      <formula2>15</formula2>
    </dataValidation>
    <dataValidation type="decimal" allowBlank="1" showInputMessage="1" showErrorMessage="1" errorTitle="Bus" error="Out of range (10-15 ft)" promptTitle="Bus" prompt="Vehicle height in feet" sqref="H15">
      <formula1>10</formula1>
      <formula2>15</formula2>
    </dataValidation>
    <dataValidation type="whole" showInputMessage="1" showErrorMessage="1" errorTitle="Truck" error="Out of range (12-15 ft)" promptTitle="Truck" prompt="Vehicle height in feet" sqref="G15">
      <formula1>12</formula1>
      <formula2>15</formula2>
    </dataValidation>
    <dataValidation type="whole" showInputMessage="1" showErrorMessage="1" errorTitle="Car" error="Out of range (4-10 ft)" promptTitle="Car" prompt="Vehicle height in feet" sqref="F15">
      <formula1>4</formula1>
      <formula2>10</formula2>
    </dataValidation>
    <dataValidation type="decimal" allowBlank="1" showInputMessage="1" showErrorMessage="1" errorTitle="Gate" error="Out of range (4-20 ft)" promptTitle="Distance from gate to vehicle" prompt="In feet" sqref="F48">
      <formula1>4</formula1>
      <formula2>20</formula2>
    </dataValidation>
    <dataValidation type="list" showInputMessage="1" showErrorMessage="1" errorTitle="Vehicle-Gate Interaction" error="Out of range (Yes or No)" promptTitle="Vehicle-Gate Interaction" prompt="Perform Vehicle-Gate Interaction Check?" sqref="F47">
      <formula1>"Yes,No"</formula1>
    </dataValidation>
    <dataValidation type="list" showInputMessage="1" showErrorMessage="1" errorTitle="Preemption Timeline" error="Out of range (Yes or No)" promptTitle="Preemption Timeline" prompt="Displays Minimum RWTT?" sqref="Q54">
      <formula1>"Yes,No"</formula1>
    </dataValidation>
    <dataValidation type="decimal" showInputMessage="1" showErrorMessage="1" errorTitle="Grade" error="Out of range (0-10%)" promptTitle="Grade" prompt="In percent" sqref="I8 I5:I6">
      <formula1>0</formula1>
      <formula2>10</formula2>
    </dataValidation>
    <dataValidation allowBlank="1" showInputMessage="1" showErrorMessage="1" promptTitle="Street Name" prompt="Enter name of the street crossing the tracks" sqref="C2:F2"/>
    <dataValidation allowBlank="1" showInputMessage="1" showErrorMessage="1" promptTitle="Crossing Number" prompt="Enter the crossing number" sqref="I2:J2"/>
    <dataValidation type="whole" operator="greaterThanOrEqual" showInputMessage="1" showErrorMessage="1" errorTitle="Max Conflicting Move Distance" error="Out of range (minimum 0 ft)" promptTitle="Max Conflicting Move Distance" prompt="In feet" sqref="F5:F6">
      <formula1>0</formula1>
    </dataValidation>
  </dataValidations>
  <printOptions horizontalCentered="1" verticalCentered="1"/>
  <pageMargins left="0.75" right="0.5" top="0.25" bottom="0.25" header="0.25" footer="0.25"/>
  <pageSetup fitToWidth="0" orientation="portrait" r:id="rId1"/>
  <headerFooter alignWithMargins="0">
    <oddFooter>&amp;L&amp;8&amp;F:&amp;A&amp;R&amp;8&amp;D</oddFooter>
  </headerFooter>
  <colBreaks count="1" manualBreakCount="1">
    <brk id="11" max="54"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vt:lpstr>
      <vt:lpstr>Instructions</vt:lpstr>
      <vt:lpstr>Location</vt:lpstr>
      <vt:lpstr>Instructions!Print_Area</vt:lpstr>
      <vt:lpstr>Location!Print_Area</vt:lpstr>
    </vt:vector>
  </TitlesOfParts>
  <Company>LADOT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Railroad Preemption Worksheet</dc:title>
  <dc:creator>Sean Skehan</dc:creator>
  <cp:lastModifiedBy>Michael Orr</cp:lastModifiedBy>
  <cp:lastPrinted>2015-09-29T23:31:42Z</cp:lastPrinted>
  <dcterms:created xsi:type="dcterms:W3CDTF">2007-04-15T21:25:51Z</dcterms:created>
  <dcterms:modified xsi:type="dcterms:W3CDTF">2021-10-15T13:40:38Z</dcterms:modified>
</cp:coreProperties>
</file>