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UN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N16" i="1" l="1"/>
  <c r="M19" i="1" l="1"/>
  <c r="N19" i="1"/>
  <c r="B44" i="1" s="1"/>
  <c r="B39" i="1"/>
  <c r="B45" i="1" l="1"/>
  <c r="B43" i="1"/>
  <c r="B38" i="1"/>
  <c r="B35" i="1"/>
  <c r="M17" i="1"/>
  <c r="N17" i="1" s="1"/>
  <c r="M16" i="1"/>
  <c r="B32" i="1"/>
  <c r="B40" i="1" l="1"/>
  <c r="B41" i="1" s="1"/>
  <c r="B34" i="1"/>
  <c r="B36" i="1" s="1"/>
  <c r="B42" i="1" l="1"/>
  <c r="B46" i="1" s="1"/>
  <c r="B50" i="1" l="1"/>
  <c r="B49" i="1"/>
  <c r="B48" i="1"/>
</calcChain>
</file>

<file path=xl/comments1.xml><?xml version="1.0" encoding="utf-8"?>
<comments xmlns="http://schemas.openxmlformats.org/spreadsheetml/2006/main">
  <authors>
    <author>Jan Fredrik</author>
    <author>Author</author>
  </authors>
  <commentList>
    <comment ref="O15" authorId="0">
      <text>
        <r>
          <rPr>
            <b/>
            <sz val="9"/>
            <color indexed="81"/>
            <rFont val="Tahoma"/>
            <family val="2"/>
          </rPr>
          <t>Jan Fredrik:</t>
        </r>
        <r>
          <rPr>
            <sz val="9"/>
            <color indexed="81"/>
            <rFont val="Tahoma"/>
            <family val="2"/>
          </rPr>
          <t xml:space="preserve">
If you think the company will grow its EPS at a higher or lower rate than the previous 10 years you can type in a new number below.
Same with P/E if you think the company deserves a higher normal P/E.</t>
        </r>
      </text>
    </comment>
    <comment ref="A24" authorId="1">
      <text>
        <r>
          <rPr>
            <b/>
            <sz val="12"/>
            <color indexed="81"/>
            <rFont val="Tahoma"/>
            <family val="2"/>
          </rPr>
          <t>Author:</t>
        </r>
        <r>
          <rPr>
            <sz val="12"/>
            <color indexed="81"/>
            <rFont val="Tahoma"/>
            <family val="2"/>
          </rPr>
          <t xml:space="preserve">
You must manually look up this rate, using the link that is provided</t>
        </r>
      </text>
    </comment>
  </commentList>
</comments>
</file>

<file path=xl/sharedStrings.xml><?xml version="1.0" encoding="utf-8"?>
<sst xmlns="http://schemas.openxmlformats.org/spreadsheetml/2006/main" count="44" uniqueCount="39">
  <si>
    <t>Benjamin Grahams Growth Formula</t>
  </si>
  <si>
    <t>Normalized EPS Using The ROE Method:</t>
  </si>
  <si>
    <t>10y median ROE</t>
  </si>
  <si>
    <t>Shareholders Equity (TTM)</t>
  </si>
  <si>
    <t>Normalized Net Income</t>
  </si>
  <si>
    <t>Shares Outstanding</t>
  </si>
  <si>
    <t>Normalized EPS</t>
  </si>
  <si>
    <t>Normalized EPS Using The Net Margin Method:</t>
  </si>
  <si>
    <t>10 Year Average Net Profit Margin</t>
  </si>
  <si>
    <t>Revenue (TTM)</t>
  </si>
  <si>
    <t>Average Normalized EPS</t>
  </si>
  <si>
    <t>20y AA Corp Bond Rate</t>
  </si>
  <si>
    <t>Estimated Future EPS Growth Rate</t>
  </si>
  <si>
    <t>Current Stock Price</t>
  </si>
  <si>
    <t>Intrinsic Value</t>
  </si>
  <si>
    <t>ROE</t>
  </si>
  <si>
    <t>Year</t>
  </si>
  <si>
    <t>(TTM)</t>
  </si>
  <si>
    <t>Shareholders equity/Total Equity (TTM)</t>
  </si>
  <si>
    <t>Shares outstanding</t>
  </si>
  <si>
    <t>Net profit margin</t>
  </si>
  <si>
    <t>Change?</t>
  </si>
  <si>
    <t>Median</t>
  </si>
  <si>
    <t>20 AA Corporate bond Rate %</t>
  </si>
  <si>
    <t>EPS</t>
  </si>
  <si>
    <t>CAGR</t>
  </si>
  <si>
    <t>Copyright 2017. The Warren Buffett Spreadsheet</t>
  </si>
  <si>
    <t>Yellow= manual input</t>
  </si>
  <si>
    <t>Green = Change number</t>
  </si>
  <si>
    <t>Stock ticker:</t>
  </si>
  <si>
    <t>UNP</t>
  </si>
  <si>
    <t>Date:</t>
  </si>
  <si>
    <t>Margin of safety</t>
  </si>
  <si>
    <t>Annual Expected return</t>
  </si>
  <si>
    <t>Buyprice</t>
  </si>
  <si>
    <t>Required margin of safety %</t>
  </si>
  <si>
    <t>Benjamin Grahams Growth Valuation</t>
  </si>
  <si>
    <t>A spreadsheet that lets you analyze the price and quality of stocks in a fast and simple way</t>
  </si>
  <si>
    <t>Download my full Excel stock valuation spreadsheet that includes 8 valuation models in one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</si>
</sst>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%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u/>
      <sz val="12"/>
      <color theme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3" fillId="3" borderId="1" xfId="1" applyFont="1" applyFill="1" applyBorder="1" applyAlignment="1" applyProtection="1">
      <alignment vertical="top"/>
      <protection hidden="1"/>
    </xf>
    <xf numFmtId="0" fontId="3" fillId="3" borderId="2" xfId="1" applyFont="1" applyFill="1" applyBorder="1" applyAlignment="1" applyProtection="1">
      <alignment horizontal="center" vertical="top"/>
      <protection hidden="1"/>
    </xf>
    <xf numFmtId="0" fontId="4" fillId="0" borderId="1" xfId="0" applyFont="1" applyBorder="1" applyAlignment="1" applyProtection="1">
      <alignment horizontal="left" vertical="top"/>
      <protection hidden="1"/>
    </xf>
    <xf numFmtId="0" fontId="4" fillId="0" borderId="2" xfId="0" applyFont="1" applyBorder="1" applyAlignment="1" applyProtection="1">
      <alignment horizontal="left" vertical="top"/>
      <protection hidden="1"/>
    </xf>
    <xf numFmtId="0" fontId="2" fillId="0" borderId="3" xfId="0" applyFont="1" applyBorder="1" applyProtection="1">
      <protection hidden="1"/>
    </xf>
    <xf numFmtId="164" fontId="0" fillId="0" borderId="4" xfId="0" applyNumberFormat="1" applyFont="1" applyBorder="1" applyAlignment="1" applyProtection="1">
      <alignment horizontal="center" vertical="center"/>
      <protection hidden="1"/>
    </xf>
    <xf numFmtId="1" fontId="0" fillId="0" borderId="4" xfId="0" applyNumberFormat="1" applyFont="1" applyBorder="1" applyAlignment="1" applyProtection="1">
      <alignment horizontal="center" vertical="center"/>
      <protection hidden="1"/>
    </xf>
    <xf numFmtId="0" fontId="2" fillId="0" borderId="5" xfId="0" applyFont="1" applyBorder="1" applyProtection="1">
      <protection hidden="1"/>
    </xf>
    <xf numFmtId="2" fontId="0" fillId="0" borderId="6" xfId="0" applyNumberFormat="1" applyFont="1" applyBorder="1" applyAlignment="1" applyProtection="1">
      <alignment horizontal="center" vertical="center"/>
      <protection hidden="1"/>
    </xf>
    <xf numFmtId="2" fontId="0" fillId="0" borderId="4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2" fontId="0" fillId="0" borderId="4" xfId="0" applyNumberFormat="1" applyFont="1" applyFill="1" applyBorder="1" applyAlignment="1" applyProtection="1">
      <alignment horizontal="center" vertical="center"/>
      <protection hidden="1"/>
    </xf>
    <xf numFmtId="0" fontId="2" fillId="0" borderId="7" xfId="0" applyFont="1" applyBorder="1" applyProtection="1">
      <protection hidden="1"/>
    </xf>
    <xf numFmtId="0" fontId="2" fillId="0" borderId="0" xfId="0" applyFont="1"/>
    <xf numFmtId="0" fontId="2" fillId="0" borderId="7" xfId="0" applyFont="1" applyBorder="1"/>
    <xf numFmtId="9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9" fontId="0" fillId="4" borderId="9" xfId="0" applyNumberFormat="1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0" fontId="11" fillId="0" borderId="0" xfId="2" applyFont="1" applyAlignment="1" applyProtection="1">
      <alignment horizontal="left" vertical="top"/>
      <protection hidden="1"/>
    </xf>
    <xf numFmtId="0" fontId="2" fillId="0" borderId="8" xfId="0" applyFont="1" applyFill="1" applyBorder="1" applyProtection="1">
      <protection hidden="1"/>
    </xf>
    <xf numFmtId="0" fontId="2" fillId="0" borderId="0" xfId="0" applyFont="1" applyFill="1" applyBorder="1" applyProtection="1">
      <protection hidden="1"/>
    </xf>
    <xf numFmtId="1" fontId="2" fillId="0" borderId="12" xfId="0" applyNumberFormat="1" applyFont="1" applyBorder="1" applyAlignment="1" applyProtection="1">
      <alignment horizontal="center" vertical="center"/>
      <protection hidden="1"/>
    </xf>
    <xf numFmtId="0" fontId="0" fillId="0" borderId="3" xfId="0" applyBorder="1"/>
    <xf numFmtId="0" fontId="12" fillId="0" borderId="0" xfId="0" applyFont="1"/>
    <xf numFmtId="14" fontId="2" fillId="0" borderId="0" xfId="0" applyNumberFormat="1" applyFont="1"/>
    <xf numFmtId="9" fontId="0" fillId="5" borderId="11" xfId="0" applyNumberFormat="1" applyFill="1" applyBorder="1" applyAlignment="1">
      <alignment horizontal="left"/>
    </xf>
    <xf numFmtId="9" fontId="0" fillId="5" borderId="11" xfId="0" applyNumberFormat="1" applyFill="1" applyBorder="1"/>
    <xf numFmtId="9" fontId="0" fillId="5" borderId="11" xfId="0" applyNumberFormat="1" applyFill="1" applyBorder="1" applyAlignment="1">
      <alignment horizontal="center" vertical="center"/>
    </xf>
    <xf numFmtId="9" fontId="0" fillId="5" borderId="7" xfId="0" applyNumberFormat="1" applyFill="1" applyBorder="1" applyAlignment="1">
      <alignment horizontal="left"/>
    </xf>
    <xf numFmtId="9" fontId="0" fillId="5" borderId="7" xfId="0" applyNumberFormat="1" applyFill="1" applyBorder="1"/>
    <xf numFmtId="9" fontId="0" fillId="5" borderId="7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top"/>
    </xf>
    <xf numFmtId="9" fontId="0" fillId="5" borderId="10" xfId="0" applyNumberFormat="1" applyFill="1" applyBorder="1"/>
    <xf numFmtId="9" fontId="0" fillId="5" borderId="10" xfId="0" applyNumberForma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10" fontId="2" fillId="5" borderId="4" xfId="0" applyNumberFormat="1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9" fontId="2" fillId="5" borderId="6" xfId="0" applyNumberFormat="1" applyFont="1" applyFill="1" applyBorder="1" applyAlignment="1">
      <alignment horizontal="left" vertical="top"/>
    </xf>
    <xf numFmtId="0" fontId="2" fillId="0" borderId="8" xfId="0" applyFont="1" applyFill="1" applyBorder="1"/>
    <xf numFmtId="0" fontId="2" fillId="0" borderId="3" xfId="0" applyFont="1" applyFill="1" applyBorder="1"/>
    <xf numFmtId="0" fontId="8" fillId="0" borderId="3" xfId="2" applyFont="1" applyFill="1" applyBorder="1" applyAlignment="1" applyProtection="1">
      <alignment horizontal="left" vertical="top"/>
      <protection hidden="1"/>
    </xf>
    <xf numFmtId="0" fontId="2" fillId="0" borderId="7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0" fillId="0" borderId="0" xfId="0" applyBorder="1"/>
    <xf numFmtId="9" fontId="2" fillId="0" borderId="12" xfId="0" applyNumberFormat="1" applyFont="1" applyBorder="1" applyAlignment="1">
      <alignment horizontal="center" vertical="top"/>
    </xf>
    <xf numFmtId="9" fontId="2" fillId="0" borderId="0" xfId="0" applyNumberFormat="1" applyFont="1" applyBorder="1" applyAlignment="1">
      <alignment horizontal="center" vertical="top"/>
    </xf>
    <xf numFmtId="1" fontId="2" fillId="0" borderId="12" xfId="0" applyNumberFormat="1" applyFont="1" applyBorder="1" applyAlignment="1">
      <alignment horizontal="center"/>
    </xf>
    <xf numFmtId="0" fontId="13" fillId="0" borderId="0" xfId="2" applyFont="1" applyAlignment="1" applyProtection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rrenbuffettspreadsheet.wordpress.com/the-warren-buffett-spreadsheet/" TargetMode="External"/><Relationship Id="rId2" Type="http://schemas.openxmlformats.org/officeDocument/2006/relationships/hyperlink" Target="https://warrenbuffettspreadsheet.wordpress.com/" TargetMode="External"/><Relationship Id="rId1" Type="http://schemas.openxmlformats.org/officeDocument/2006/relationships/hyperlink" Target="https://ycharts.com/indicators/us_corporate_aa_effective_yield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A3" activeCellId="1" sqref="A4 A3"/>
    </sheetView>
  </sheetViews>
  <sheetFormatPr defaultRowHeight="15" x14ac:dyDescent="0.25"/>
  <cols>
    <col min="1" max="1" width="95.7109375" bestFit="1" customWidth="1"/>
    <col min="2" max="3" width="10.140625" bestFit="1" customWidth="1"/>
    <col min="12" max="12" width="9.140625" customWidth="1"/>
    <col min="13" max="13" width="0.28515625" customWidth="1"/>
  </cols>
  <sheetData>
    <row r="1" spans="1:15" ht="15.75" x14ac:dyDescent="0.25">
      <c r="A1" s="24" t="s">
        <v>26</v>
      </c>
    </row>
    <row r="3" spans="1:15" x14ac:dyDescent="0.25">
      <c r="A3" s="55" t="s">
        <v>38</v>
      </c>
    </row>
    <row r="4" spans="1:15" x14ac:dyDescent="0.25">
      <c r="A4" s="55" t="s">
        <v>37</v>
      </c>
    </row>
    <row r="6" spans="1:15" ht="18.75" x14ac:dyDescent="0.3">
      <c r="A6" s="29" t="s">
        <v>27</v>
      </c>
    </row>
    <row r="7" spans="1:15" ht="18.75" x14ac:dyDescent="0.3">
      <c r="A7" s="29" t="s">
        <v>28</v>
      </c>
    </row>
    <row r="9" spans="1:15" ht="18.75" x14ac:dyDescent="0.3">
      <c r="A9" s="29" t="s">
        <v>36</v>
      </c>
    </row>
    <row r="11" spans="1:15" x14ac:dyDescent="0.25">
      <c r="A11" s="14" t="s">
        <v>29</v>
      </c>
      <c r="B11" s="14" t="s">
        <v>30</v>
      </c>
    </row>
    <row r="12" spans="1:15" x14ac:dyDescent="0.25">
      <c r="A12" s="14" t="s">
        <v>31</v>
      </c>
      <c r="B12" s="30">
        <v>43075</v>
      </c>
    </row>
    <row r="15" spans="1:15" x14ac:dyDescent="0.25">
      <c r="A15" s="20" t="s">
        <v>16</v>
      </c>
      <c r="B15" s="21">
        <v>1</v>
      </c>
      <c r="C15" s="21">
        <v>2</v>
      </c>
      <c r="D15" s="21">
        <v>3</v>
      </c>
      <c r="E15" s="21">
        <v>4</v>
      </c>
      <c r="F15" s="21">
        <v>5</v>
      </c>
      <c r="G15" s="21">
        <v>6</v>
      </c>
      <c r="H15" s="21">
        <v>7</v>
      </c>
      <c r="I15" s="21">
        <v>8</v>
      </c>
      <c r="J15" s="21">
        <v>9</v>
      </c>
      <c r="K15" s="21">
        <v>10</v>
      </c>
      <c r="L15" s="21" t="s">
        <v>17</v>
      </c>
      <c r="M15" s="14" t="s">
        <v>22</v>
      </c>
      <c r="N15" s="20" t="s">
        <v>22</v>
      </c>
      <c r="O15" s="20" t="s">
        <v>21</v>
      </c>
    </row>
    <row r="16" spans="1:15" x14ac:dyDescent="0.25">
      <c r="A16" s="45" t="s">
        <v>15</v>
      </c>
      <c r="B16" s="31">
        <v>0.1201</v>
      </c>
      <c r="C16" s="31">
        <v>0.1507</v>
      </c>
      <c r="D16" s="31">
        <v>0.11720000000000001</v>
      </c>
      <c r="E16" s="31">
        <v>0.16020000000000001</v>
      </c>
      <c r="F16" s="31">
        <v>0.1812</v>
      </c>
      <c r="G16" s="31">
        <v>0.2051</v>
      </c>
      <c r="H16" s="31">
        <v>0.21350000000000002</v>
      </c>
      <c r="I16" s="31">
        <v>0.24429999999999999</v>
      </c>
      <c r="J16" s="31">
        <v>0.2278</v>
      </c>
      <c r="K16" s="31">
        <v>0.20829999999999999</v>
      </c>
      <c r="L16" s="31">
        <v>0.23219999999999999</v>
      </c>
      <c r="M16" s="32">
        <f>MEDIAN(B16:L16)</f>
        <v>0.2051</v>
      </c>
      <c r="N16" s="33">
        <f>IFERROR(IF(O16&lt;&gt;"",O16,M16),"")</f>
        <v>0.16</v>
      </c>
      <c r="O16" s="22">
        <v>0.16</v>
      </c>
    </row>
    <row r="17" spans="1:15" x14ac:dyDescent="0.25">
      <c r="A17" s="49" t="s">
        <v>20</v>
      </c>
      <c r="B17" s="34">
        <v>0.11392249585457226</v>
      </c>
      <c r="C17" s="34">
        <v>0.12993878686700056</v>
      </c>
      <c r="D17" s="34">
        <v>0.13363501378773951</v>
      </c>
      <c r="E17" s="34">
        <v>0.16386678455643972</v>
      </c>
      <c r="F17" s="34">
        <v>0.16832847573758755</v>
      </c>
      <c r="G17" s="34">
        <v>0.18842588167829494</v>
      </c>
      <c r="H17" s="34">
        <v>0.19979055684560398</v>
      </c>
      <c r="I17" s="34">
        <v>0.21594130398532599</v>
      </c>
      <c r="J17" s="34">
        <v>0.21876862421491772</v>
      </c>
      <c r="K17" s="34">
        <v>0.21227621483375958</v>
      </c>
      <c r="L17" s="34">
        <v>0.21843687374749499</v>
      </c>
      <c r="M17" s="35">
        <f>MEDIAN(B17:L17)</f>
        <v>0.18842588167829494</v>
      </c>
      <c r="N17" s="36">
        <f>IFERROR(IF(O17&lt;&gt;"",O17,M17),"")</f>
        <v>0.17</v>
      </c>
      <c r="O17" s="23">
        <v>0.17</v>
      </c>
    </row>
    <row r="18" spans="1:15" x14ac:dyDescent="0.25">
      <c r="N18" s="17" t="s">
        <v>25</v>
      </c>
      <c r="O18" s="18"/>
    </row>
    <row r="19" spans="1:15" x14ac:dyDescent="0.25">
      <c r="A19" s="50" t="s">
        <v>24</v>
      </c>
      <c r="B19" s="37">
        <v>1.73</v>
      </c>
      <c r="C19" s="37">
        <v>2.27</v>
      </c>
      <c r="D19" s="37">
        <v>1.87</v>
      </c>
      <c r="E19" s="37">
        <v>2.77</v>
      </c>
      <c r="F19" s="37">
        <v>3.36</v>
      </c>
      <c r="G19" s="37">
        <v>4.1399999999999997</v>
      </c>
      <c r="H19" s="37">
        <v>4.71</v>
      </c>
      <c r="I19" s="37">
        <v>5.75</v>
      </c>
      <c r="J19" s="37">
        <v>5.49</v>
      </c>
      <c r="K19" s="37">
        <v>5.07</v>
      </c>
      <c r="L19" s="37">
        <v>5.65</v>
      </c>
      <c r="M19" s="38">
        <f>(L19/B19)^(1/(10-1))-1</f>
        <v>0.14054223374633557</v>
      </c>
      <c r="N19" s="39">
        <f>IFERROR(IF(O19&lt;&gt;"",O19,M19),"")</f>
        <v>0.12</v>
      </c>
      <c r="O19" s="19">
        <v>0.12</v>
      </c>
    </row>
    <row r="20" spans="1:15" x14ac:dyDescent="0.25">
      <c r="A20" s="14"/>
    </row>
    <row r="21" spans="1:15" x14ac:dyDescent="0.25">
      <c r="A21" s="45" t="s">
        <v>18</v>
      </c>
      <c r="B21" s="40">
        <v>19151</v>
      </c>
    </row>
    <row r="22" spans="1:15" x14ac:dyDescent="0.25">
      <c r="A22" s="46" t="s">
        <v>19</v>
      </c>
      <c r="B22" s="41">
        <v>798</v>
      </c>
      <c r="M22" s="16"/>
    </row>
    <row r="23" spans="1:15" x14ac:dyDescent="0.25">
      <c r="A23" s="46" t="s">
        <v>9</v>
      </c>
      <c r="B23" s="41">
        <v>20958</v>
      </c>
    </row>
    <row r="24" spans="1:15" x14ac:dyDescent="0.25">
      <c r="A24" s="47" t="s">
        <v>23</v>
      </c>
      <c r="B24" s="42">
        <v>2.9499999999999998E-2</v>
      </c>
    </row>
    <row r="25" spans="1:15" x14ac:dyDescent="0.25">
      <c r="A25" s="26" t="s">
        <v>13</v>
      </c>
      <c r="B25" s="43">
        <v>117</v>
      </c>
      <c r="C25" s="28"/>
    </row>
    <row r="26" spans="1:15" x14ac:dyDescent="0.25">
      <c r="A26" s="48" t="s">
        <v>35</v>
      </c>
      <c r="B26" s="44">
        <v>0.3</v>
      </c>
      <c r="C26" s="28"/>
    </row>
    <row r="30" spans="1:15" ht="15.75" x14ac:dyDescent="0.25">
      <c r="A30" s="1" t="s">
        <v>0</v>
      </c>
      <c r="B30" s="2"/>
    </row>
    <row r="31" spans="1:15" x14ac:dyDescent="0.25">
      <c r="A31" s="3" t="s">
        <v>1</v>
      </c>
      <c r="B31" s="4"/>
    </row>
    <row r="32" spans="1:15" x14ac:dyDescent="0.25">
      <c r="A32" s="5" t="s">
        <v>2</v>
      </c>
      <c r="B32" s="6">
        <f>IFERROR(MEDIAN(N16),"")</f>
        <v>0.16</v>
      </c>
    </row>
    <row r="33" spans="1:3" x14ac:dyDescent="0.25">
      <c r="A33" s="5" t="s">
        <v>3</v>
      </c>
      <c r="B33" s="7">
        <f>B21</f>
        <v>19151</v>
      </c>
    </row>
    <row r="34" spans="1:3" x14ac:dyDescent="0.25">
      <c r="A34" s="5" t="s">
        <v>4</v>
      </c>
      <c r="B34" s="7">
        <f>IFERROR((B32*B33),"")</f>
        <v>3064.16</v>
      </c>
    </row>
    <row r="35" spans="1:3" x14ac:dyDescent="0.25">
      <c r="A35" s="5" t="s">
        <v>5</v>
      </c>
      <c r="B35" s="7">
        <f>B22</f>
        <v>798</v>
      </c>
    </row>
    <row r="36" spans="1:3" x14ac:dyDescent="0.25">
      <c r="A36" s="8" t="s">
        <v>6</v>
      </c>
      <c r="B36" s="9">
        <f>IFERROR((B34/B35),"")</f>
        <v>3.8397994987468671</v>
      </c>
    </row>
    <row r="37" spans="1:3" x14ac:dyDescent="0.25">
      <c r="A37" s="3" t="s">
        <v>7</v>
      </c>
      <c r="B37" s="4"/>
    </row>
    <row r="38" spans="1:3" x14ac:dyDescent="0.25">
      <c r="A38" s="5" t="s">
        <v>8</v>
      </c>
      <c r="B38" s="6">
        <f>AVERAGE(B17:L17)</f>
        <v>0.17848463746443063</v>
      </c>
    </row>
    <row r="39" spans="1:3" x14ac:dyDescent="0.25">
      <c r="A39" s="5" t="s">
        <v>9</v>
      </c>
      <c r="B39" s="7">
        <f>B23</f>
        <v>20958</v>
      </c>
    </row>
    <row r="40" spans="1:3" x14ac:dyDescent="0.25">
      <c r="A40" s="5" t="s">
        <v>4</v>
      </c>
      <c r="B40" s="7">
        <f>IFERROR((B38*B39),"")</f>
        <v>3740.6810319795372</v>
      </c>
    </row>
    <row r="41" spans="1:3" x14ac:dyDescent="0.25">
      <c r="A41" s="8" t="s">
        <v>6</v>
      </c>
      <c r="B41" s="9">
        <f>IFERROR((B40/B35),"")</f>
        <v>4.6875702155132046</v>
      </c>
    </row>
    <row r="42" spans="1:3" x14ac:dyDescent="0.25">
      <c r="A42" s="5" t="s">
        <v>10</v>
      </c>
      <c r="B42" s="10">
        <f>IFERROR(AVERAGE(B36,B41),"")</f>
        <v>4.2636848571300359</v>
      </c>
    </row>
    <row r="43" spans="1:3" x14ac:dyDescent="0.25">
      <c r="A43" s="11" t="s">
        <v>11</v>
      </c>
      <c r="B43" s="12">
        <f>B24*100</f>
        <v>2.9499999999999997</v>
      </c>
    </row>
    <row r="44" spans="1:3" x14ac:dyDescent="0.25">
      <c r="A44" s="8" t="s">
        <v>12</v>
      </c>
      <c r="B44" s="9">
        <f>IFERROR((N19*100),"")</f>
        <v>12</v>
      </c>
    </row>
    <row r="45" spans="1:3" ht="15.75" thickBot="1" x14ac:dyDescent="0.3">
      <c r="A45" s="5" t="s">
        <v>13</v>
      </c>
      <c r="B45" s="10">
        <f>B25</f>
        <v>117</v>
      </c>
    </row>
    <row r="46" spans="1:3" ht="15.75" thickBot="1" x14ac:dyDescent="0.3">
      <c r="A46" s="13" t="s">
        <v>14</v>
      </c>
      <c r="B46" s="27">
        <f>IFERROR((B42*(7+1.5*B44*0.75)*4.4/B43),"")</f>
        <v>130.36758444512856</v>
      </c>
    </row>
    <row r="47" spans="1:3" ht="15.75" thickBot="1" x14ac:dyDescent="0.3"/>
    <row r="48" spans="1:3" ht="15.75" thickBot="1" x14ac:dyDescent="0.3">
      <c r="A48" s="25" t="s">
        <v>32</v>
      </c>
      <c r="B48" s="52">
        <f>IFERROR(1-(B25/B46),"")</f>
        <v>0.10253764002780108</v>
      </c>
      <c r="C48" s="51"/>
    </row>
    <row r="49" spans="1:3" ht="15.75" thickBot="1" x14ac:dyDescent="0.3">
      <c r="A49" s="26" t="s">
        <v>33</v>
      </c>
      <c r="B49" s="53">
        <f>(((B46/B25)^(1/10))-1)</f>
        <v>1.0877140419923936E-2</v>
      </c>
      <c r="C49" s="28"/>
    </row>
    <row r="50" spans="1:3" ht="15.75" thickBot="1" x14ac:dyDescent="0.3">
      <c r="A50" s="15" t="s">
        <v>34</v>
      </c>
      <c r="B50" s="54">
        <f>IFERROR(B46*(1-B$26),"")</f>
        <v>91.25730911158999</v>
      </c>
    </row>
  </sheetData>
  <hyperlinks>
    <hyperlink ref="A24" r:id="rId1" tooltip="http://finance.yahoo.com/bonds/composite_bond_rates"/>
    <hyperlink ref="A1" r:id="rId2"/>
    <hyperlink ref="A3:A4" r:id="rId3" display="Check out my full Excel stock valuation spreadsheet that includes 8 valuation models in one spreadsheet"/>
  </hyperlinks>
  <pageMargins left="0.7" right="0.7" top="0.75" bottom="0.75" header="0.3" footer="0.3"/>
  <pageSetup paperSize="9" orientation="portrait" horizontalDpi="1200" verticalDpi="12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Fredrik</dc:creator>
  <cp:lastModifiedBy>Jan Fredrik</cp:lastModifiedBy>
  <dcterms:created xsi:type="dcterms:W3CDTF">2017-12-06T14:01:21Z</dcterms:created>
  <dcterms:modified xsi:type="dcterms:W3CDTF">2019-12-16T10:08:37Z</dcterms:modified>
</cp:coreProperties>
</file>