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app/menus/resumenes/territoriales/"/>
    </mc:Choice>
  </mc:AlternateContent>
  <bookViews>
    <workbookView xWindow="0" yWindow="460" windowWidth="25600" windowHeight="14560"/>
  </bookViews>
  <sheets>
    <sheet name="VENTAS" sheetId="1" r:id="rId1"/>
  </sheets>
  <definedNames>
    <definedName name="_xlnm.Print_Titles" localSheetId="0">VENTAS!$15:$15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H18" i="1"/>
  <c r="H16" i="1"/>
  <c r="H17" i="1"/>
  <c r="L16" i="1"/>
  <c r="L17" i="1"/>
  <c r="M16" i="1"/>
  <c r="M17" i="1"/>
  <c r="P17" i="1"/>
  <c r="P16" i="1"/>
  <c r="O17" i="1"/>
  <c r="O16" i="1"/>
  <c r="N18" i="1"/>
  <c r="D16" i="1"/>
  <c r="D17" i="1"/>
  <c r="C22" i="1"/>
  <c r="F22" i="1"/>
  <c r="C21" i="1"/>
  <c r="F21" i="1"/>
  <c r="E23" i="1"/>
  <c r="F23" i="1"/>
  <c r="D23" i="1"/>
  <c r="C23" i="1"/>
  <c r="F18" i="1"/>
  <c r="G18" i="1"/>
  <c r="K18" i="1"/>
  <c r="J18" i="1"/>
  <c r="D18" i="1"/>
  <c r="M18" i="1"/>
  <c r="O18" i="1"/>
  <c r="C18" i="1"/>
  <c r="P18" i="1"/>
  <c r="I18" i="1"/>
  <c r="E18" i="1"/>
</calcChain>
</file>

<file path=xl/sharedStrings.xml><?xml version="1.0" encoding="utf-8"?>
<sst xmlns="http://schemas.openxmlformats.org/spreadsheetml/2006/main" count="27" uniqueCount="25">
  <si>
    <t>Total</t>
  </si>
  <si>
    <t>Proyección</t>
  </si>
  <si>
    <t>Oficina</t>
  </si>
  <si>
    <t>Enero</t>
  </si>
  <si>
    <t>Febrero</t>
  </si>
  <si>
    <t>Abril</t>
  </si>
  <si>
    <t>Marzo</t>
  </si>
  <si>
    <t>Mayo</t>
  </si>
  <si>
    <t>Junio</t>
  </si>
  <si>
    <t>TOTAL</t>
  </si>
  <si>
    <t>Rescates</t>
  </si>
  <si>
    <t>Territorial Galicia</t>
  </si>
  <si>
    <t>[Galicia Norte]</t>
  </si>
  <si>
    <t>[Galicia Sur]</t>
  </si>
  <si>
    <t>Beneficio</t>
  </si>
  <si>
    <t>Gastos</t>
  </si>
  <si>
    <t>Ingresos</t>
  </si>
  <si>
    <t>Territorial</t>
  </si>
  <si>
    <t>Galicia Norte</t>
  </si>
  <si>
    <t>Galicia Sur</t>
  </si>
  <si>
    <t>Cartera 2016</t>
  </si>
  <si>
    <t>Crecimiento de cartera</t>
  </si>
  <si>
    <t>Proyeccion de crecimiento</t>
  </si>
  <si>
    <t>Trimestre</t>
  </si>
  <si>
    <t>Trimestre2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</si>
</sst>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5" formatCode="0.0%"/>
  </numFmts>
  <fonts count="17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u/>
      <sz val="14"/>
      <color theme="5" tint="0.39994506668294322"/>
      <name val="Calibri"/>
      <family val="2"/>
      <scheme val="minor"/>
    </font>
    <font>
      <sz val="12"/>
      <color theme="5" tint="0.39988402966399123"/>
      <name val="Calibri"/>
      <family val="2"/>
      <scheme val="minor"/>
    </font>
    <font>
      <b/>
      <sz val="9"/>
      <color theme="5"/>
      <name val="Calibri"/>
      <scheme val="major"/>
    </font>
    <font>
      <b/>
      <sz val="10"/>
      <color rgb="FF00B050"/>
      <name val="Calibri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b/>
      <sz val="9"/>
      <color theme="7" tint="-0.249977111117893"/>
      <name val="Calibri"/>
      <family val="2"/>
      <scheme val="minor"/>
    </font>
    <font>
      <b/>
      <sz val="9"/>
      <color theme="3" tint="-0.249977111117893"/>
      <name val="Calibri"/>
      <scheme val="minor"/>
    </font>
    <font>
      <b/>
      <sz val="10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3" applyFont="1" applyFill="1" applyBorder="1" applyAlignment="1">
      <alignment horizontal="right" wrapText="1"/>
    </xf>
    <xf numFmtId="0" fontId="9" fillId="0" borderId="0" xfId="3" applyFont="1" applyFill="1" applyBorder="1" applyAlignment="1">
      <alignment wrapText="1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44" fontId="13" fillId="0" borderId="0" xfId="0" applyNumberFormat="1" applyFont="1">
      <alignment vertical="center"/>
    </xf>
    <xf numFmtId="0" fontId="14" fillId="0" borderId="0" xfId="0" applyFont="1" applyFill="1" applyBorder="1" applyAlignment="1">
      <alignment vertical="center"/>
    </xf>
    <xf numFmtId="44" fontId="14" fillId="0" borderId="0" xfId="6" applyFont="1" applyFill="1" applyBorder="1" applyAlignment="1">
      <alignment vertical="center"/>
    </xf>
    <xf numFmtId="4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4" fontId="14" fillId="0" borderId="0" xfId="6" applyFont="1" applyAlignment="1">
      <alignment vertical="center"/>
    </xf>
    <xf numFmtId="0" fontId="7" fillId="2" borderId="0" xfId="0" applyFont="1" applyFill="1">
      <alignment vertical="center"/>
    </xf>
    <xf numFmtId="0" fontId="1" fillId="2" borderId="0" xfId="1" applyFill="1"/>
    <xf numFmtId="0" fontId="3" fillId="2" borderId="0" xfId="0" applyFont="1" applyFill="1">
      <alignment vertical="center"/>
    </xf>
    <xf numFmtId="165" fontId="14" fillId="0" borderId="0" xfId="7" applyNumberFormat="1" applyFont="1" applyAlignment="1">
      <alignment vertical="center"/>
    </xf>
    <xf numFmtId="10" fontId="15" fillId="0" borderId="0" xfId="7" applyNumberFormat="1" applyFont="1" applyAlignment="1">
      <alignment vertical="center"/>
    </xf>
    <xf numFmtId="44" fontId="16" fillId="0" borderId="0" xfId="0" applyNumberFormat="1" applyFont="1" applyAlignment="1">
      <alignment vertical="center"/>
    </xf>
    <xf numFmtId="44" fontId="16" fillId="0" borderId="0" xfId="0" applyNumberFormat="1" applyFont="1">
      <alignment vertical="center"/>
    </xf>
    <xf numFmtId="17" fontId="9" fillId="0" borderId="0" xfId="3" applyNumberFormat="1" applyFont="1" applyFill="1" applyBorder="1" applyAlignment="1">
      <alignment horizontal="right" wrapText="1"/>
    </xf>
    <xf numFmtId="10" fontId="14" fillId="0" borderId="0" xfId="7" applyNumberFormat="1" applyFont="1" applyFill="1" applyBorder="1" applyAlignment="1">
      <alignment vertical="center"/>
    </xf>
    <xf numFmtId="10" fontId="14" fillId="0" borderId="0" xfId="7" applyNumberFormat="1" applyFont="1" applyFill="1" applyAlignment="1">
      <alignment vertical="center"/>
    </xf>
  </cellXfs>
  <cellStyles count="8">
    <cellStyle name="Encabezado 4" xfId="5" builtinId="19" customBuiltin="1"/>
    <cellStyle name="Moneda" xfId="6" builtinId="4"/>
    <cellStyle name="Normal" xfId="0" builtinId="0" customBuiltin="1"/>
    <cellStyle name="Porcentaje" xfId="7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/>
        <name val="Calibri"/>
        <scheme val="major"/>
      </font>
      <numFmt numFmtId="164" formatCode="#,##0.00\ [$€-C0A]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7" tint="-0.249977111117893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Calibri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  <a:p>
            <a:pPr>
              <a:defRPr/>
            </a:pPr>
            <a:r>
              <a:rPr lang="en-US"/>
              <a:t>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3"/>
          <c:y val="0.219748662189043"/>
          <c:w val="0.384164717274418"/>
          <c:h val="0.599968417218729"/>
        </c:manualLayout>
      </c:layout>
      <c:pieChart>
        <c:varyColors val="1"/>
        <c:ser>
          <c:idx val="1"/>
          <c:order val="0"/>
          <c:tx>
            <c:strRef>
              <c:f>VENTAS!$M$15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VENTAS!$B$16:$B$17</c:f>
              <c:strCache>
                <c:ptCount val="2"/>
                <c:pt idx="0">
                  <c:v>[Galicia Norte]</c:v>
                </c:pt>
                <c:pt idx="1">
                  <c:v>[Galicia Sur]</c:v>
                </c:pt>
              </c:strCache>
            </c:strRef>
          </c:cat>
          <c:val>
            <c:numRef>
              <c:f>VENTAS!$M$16:$M$17</c:f>
              <c:numCache>
                <c:formatCode>_-"€"* #,##0.00_-;\-"€"* #,##0.00_-;_-"€"* "-"??_-;_-@_-</c:formatCode>
                <c:ptCount val="2"/>
                <c:pt idx="0">
                  <c:v>271385.9433343437</c:v>
                </c:pt>
                <c:pt idx="1">
                  <c:v>272922.9395865312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VENTAS!$M$15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VENTAS!$B$16:$B$17</c:f>
              <c:strCache>
                <c:ptCount val="2"/>
                <c:pt idx="0">
                  <c:v>[Galicia Norte]</c:v>
                </c:pt>
                <c:pt idx="1">
                  <c:v>[Galicia Sur]</c:v>
                </c:pt>
              </c:strCache>
            </c:strRef>
          </c:cat>
          <c:val>
            <c:numRef>
              <c:f>VENTAS!$M$16:$M$17</c:f>
              <c:numCache>
                <c:formatCode>_-"€"* #,##0.00_-;\-"€"* #,##0.00_-;_-"€"* "-"??_-;_-@_-</c:formatCode>
                <c:ptCount val="2"/>
                <c:pt idx="0">
                  <c:v>271385.9433343437</c:v>
                </c:pt>
                <c:pt idx="1">
                  <c:v>272922.9395865312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Mes Mayo</a:t>
            </a:r>
          </a:p>
        </c:rich>
      </c:tx>
      <c:layout>
        <c:manualLayout>
          <c:xMode val="edge"/>
          <c:yMode val="edge"/>
          <c:x val="0.00433273538476673"/>
          <c:y val="0.02435695403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888801304995273"/>
          <c:y val="0.200112515063274"/>
          <c:w val="0.896214722039272"/>
          <c:h val="0.690632801337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VENTAS!$J$15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cat>
            <c:strRef>
              <c:f>VENTAS!$B$16:$B$17</c:f>
              <c:strCache>
                <c:ptCount val="2"/>
                <c:pt idx="0">
                  <c:v>[Galicia Norte]</c:v>
                </c:pt>
                <c:pt idx="1">
                  <c:v>[Galicia Sur]</c:v>
                </c:pt>
              </c:strCache>
            </c:strRef>
          </c:cat>
          <c:val>
            <c:numRef>
              <c:f>VENTAS!$J$16:$J$17</c:f>
              <c:numCache>
                <c:formatCode>_-"€"* #,##0.00_-;\-"€"* #,##0.00_-;_-"€"* "-"??_-;_-@_-</c:formatCode>
                <c:ptCount val="2"/>
                <c:pt idx="0">
                  <c:v>51290.47</c:v>
                </c:pt>
                <c:pt idx="1">
                  <c:v>133250.0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1951675616"/>
        <c:axId val="1952031824"/>
      </c:barChart>
      <c:catAx>
        <c:axId val="19516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52031824"/>
        <c:crosses val="autoZero"/>
        <c:auto val="1"/>
        <c:lblAlgn val="ctr"/>
        <c:lblOffset val="100"/>
        <c:noMultiLvlLbl val="0"/>
      </c:catAx>
      <c:valAx>
        <c:axId val="19520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C0A]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516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13</xdr:col>
      <xdr:colOff>0</xdr:colOff>
      <xdr:row>14</xdr:row>
      <xdr:rowOff>0</xdr:rowOff>
    </xdr:to>
    <xdr:graphicFrame macro="">
      <xdr:nvGraphicFramePr>
        <xdr:cNvPr id="2" name="ProductIncomePctChart" descr="Representar gráficamente cada producto en un gráfico circular que muestre el porcentaje de un conjunto por ingresos." title="Porcentaje de ingresos por gráfico de product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Representar gráficamente cada artículo en un gráfico de columnas agrupado." title="Ingresos de productos por gráfico de artículo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M17" totalsRowShown="0" headerRowDxfId="26" dataDxfId="25" totalsRowDxfId="24">
  <tableColumns count="12">
    <tableColumn id="1" name="Oficina" dataDxfId="22" totalsRowDxfId="23"/>
    <tableColumn id="2" name="Rescates" dataDxfId="20" totalsRowDxfId="21" dataCellStyle="Moneda"/>
    <tableColumn id="3" name="Proyección" dataDxfId="18" totalsRowDxfId="19" dataCellStyle="Moneda">
      <calculatedColumnFormula>Table1[[#This Row],[Total]]/(24/50)</calculatedColumnFormula>
    </tableColumn>
    <tableColumn id="4" name="Enero" dataDxfId="16" totalsRowDxfId="17" dataCellStyle="Moneda"/>
    <tableColumn id="5" name="Febrero" dataDxfId="14" totalsRowDxfId="15" dataCellStyle="Moneda">
      <calculatedColumnFormula>IFERROR(Table1[[#This Row],[Enero]]*Table1[[#This Row],[Rescates]]*(1+Table1[[#This Row],[Proyección]]),0)</calculatedColumnFormula>
    </tableColumn>
    <tableColumn id="7" name="Marzo" dataDxfId="5" totalsRowDxfId="13" dataCellStyle="Moneda"/>
    <tableColumn id="6" name="Trimestre" dataDxfId="0" totalsRowDxfId="7" dataCellStyle="Porcentaje">
      <calculatedColumnFormula>SUM(Table1[[#This Row],[Enero]:[Marzo]])/320000</calculatedColumnFormula>
    </tableColumn>
    <tableColumn id="8" name="Abril" dataDxfId="4" totalsRowDxfId="12" dataCellStyle="Moneda"/>
    <tableColumn id="9" name="Mayo" dataDxfId="10" totalsRowDxfId="11" dataCellStyle="Moneda">
      <calculatedColumnFormula>IFERROR(Table1[[#This Row],[Rescates]]*Table1[[#This Row],[Proyección]]+Table1[[#This Row],[Marzo]]-Table1[[#This Row],[Abril]],0)</calculatedColumnFormula>
    </tableColumn>
    <tableColumn id="10" name="Junio" dataDxfId="3" totalsRowDxfId="9" dataCellStyle="Moneda"/>
    <tableColumn id="12" name="Trimestre2" dataDxfId="1" totalsRowDxfId="6" dataCellStyle="Porcentaje">
      <calculatedColumnFormula>SUM(Table1[[#This Row],[Abril]:[Junio]])/160000</calculatedColumnFormula>
    </tableColumn>
    <tableColumn id="11" name="Total" dataDxfId="2" totalsRowDxfId="8" dataCellStyle="Moneda">
      <calculatedColumnFormula>SUM(M13:M15)</calculatedColumnFormula>
    </tableColumn>
  </tableColumns>
  <tableStyleInfo name="Online sales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P23"/>
  <sheetViews>
    <sheetView showGridLines="0" tabSelected="1" topLeftCell="B5" zoomScale="125" zoomScaleNormal="125" zoomScalePageLayoutView="125" workbookViewId="0">
      <selection activeCell="N6" sqref="N6"/>
    </sheetView>
  </sheetViews>
  <sheetFormatPr baseColWidth="10" defaultColWidth="9" defaultRowHeight="27" customHeight="1" x14ac:dyDescent="0.2"/>
  <cols>
    <col min="1" max="1" width="2.83203125" style="1" customWidth="1"/>
    <col min="2" max="13" width="12" style="2" customWidth="1"/>
    <col min="14" max="14" width="11" style="1" customWidth="1"/>
    <col min="15" max="16384" width="9" style="1"/>
  </cols>
  <sheetData>
    <row r="1" spans="1:16" ht="45.75" customHeight="1" x14ac:dyDescent="0.45">
      <c r="A1" s="14"/>
      <c r="B1" s="15" t="s">
        <v>11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 ht="24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6" ht="19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6" ht="19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6" ht="19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6" ht="19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6" ht="19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6" ht="19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6" ht="19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6" ht="19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6" ht="19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6" ht="19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6" ht="19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6" ht="19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6" ht="60" customHeight="1" x14ac:dyDescent="0.15">
      <c r="B15" s="4" t="s">
        <v>2</v>
      </c>
      <c r="C15" s="3" t="s">
        <v>10</v>
      </c>
      <c r="D15" s="3" t="s">
        <v>1</v>
      </c>
      <c r="E15" s="3" t="s">
        <v>3</v>
      </c>
      <c r="F15" s="3" t="s">
        <v>4</v>
      </c>
      <c r="G15" s="3" t="s">
        <v>6</v>
      </c>
      <c r="H15" s="21" t="s">
        <v>23</v>
      </c>
      <c r="I15" s="3" t="s">
        <v>5</v>
      </c>
      <c r="J15" s="3" t="s">
        <v>7</v>
      </c>
      <c r="K15" s="3" t="s">
        <v>8</v>
      </c>
      <c r="L15" s="3" t="s">
        <v>24</v>
      </c>
      <c r="M15" s="3" t="s">
        <v>0</v>
      </c>
      <c r="N15" s="3" t="s">
        <v>20</v>
      </c>
      <c r="O15" s="3" t="s">
        <v>21</v>
      </c>
      <c r="P15" s="3" t="s">
        <v>22</v>
      </c>
    </row>
    <row r="16" spans="1:16" ht="27" customHeight="1" x14ac:dyDescent="0.2">
      <c r="B16" s="9" t="s">
        <v>12</v>
      </c>
      <c r="C16" s="10">
        <v>53190.87</v>
      </c>
      <c r="D16" s="10">
        <f>Table1[[#This Row],[Total]]/(24/50)</f>
        <v>565387.3819465494</v>
      </c>
      <c r="E16" s="10">
        <v>13692.73</v>
      </c>
      <c r="F16" s="10">
        <v>53175.12</v>
      </c>
      <c r="G16" s="10">
        <v>58999.14</v>
      </c>
      <c r="H16" s="22">
        <f>SUM(Table1[[#This Row],[Enero]:[Marzo]])/320000</f>
        <v>0.39333434375000004</v>
      </c>
      <c r="I16" s="10">
        <v>94228.09</v>
      </c>
      <c r="J16" s="10">
        <v>51290.47</v>
      </c>
      <c r="K16" s="10">
        <v>0</v>
      </c>
      <c r="L16" s="22">
        <f>SUM(Table1[[#This Row],[Abril]:[Junio]])/160000</f>
        <v>0.90949099999999994</v>
      </c>
      <c r="M16" s="10">
        <f>SUM(Table1[[#This Row],[Enero]:[Junio]])</f>
        <v>271385.94333434373</v>
      </c>
      <c r="N16" s="11">
        <v>185462.8</v>
      </c>
      <c r="O16" s="17">
        <f>Table1[[#This Row],[Total]]/N16</f>
        <v>1.4632904460320006</v>
      </c>
      <c r="P16" s="18">
        <f>((Table1[[#This Row],[Total]]-Table1[[#This Row],[Rescates]])/(24/52)/N16)</f>
        <v>2.5490610096710036</v>
      </c>
    </row>
    <row r="17" spans="2:16" ht="27" customHeight="1" x14ac:dyDescent="0.2">
      <c r="B17" s="9" t="s">
        <v>13</v>
      </c>
      <c r="C17" s="10">
        <v>0</v>
      </c>
      <c r="D17" s="10">
        <f>Table1[[#This Row],[Total]]/(24/50)</f>
        <v>568589.45747194008</v>
      </c>
      <c r="E17" s="10">
        <v>36920</v>
      </c>
      <c r="F17" s="10">
        <v>7359.19</v>
      </c>
      <c r="G17" s="10">
        <v>77188.5</v>
      </c>
      <c r="H17" s="22">
        <f>SUM(Table1[[#This Row],[Enero]:[Marzo]])/320000</f>
        <v>0.37958653125000003</v>
      </c>
      <c r="I17" s="10">
        <v>18204.87</v>
      </c>
      <c r="J17" s="10">
        <v>133250</v>
      </c>
      <c r="K17" s="10">
        <v>0</v>
      </c>
      <c r="L17" s="22">
        <f>SUM(Table1[[#This Row],[Abril]:[Junio]])/160000</f>
        <v>0.94659293749999995</v>
      </c>
      <c r="M17" s="10">
        <f>SUM(Table1[[#This Row],[Enero]:[Junio]])</f>
        <v>272922.93958653125</v>
      </c>
      <c r="N17" s="11">
        <v>11884.1</v>
      </c>
      <c r="O17" s="17">
        <f>Table1[[#This Row],[Total]]/N17</f>
        <v>22.965385648600336</v>
      </c>
      <c r="P17" s="18">
        <f>((Table1[[#This Row],[Total]]-Table1[[#This Row],[Rescates]])/(24/52)/N17)</f>
        <v>49.758335571967386</v>
      </c>
    </row>
    <row r="18" spans="2:16" ht="27" customHeight="1" x14ac:dyDescent="0.2">
      <c r="B18" s="12" t="s">
        <v>9</v>
      </c>
      <c r="C18" s="13">
        <f>SUM(Table1[Rescates])</f>
        <v>53190.87</v>
      </c>
      <c r="D18" s="13">
        <f>SUM(Table1[Proyección])</f>
        <v>1133976.8394184895</v>
      </c>
      <c r="E18" s="13">
        <f>SUM(Table1[Enero])</f>
        <v>50612.729999999996</v>
      </c>
      <c r="F18" s="13">
        <f>SUM(Table1[Febrero])</f>
        <v>60534.310000000005</v>
      </c>
      <c r="G18" s="13">
        <f>SUM(Table1[Marzo])</f>
        <v>136187.64000000001</v>
      </c>
      <c r="H18" s="22">
        <f>(G18+F18+E18)/360000</f>
        <v>0.68704077777777772</v>
      </c>
      <c r="I18" s="13">
        <f>SUM(Table1[Abril])</f>
        <v>112432.95999999999</v>
      </c>
      <c r="J18" s="13">
        <f>SUM(Table1[Mayo])</f>
        <v>184540.47</v>
      </c>
      <c r="K18" s="13">
        <f>SUM(Table1[Junio])</f>
        <v>0</v>
      </c>
      <c r="L18" s="23">
        <f>(K18+J18+I18)/360000</f>
        <v>0.82492619444444437</v>
      </c>
      <c r="M18" s="13">
        <f>SUM(Table1[Total])</f>
        <v>544308.88292087498</v>
      </c>
      <c r="N18" s="11">
        <f>SUM(N16:N17)</f>
        <v>197346.9</v>
      </c>
      <c r="O18" s="17">
        <f>M18/N18</f>
        <v>2.758132420224868</v>
      </c>
      <c r="P18" s="18">
        <f>((M18-C18)/(24/52)/N18)</f>
        <v>5.3919723491741145</v>
      </c>
    </row>
    <row r="20" spans="2:16" ht="27" customHeight="1" x14ac:dyDescent="0.2">
      <c r="B20" s="5" t="s">
        <v>2</v>
      </c>
      <c r="C20" s="5" t="s">
        <v>14</v>
      </c>
      <c r="D20" s="5" t="s">
        <v>15</v>
      </c>
      <c r="E20" s="5" t="s">
        <v>16</v>
      </c>
      <c r="F20" s="5" t="s">
        <v>1</v>
      </c>
    </row>
    <row r="21" spans="2:16" ht="27" customHeight="1" x14ac:dyDescent="0.2">
      <c r="B21" s="6" t="s">
        <v>18</v>
      </c>
      <c r="C21" s="20">
        <f>E21-D21</f>
        <v>-1934.3699999999953</v>
      </c>
      <c r="D21" s="8">
        <v>138622.97</v>
      </c>
      <c r="E21" s="8">
        <v>136688.6</v>
      </c>
      <c r="F21" s="20">
        <f>C21/(21/52)</f>
        <v>-4789.8685714285602</v>
      </c>
    </row>
    <row r="22" spans="2:16" ht="27" customHeight="1" x14ac:dyDescent="0.2">
      <c r="B22" s="6" t="s">
        <v>19</v>
      </c>
      <c r="C22" s="19">
        <f t="shared" ref="C22:C23" si="0">E22-D22</f>
        <v>-16369.86</v>
      </c>
      <c r="D22" s="8">
        <v>101012.35</v>
      </c>
      <c r="E22" s="8">
        <v>84642.49</v>
      </c>
      <c r="F22" s="20">
        <f>C22/(21/52)</f>
        <v>-40534.891428571427</v>
      </c>
    </row>
    <row r="23" spans="2:16" ht="27" customHeight="1" x14ac:dyDescent="0.2">
      <c r="B23" s="7" t="s">
        <v>17</v>
      </c>
      <c r="C23" s="20">
        <f t="shared" si="0"/>
        <v>-18304.229999999981</v>
      </c>
      <c r="D23" s="8">
        <f>SUM(D21:D22)</f>
        <v>239635.32</v>
      </c>
      <c r="E23" s="8">
        <f t="shared" ref="E23:F23" si="1">SUM(E21:E22)</f>
        <v>221331.09000000003</v>
      </c>
      <c r="F23" s="20">
        <f t="shared" si="1"/>
        <v>-45324.759999999987</v>
      </c>
    </row>
  </sheetData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2014-12-15T22:31:29Z</dcterms:created>
  <dcterms:modified xsi:type="dcterms:W3CDTF">2017-06-06T14:26:17Z</dcterms:modified>
</cp:coreProperties>
</file>