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app/menus/resumenes/territoriales/"/>
    </mc:Choice>
  </mc:AlternateContent>
  <bookViews>
    <workbookView xWindow="-25600" yWindow="1220" windowWidth="25600" windowHeight="20020"/>
  </bookViews>
  <sheets>
    <sheet name="VENTAS" sheetId="1" r:id="rId1"/>
  </sheets>
  <definedNames>
    <definedName name="_xlnm.Print_Titles" localSheetId="0">VENTAS!$15:$15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J21" i="1"/>
  <c r="L16" i="1"/>
  <c r="L17" i="1"/>
  <c r="L18" i="1"/>
  <c r="H16" i="1"/>
  <c r="H17" i="1"/>
  <c r="H18" i="1"/>
  <c r="E19" i="1"/>
  <c r="F19" i="1"/>
  <c r="G19" i="1"/>
  <c r="F21" i="1"/>
  <c r="F23" i="1"/>
  <c r="D26" i="1"/>
  <c r="E26" i="1"/>
  <c r="C26" i="1"/>
  <c r="F26" i="1"/>
  <c r="C25" i="1"/>
  <c r="F25" i="1"/>
  <c r="C24" i="1"/>
  <c r="F24" i="1"/>
  <c r="C23" i="1"/>
  <c r="M17" i="1"/>
  <c r="Q17" i="1"/>
  <c r="M18" i="1"/>
  <c r="Q18" i="1"/>
  <c r="M16" i="1"/>
  <c r="Q16" i="1"/>
  <c r="P17" i="1"/>
  <c r="P18" i="1"/>
  <c r="D16" i="1"/>
  <c r="D17" i="1"/>
  <c r="D18" i="1"/>
  <c r="D19" i="1"/>
  <c r="I19" i="1"/>
  <c r="J19" i="1"/>
  <c r="K19" i="1"/>
  <c r="C19" i="1"/>
  <c r="M19" i="1"/>
</calcChain>
</file>

<file path=xl/sharedStrings.xml><?xml version="1.0" encoding="utf-8"?>
<sst xmlns="http://schemas.openxmlformats.org/spreadsheetml/2006/main" count="30" uniqueCount="28">
  <si>
    <t>Total</t>
  </si>
  <si>
    <t>Territorial Leon - Asturias</t>
  </si>
  <si>
    <t>[Leon]</t>
  </si>
  <si>
    <t>[Ponferrada]</t>
  </si>
  <si>
    <t>[Asturias]</t>
  </si>
  <si>
    <t>Proyección</t>
  </si>
  <si>
    <t>Oficina</t>
  </si>
  <si>
    <t>Enero</t>
  </si>
  <si>
    <t>Febrero</t>
  </si>
  <si>
    <t>Abril</t>
  </si>
  <si>
    <t>Marzo</t>
  </si>
  <si>
    <t>Mayo</t>
  </si>
  <si>
    <t>Junio</t>
  </si>
  <si>
    <t>TOTAL</t>
  </si>
  <si>
    <t>Rescates</t>
  </si>
  <si>
    <t>Beneficio</t>
  </si>
  <si>
    <t>Gastos</t>
  </si>
  <si>
    <t>Ingresos</t>
  </si>
  <si>
    <t>Ponferrada</t>
  </si>
  <si>
    <t>Asturias</t>
  </si>
  <si>
    <t>León</t>
  </si>
  <si>
    <t>Territorial</t>
  </si>
  <si>
    <t xml:space="preserve"> </t>
  </si>
  <si>
    <t xml:space="preserve">Crecimiento de cartera </t>
  </si>
  <si>
    <t>Cartera 2016</t>
  </si>
  <si>
    <t>Proyeccion de crecimiento</t>
  </si>
  <si>
    <t>Trimestre</t>
  </si>
  <si>
    <t>Trimestre2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</si>
</sst>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[$€-C0A]"/>
  </numFmts>
  <fonts count="17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u/>
      <sz val="14"/>
      <color theme="5" tint="0.39994506668294322"/>
      <name val="Calibri"/>
      <family val="2"/>
      <scheme val="minor"/>
    </font>
    <font>
      <sz val="12"/>
      <color theme="5" tint="0.39988402966399123"/>
      <name val="Calibri"/>
      <family val="2"/>
      <scheme val="minor"/>
    </font>
    <font>
      <b/>
      <sz val="9"/>
      <color theme="5"/>
      <name val="Calibri"/>
      <scheme val="major"/>
    </font>
    <font>
      <b/>
      <sz val="10"/>
      <color theme="5"/>
      <name val="Calibri"/>
      <scheme val="minor"/>
    </font>
    <font>
      <sz val="9"/>
      <color theme="5" tint="-0.499984740745262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4"/>
      <color theme="5" tint="-0.499984740745262"/>
      <name val="Calibri"/>
      <scheme val="minor"/>
    </font>
    <font>
      <sz val="9"/>
      <color rgb="FFFF0000"/>
      <name val="Calibri"/>
      <family val="2"/>
      <scheme val="minor"/>
    </font>
    <font>
      <b/>
      <sz val="14"/>
      <color theme="1"/>
      <name val="Calibri"/>
      <scheme val="minor"/>
    </font>
    <font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 style="medium">
        <color theme="2" tint="-9.9978637043366805E-2"/>
      </bottom>
      <diagonal/>
    </border>
    <border>
      <left/>
      <right style="medium">
        <color theme="2" tint="-9.9978637043366805E-2"/>
      </right>
      <top/>
      <bottom style="medium">
        <color theme="2" tint="-9.9978637043366805E-2"/>
      </bottom>
      <diagonal/>
    </border>
    <border>
      <left/>
      <right style="medium">
        <color theme="2" tint="-9.9978637043366805E-2"/>
      </right>
      <top/>
      <bottom/>
      <diagonal/>
    </border>
    <border>
      <left/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theme="2" tint="-9.9978637043366805E-2"/>
      </right>
      <top/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theme="2" tint="-9.9978637043366805E-2"/>
      </right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3" applyFont="1" applyFill="1" applyBorder="1" applyAlignment="1">
      <alignment horizontal="right" wrapText="1"/>
    </xf>
    <xf numFmtId="0" fontId="9" fillId="0" borderId="0" xfId="3" applyFont="1" applyFill="1" applyBorder="1" applyAlignment="1">
      <alignment wrapText="1"/>
    </xf>
    <xf numFmtId="0" fontId="7" fillId="2" borderId="0" xfId="0" applyFont="1" applyFill="1">
      <alignment vertical="center"/>
    </xf>
    <xf numFmtId="0" fontId="1" fillId="2" borderId="0" xfId="1" applyFill="1"/>
    <xf numFmtId="0" fontId="3" fillId="2" borderId="0" xfId="0" applyFont="1" applyFill="1">
      <alignment vertical="center"/>
    </xf>
    <xf numFmtId="0" fontId="11" fillId="0" borderId="0" xfId="0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vertical="center"/>
    </xf>
    <xf numFmtId="44" fontId="11" fillId="0" borderId="0" xfId="6" applyFont="1" applyFill="1" applyBorder="1" applyAlignment="1">
      <alignment vertical="center"/>
    </xf>
    <xf numFmtId="4" fontId="11" fillId="0" borderId="0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3" fillId="0" borderId="0" xfId="0" applyFont="1">
      <alignment vertical="center"/>
    </xf>
    <xf numFmtId="44" fontId="13" fillId="0" borderId="0" xfId="6" applyFont="1" applyAlignment="1">
      <alignment vertical="center"/>
    </xf>
    <xf numFmtId="10" fontId="11" fillId="0" borderId="0" xfId="0" applyNumberFormat="1" applyFont="1" applyAlignment="1">
      <alignment vertical="center"/>
    </xf>
    <xf numFmtId="10" fontId="14" fillId="0" borderId="0" xfId="7" applyNumberFormat="1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3" fillId="0" borderId="1" xfId="0" applyFont="1" applyBorder="1">
      <alignment vertical="center"/>
    </xf>
    <xf numFmtId="10" fontId="11" fillId="0" borderId="1" xfId="7" applyNumberFormat="1" applyFont="1" applyBorder="1" applyAlignment="1">
      <alignment vertical="center"/>
    </xf>
    <xf numFmtId="164" fontId="11" fillId="0" borderId="2" xfId="0" applyNumberFormat="1" applyFont="1" applyFill="1" applyBorder="1" applyAlignment="1">
      <alignment vertical="center"/>
    </xf>
    <xf numFmtId="0" fontId="3" fillId="0" borderId="2" xfId="0" applyFont="1" applyBorder="1">
      <alignment vertical="center"/>
    </xf>
    <xf numFmtId="10" fontId="11" fillId="0" borderId="2" xfId="7" applyNumberFormat="1" applyFont="1" applyBorder="1" applyAlignment="1">
      <alignment vertical="center"/>
    </xf>
    <xf numFmtId="0" fontId="9" fillId="0" borderId="4" xfId="3" applyFont="1" applyFill="1" applyBorder="1" applyAlignment="1">
      <alignment horizontal="right" wrapText="1"/>
    </xf>
    <xf numFmtId="44" fontId="11" fillId="0" borderId="3" xfId="6" applyFont="1" applyBorder="1" applyAlignment="1">
      <alignment vertical="center"/>
    </xf>
    <xf numFmtId="44" fontId="11" fillId="0" borderId="5" xfId="6" applyFont="1" applyBorder="1" applyAlignment="1">
      <alignment vertical="center"/>
    </xf>
    <xf numFmtId="0" fontId="9" fillId="0" borderId="7" xfId="3" applyFont="1" applyFill="1" applyBorder="1" applyAlignment="1">
      <alignment horizontal="right" wrapText="1"/>
    </xf>
    <xf numFmtId="10" fontId="11" fillId="0" borderId="6" xfId="7" applyNumberFormat="1" applyFont="1" applyBorder="1" applyAlignment="1">
      <alignment vertical="center"/>
    </xf>
    <xf numFmtId="10" fontId="11" fillId="0" borderId="8" xfId="7" applyNumberFormat="1" applyFont="1" applyBorder="1" applyAlignment="1">
      <alignment vertical="center"/>
    </xf>
    <xf numFmtId="10" fontId="15" fillId="0" borderId="0" xfId="7" applyNumberFormat="1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4" fontId="11" fillId="0" borderId="8" xfId="0" applyNumberFormat="1" applyFont="1" applyBorder="1" applyAlignment="1">
      <alignment horizontal="center" vertical="center"/>
    </xf>
    <xf numFmtId="44" fontId="12" fillId="0" borderId="8" xfId="6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44" fontId="16" fillId="0" borderId="8" xfId="6" applyFont="1" applyBorder="1" applyAlignment="1">
      <alignment horizontal="center" vertical="center"/>
    </xf>
  </cellXfs>
  <cellStyles count="8">
    <cellStyle name="Encabezado 4" xfId="5" builtinId="19" customBuiltin="1"/>
    <cellStyle name="Moneda" xfId="6" builtinId="4"/>
    <cellStyle name="Normal" xfId="0" builtinId="0" customBuiltin="1"/>
    <cellStyle name="Porcentaje" xfId="7" builtinId="5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5"/>
        <name val="Calibri"/>
        <scheme val="major"/>
      </font>
      <numFmt numFmtId="164" formatCode="#,##0.00\ [$€-C0A]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34" formatCode="_-* #,##0.00\ &quot;€&quot;_-;\-* #,##0.00\ &quot;€&quot;_-;_-* &quot;-&quot;??\ &quot;€&quot;_-;_-@_-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5" tint="-0.49998474074526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Calibri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9"/>
      <tableStyleElement type="headerRow" dxfId="28"/>
      <tableStyleElement type="total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Oficinas</a:t>
            </a:r>
          </a:p>
          <a:p>
            <a:pPr>
              <a:defRPr/>
            </a:pPr>
            <a:r>
              <a:rPr lang="en-US"/>
              <a:t>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3"/>
          <c:y val="0.219748662189043"/>
          <c:w val="0.384164717274418"/>
          <c:h val="0.599968417218729"/>
        </c:manualLayout>
      </c:layout>
      <c:pieChart>
        <c:varyColors val="1"/>
        <c:ser>
          <c:idx val="1"/>
          <c:order val="0"/>
          <c:tx>
            <c:strRef>
              <c:f>VENTAS!$M$15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VENTAS!$B$16:$B$18</c:f>
              <c:strCache>
                <c:ptCount val="3"/>
                <c:pt idx="0">
                  <c:v>[Leon]</c:v>
                </c:pt>
                <c:pt idx="1">
                  <c:v>[Ponferrada]</c:v>
                </c:pt>
                <c:pt idx="2">
                  <c:v>[Asturias]</c:v>
                </c:pt>
              </c:strCache>
            </c:strRef>
          </c:cat>
          <c:val>
            <c:numRef>
              <c:f>VENTAS!$M$16:$M$18</c:f>
              <c:numCache>
                <c:formatCode>#,##0.00\ [$€-C0A]</c:formatCode>
                <c:ptCount val="3"/>
                <c:pt idx="0">
                  <c:v>251394.0781271111</c:v>
                </c:pt>
                <c:pt idx="1">
                  <c:v>204858.3599482222</c:v>
                </c:pt>
                <c:pt idx="2">
                  <c:v>346156.9559758889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VENTAS!$M$15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VENTAS!$B$16:$B$18</c:f>
              <c:strCache>
                <c:ptCount val="3"/>
                <c:pt idx="0">
                  <c:v>[Leon]</c:v>
                </c:pt>
                <c:pt idx="1">
                  <c:v>[Ponferrada]</c:v>
                </c:pt>
                <c:pt idx="2">
                  <c:v>[Asturias]</c:v>
                </c:pt>
              </c:strCache>
            </c:strRef>
          </c:cat>
          <c:val>
            <c:numRef>
              <c:f>VENTAS!$M$16:$M$18</c:f>
              <c:numCache>
                <c:formatCode>#,##0.00\ [$€-C0A]</c:formatCode>
                <c:ptCount val="3"/>
                <c:pt idx="0">
                  <c:v>251394.0781271111</c:v>
                </c:pt>
                <c:pt idx="1">
                  <c:v>204858.3599482222</c:v>
                </c:pt>
                <c:pt idx="2">
                  <c:v>346156.9559758889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Oficinas</a:t>
            </a:r>
          </a:p>
        </c:rich>
      </c:tx>
      <c:layout>
        <c:manualLayout>
          <c:xMode val="edge"/>
          <c:yMode val="edge"/>
          <c:x val="0.00433273538476673"/>
          <c:y val="0.024356954038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888801304995273"/>
          <c:y val="0.200112515063274"/>
          <c:w val="0.896214722039272"/>
          <c:h val="0.690632801337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VENTAS!$J$15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VENTAS!$B$16:$B$18</c:f>
              <c:strCache>
                <c:ptCount val="3"/>
                <c:pt idx="0">
                  <c:v>[Leon]</c:v>
                </c:pt>
                <c:pt idx="1">
                  <c:v>[Ponferrada]</c:v>
                </c:pt>
                <c:pt idx="2">
                  <c:v>[Asturias]</c:v>
                </c:pt>
              </c:strCache>
            </c:strRef>
          </c:cat>
          <c:val>
            <c:numRef>
              <c:f>VENTAS!$J$16:$J$18</c:f>
              <c:numCache>
                <c:formatCode>#,##0.00</c:formatCode>
                <c:ptCount val="3"/>
                <c:pt idx="0">
                  <c:v>85869.6</c:v>
                </c:pt>
                <c:pt idx="1">
                  <c:v>23365.42</c:v>
                </c:pt>
                <c:pt idx="2">
                  <c:v>71316.11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-2124691616"/>
        <c:axId val="-2090596144"/>
      </c:barChart>
      <c:catAx>
        <c:axId val="-21246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0596144"/>
        <c:crosses val="autoZero"/>
        <c:auto val="1"/>
        <c:lblAlgn val="ctr"/>
        <c:lblOffset val="100"/>
        <c:noMultiLvlLbl val="0"/>
      </c:catAx>
      <c:valAx>
        <c:axId val="-20905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C0A]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46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13</xdr:col>
      <xdr:colOff>0</xdr:colOff>
      <xdr:row>14</xdr:row>
      <xdr:rowOff>0</xdr:rowOff>
    </xdr:to>
    <xdr:graphicFrame macro="">
      <xdr:nvGraphicFramePr>
        <xdr:cNvPr id="2" name="ProductIncomePctChart" descr="Representar gráficamente cada producto en un gráfico circular que muestre el porcentaje de un conjunto por ingresos." title="Porcentaje de ingresos por gráfico de product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Representar gráficamente cada artículo en un gráfico de columnas agrupado." title="Ingresos de productos por gráfico de artículo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340360</xdr:colOff>
      <xdr:row>19</xdr:row>
      <xdr:rowOff>76200</xdr:rowOff>
    </xdr:from>
    <xdr:to>
      <xdr:col>10</xdr:col>
      <xdr:colOff>609600</xdr:colOff>
      <xdr:row>19</xdr:row>
      <xdr:rowOff>304800</xdr:rowOff>
    </xdr:to>
    <xdr:sp macro="" textlink="">
      <xdr:nvSpPr>
        <xdr:cNvPr id="4" name="Abrir llave 3"/>
        <xdr:cNvSpPr/>
      </xdr:nvSpPr>
      <xdr:spPr>
        <a:xfrm rot="16200000" flipV="1">
          <a:off x="7889240" y="5085080"/>
          <a:ext cx="228600" cy="209804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 b="1"/>
        </a:p>
      </xdr:txBody>
    </xdr:sp>
    <xdr:clientData/>
  </xdr:twoCellAnchor>
  <xdr:twoCellAnchor>
    <xdr:from>
      <xdr:col>4</xdr:col>
      <xdr:colOff>401320</xdr:colOff>
      <xdr:row>19</xdr:row>
      <xdr:rowOff>116840</xdr:rowOff>
    </xdr:from>
    <xdr:to>
      <xdr:col>6</xdr:col>
      <xdr:colOff>670560</xdr:colOff>
      <xdr:row>20</xdr:row>
      <xdr:rowOff>0</xdr:rowOff>
    </xdr:to>
    <xdr:sp macro="" textlink="">
      <xdr:nvSpPr>
        <xdr:cNvPr id="5" name="Abrir llave 4"/>
        <xdr:cNvSpPr/>
      </xdr:nvSpPr>
      <xdr:spPr>
        <a:xfrm rot="16200000" flipV="1">
          <a:off x="4292600" y="5125720"/>
          <a:ext cx="228600" cy="209804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5:M18" totalsRowShown="0" headerRowDxfId="26" dataDxfId="25" totalsRowDxfId="24">
  <tableColumns count="12">
    <tableColumn id="1" name="Oficina" dataDxfId="23" totalsRowDxfId="22"/>
    <tableColumn id="2" name="Rescates" dataDxfId="21" totalsRowDxfId="20"/>
    <tableColumn id="3" name="Proyección" dataDxfId="19" totalsRowDxfId="18" dataCellStyle="Moneda">
      <calculatedColumnFormula>Table1[[#This Row],[Total]]/(24/50)</calculatedColumnFormula>
    </tableColumn>
    <tableColumn id="4" name="Enero" dataDxfId="17" totalsRowDxfId="16"/>
    <tableColumn id="5" name="Febrero" dataDxfId="15" totalsRowDxfId="14">
      <calculatedColumnFormula>IFERROR(Table1[[#This Row],[Enero]]*Table1[[#This Row],[Rescates]]*(1+Table1[[#This Row],[Proyección]]),0)</calculatedColumnFormula>
    </tableColumn>
    <tableColumn id="7" name="Marzo" dataDxfId="13" totalsRowDxfId="12"/>
    <tableColumn id="6" name="Trimestre" dataDxfId="11" totalsRowDxfId="10" dataCellStyle="Porcentaje">
      <calculatedColumnFormula>(Table1[[#This Row],[Marzo]]+Table1[[#This Row],[Febrero]]+Table1[[#This Row],[Enero]])/180000</calculatedColumnFormula>
    </tableColumn>
    <tableColumn id="8" name="Abril" dataDxfId="9" totalsRowDxfId="8"/>
    <tableColumn id="9" name="Mayo" dataDxfId="7" totalsRowDxfId="6">
      <calculatedColumnFormula>IFERROR(Table1[[#This Row],[Rescates]]*Table1[[#This Row],[Proyección]]+Table1[[#This Row],[Marzo]]-Table1[[#This Row],[Abril]],0)</calculatedColumnFormula>
    </tableColumn>
    <tableColumn id="10" name="Junio" dataDxfId="5" totalsRowDxfId="4"/>
    <tableColumn id="12" name="Trimestre2" dataDxfId="3" totalsRowDxfId="2" dataCellStyle="Porcentaje">
      <calculatedColumnFormula>(Table1[[#This Row],[Junio]]+Table1[[#This Row],[Mayo]]+Table1[[#This Row],[Abril]])/180000</calculatedColumnFormula>
    </tableColumn>
    <tableColumn id="11" name="Total" dataDxfId="1" totalsRowDxfId="0">
      <calculatedColumnFormula>SUM(M13:M15)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Tabla de ventas en línea" altTextSummary="Indicar información de las ventas en línea (artículos, coste, porcentaje de aumento de precio, total vendido, cargos y costes de envío y cualquier devolución)."/>
    </ext>
  </extLst>
</table>
</file>

<file path=xl/theme/theme1.xml><?xml version="1.0" encoding="utf-8"?>
<a:theme xmlns:a="http://schemas.openxmlformats.org/drawingml/2006/main" name="Office Theme">
  <a:themeElements>
    <a:clrScheme name="Instalación integrada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  <pageSetUpPr autoPageBreaks="0" fitToPage="1"/>
  </sheetPr>
  <dimension ref="A1:Q26"/>
  <sheetViews>
    <sheetView showGridLines="0" tabSelected="1" zoomScale="110" zoomScaleNormal="110" zoomScalePageLayoutView="110" workbookViewId="0">
      <selection activeCell="H24" sqref="H24"/>
    </sheetView>
  </sheetViews>
  <sheetFormatPr baseColWidth="10" defaultColWidth="9" defaultRowHeight="27" customHeight="1" x14ac:dyDescent="0.2"/>
  <cols>
    <col min="1" max="1" width="2.83203125" style="1" customWidth="1"/>
    <col min="2" max="13" width="12" style="2" customWidth="1"/>
    <col min="14" max="14" width="2.83203125" style="1" customWidth="1"/>
    <col min="15" max="15" width="15.33203125" style="1" bestFit="1" customWidth="1"/>
    <col min="16" max="16" width="9.83203125" style="1" bestFit="1" customWidth="1"/>
    <col min="17" max="16384" width="9" style="1"/>
  </cols>
  <sheetData>
    <row r="1" spans="1:17" ht="45.75" customHeight="1" x14ac:dyDescent="0.45">
      <c r="A1" s="5"/>
      <c r="B1" s="6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7" ht="24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7" ht="19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7" ht="19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7" ht="19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7" ht="19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7" ht="19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7" ht="19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7" ht="19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7" ht="19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7" ht="19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7" ht="19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7" ht="19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7" ht="19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7" ht="60" customHeight="1" x14ac:dyDescent="0.15">
      <c r="B15" s="4" t="s">
        <v>6</v>
      </c>
      <c r="C15" s="3" t="s">
        <v>14</v>
      </c>
      <c r="D15" s="3" t="s">
        <v>5</v>
      </c>
      <c r="E15" s="3" t="s">
        <v>7</v>
      </c>
      <c r="F15" s="3" t="s">
        <v>8</v>
      </c>
      <c r="G15" s="3" t="s">
        <v>10</v>
      </c>
      <c r="H15" s="3" t="s">
        <v>26</v>
      </c>
      <c r="I15" s="3" t="s">
        <v>9</v>
      </c>
      <c r="J15" s="3" t="s">
        <v>11</v>
      </c>
      <c r="K15" s="3" t="s">
        <v>12</v>
      </c>
      <c r="L15" s="3" t="s">
        <v>27</v>
      </c>
      <c r="M15" s="3" t="s">
        <v>0</v>
      </c>
      <c r="O15" s="24" t="s">
        <v>24</v>
      </c>
      <c r="P15" s="27" t="s">
        <v>23</v>
      </c>
      <c r="Q15" s="3" t="s">
        <v>25</v>
      </c>
    </row>
    <row r="16" spans="1:17" ht="27" customHeight="1" thickBot="1" x14ac:dyDescent="0.25">
      <c r="B16" s="8" t="s">
        <v>2</v>
      </c>
      <c r="C16" s="9">
        <v>30000</v>
      </c>
      <c r="D16" s="10">
        <f>Table1[[#This Row],[Total]]/(24/50)</f>
        <v>523737.66276481486</v>
      </c>
      <c r="E16" s="11">
        <v>61112.39</v>
      </c>
      <c r="F16" s="11">
        <v>12951.85</v>
      </c>
      <c r="G16" s="11">
        <v>26398.639999999999</v>
      </c>
      <c r="H16" s="17">
        <f>(Table1[[#This Row],[Marzo]]+Table1[[#This Row],[Febrero]]+Table1[[#This Row],[Enero]])/180000</f>
        <v>0.55812711111111113</v>
      </c>
      <c r="I16" s="11">
        <v>65061.04</v>
      </c>
      <c r="J16" s="11">
        <v>85869.6</v>
      </c>
      <c r="K16" s="11">
        <v>0</v>
      </c>
      <c r="L16" s="17">
        <f>(Table1[[#This Row],[Junio]]+Table1[[#This Row],[Mayo]]+Table1[[#This Row],[Abril]])/180000</f>
        <v>0.83850355555555567</v>
      </c>
      <c r="M16" s="18">
        <f>SUM(Table1[[#This Row],[Enero]:[Junio]])</f>
        <v>251394.07812711113</v>
      </c>
      <c r="N16" s="19"/>
      <c r="O16" s="25">
        <v>201886.92</v>
      </c>
      <c r="P16" s="28">
        <f>Table1[[#This Row],[Total]]/O16</f>
        <v>1.245222217106047</v>
      </c>
      <c r="Q16" s="20">
        <f>((Table1[[#This Row],[Total]]-Table1[[#This Row],[Rescates]])/(24/52)/O16)</f>
        <v>2.3760190569820345</v>
      </c>
    </row>
    <row r="17" spans="2:17" ht="27" customHeight="1" thickBot="1" x14ac:dyDescent="0.25">
      <c r="B17" s="8" t="s">
        <v>3</v>
      </c>
      <c r="C17" s="9">
        <v>33917.730000000003</v>
      </c>
      <c r="D17" s="10">
        <f>Table1[[#This Row],[Total]]/(24/50)</f>
        <v>426788.24989212968</v>
      </c>
      <c r="E17" s="11">
        <v>46353</v>
      </c>
      <c r="F17" s="11">
        <v>106387.99</v>
      </c>
      <c r="G17" s="11">
        <v>18249.689999999999</v>
      </c>
      <c r="H17" s="17">
        <f>(Table1[[#This Row],[Marzo]]+Table1[[#This Row],[Febrero]]+Table1[[#This Row],[Enero]])/180000</f>
        <v>0.94994822222222219</v>
      </c>
      <c r="I17" s="11">
        <v>10501.31</v>
      </c>
      <c r="J17" s="11">
        <v>23365.42</v>
      </c>
      <c r="K17" s="11">
        <v>0</v>
      </c>
      <c r="L17" s="17">
        <f>(Table1[[#This Row],[Junio]]+Table1[[#This Row],[Mayo]]+Table1[[#This Row],[Abril]])/180000</f>
        <v>0.18814849999999997</v>
      </c>
      <c r="M17" s="21">
        <f>SUM(Table1[[#This Row],[Enero]:[Junio]])</f>
        <v>204858.35994822223</v>
      </c>
      <c r="N17" s="22"/>
      <c r="O17" s="26">
        <v>134972.29999999999</v>
      </c>
      <c r="P17" s="29">
        <f>Table1[[#This Row],[Total]]/O17</f>
        <v>1.517780759075916</v>
      </c>
      <c r="Q17" s="23">
        <f>((Table1[[#This Row],[Total]]-Table1[[#This Row],[Rescates]])/(24/52)/O17)</f>
        <v>2.7440546311192358</v>
      </c>
    </row>
    <row r="18" spans="2:17" ht="27" customHeight="1" thickBot="1" x14ac:dyDescent="0.25">
      <c r="B18" s="8" t="s">
        <v>4</v>
      </c>
      <c r="C18" s="9">
        <v>1684.4</v>
      </c>
      <c r="D18" s="10">
        <f>Table1[[#This Row],[Total]]/(24/50)</f>
        <v>721160.32494976849</v>
      </c>
      <c r="E18" s="11">
        <v>30963.88</v>
      </c>
      <c r="F18" s="11">
        <v>14563.62</v>
      </c>
      <c r="G18" s="11">
        <v>200348.16</v>
      </c>
      <c r="H18" s="17">
        <f>(Table1[[#This Row],[Marzo]]+Table1[[#This Row],[Febrero]]+Table1[[#This Row],[Enero]])/180000</f>
        <v>1.3659758888888889</v>
      </c>
      <c r="I18" s="11">
        <v>28963.82</v>
      </c>
      <c r="J18" s="11">
        <v>71316.11</v>
      </c>
      <c r="K18" s="11">
        <v>0</v>
      </c>
      <c r="L18" s="17">
        <f>(Table1[[#This Row],[Junio]]+Table1[[#This Row],[Mayo]]+Table1[[#This Row],[Abril]])/180000</f>
        <v>0.55711072222222213</v>
      </c>
      <c r="M18" s="21">
        <f>SUM(Table1[[#This Row],[Enero]:[Junio]])</f>
        <v>346156.95597588888</v>
      </c>
      <c r="N18" s="22"/>
      <c r="O18" s="26">
        <v>77801.61</v>
      </c>
      <c r="P18" s="29">
        <f>Table1[[#This Row],[Total]]/O18</f>
        <v>4.4492261275298661</v>
      </c>
      <c r="Q18" s="23">
        <f>((Table1[[#This Row],[Total]]-Table1[[#This Row],[Rescates]])/(24/52)/O18)</f>
        <v>9.593081744894814</v>
      </c>
    </row>
    <row r="19" spans="2:17" ht="27" customHeight="1" x14ac:dyDescent="0.2">
      <c r="B19" s="12" t="s">
        <v>13</v>
      </c>
      <c r="C19" s="13">
        <f>SUM(Table1[Rescates])</f>
        <v>65602.13</v>
      </c>
      <c r="D19" s="13">
        <f>SUM(Table1[Proyección])</f>
        <v>1671686.2376067131</v>
      </c>
      <c r="E19" s="13">
        <f>SUM(Table1[Enero])</f>
        <v>138429.26999999999</v>
      </c>
      <c r="F19" s="13">
        <f>SUM(Table1[Febrero])</f>
        <v>133903.46000000002</v>
      </c>
      <c r="G19" s="13">
        <f>SUM(Table1[Marzo])</f>
        <v>244996.49</v>
      </c>
      <c r="H19" s="16"/>
      <c r="I19" s="13">
        <f>SUM(Table1[Abril])</f>
        <v>104526.17000000001</v>
      </c>
      <c r="J19" s="13">
        <f>SUM(Table1[Mayo])</f>
        <v>180551.13</v>
      </c>
      <c r="K19" s="13">
        <f>SUM(Table1[Junio])</f>
        <v>0</v>
      </c>
      <c r="L19" s="16"/>
      <c r="M19" s="13">
        <f>SUM(Table1[Total])</f>
        <v>802409.39405122225</v>
      </c>
      <c r="O19" s="15"/>
      <c r="P19" s="14"/>
    </row>
    <row r="20" spans="2:17" ht="27" customHeight="1" x14ac:dyDescent="0.2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O20" s="15"/>
      <c r="P20" s="14"/>
    </row>
    <row r="21" spans="2:17" ht="27" customHeight="1" thickBot="1" x14ac:dyDescent="0.25">
      <c r="F21" s="30">
        <f>(E19+F19+G19)/540000</f>
        <v>0.95801707407407399</v>
      </c>
      <c r="J21" s="30">
        <f>(I19+J19+K19)/540000</f>
        <v>0.52792092592592599</v>
      </c>
    </row>
    <row r="22" spans="2:17" ht="27" customHeight="1" thickBot="1" x14ac:dyDescent="0.25">
      <c r="B22" s="31" t="s">
        <v>6</v>
      </c>
      <c r="C22" s="31" t="s">
        <v>15</v>
      </c>
      <c r="D22" s="31" t="s">
        <v>16</v>
      </c>
      <c r="E22" s="31" t="s">
        <v>17</v>
      </c>
      <c r="F22" s="31" t="s">
        <v>5</v>
      </c>
    </row>
    <row r="23" spans="2:17" ht="27" customHeight="1" thickBot="1" x14ac:dyDescent="0.25">
      <c r="B23" s="32" t="s">
        <v>18</v>
      </c>
      <c r="C23" s="35">
        <f>E23-D23</f>
        <v>19763.800000000003</v>
      </c>
      <c r="D23" s="33">
        <v>105207.73</v>
      </c>
      <c r="E23" s="33">
        <v>124971.53</v>
      </c>
      <c r="F23" s="35">
        <f>C23/(24/52)</f>
        <v>42821.566666666673</v>
      </c>
    </row>
    <row r="24" spans="2:17" ht="27" customHeight="1" thickBot="1" x14ac:dyDescent="0.25">
      <c r="B24" s="34" t="s">
        <v>20</v>
      </c>
      <c r="C24" s="35">
        <f t="shared" ref="C24:C26" si="0">E24-D24</f>
        <v>93510.749999999985</v>
      </c>
      <c r="D24" s="33">
        <v>98037.3</v>
      </c>
      <c r="E24" s="33">
        <v>191548.05</v>
      </c>
      <c r="F24" s="35">
        <f>C24/(24/52)</f>
        <v>202606.62499999997</v>
      </c>
    </row>
    <row r="25" spans="2:17" ht="27" customHeight="1" thickBot="1" x14ac:dyDescent="0.25">
      <c r="B25" s="34" t="s">
        <v>19</v>
      </c>
      <c r="C25" s="35">
        <f t="shared" si="0"/>
        <v>7209.6000000000058</v>
      </c>
      <c r="D25" s="33">
        <v>111554.53</v>
      </c>
      <c r="E25" s="33">
        <v>118764.13</v>
      </c>
      <c r="F25" s="35">
        <f>C25/(24/52)</f>
        <v>15620.800000000012</v>
      </c>
      <c r="G25" s="2" t="s">
        <v>22</v>
      </c>
    </row>
    <row r="26" spans="2:17" ht="27" customHeight="1" thickBot="1" x14ac:dyDescent="0.25">
      <c r="B26" s="34" t="s">
        <v>21</v>
      </c>
      <c r="C26" s="35">
        <f t="shared" si="0"/>
        <v>120484.14999999997</v>
      </c>
      <c r="D26" s="33">
        <f>SUM(D23:D25)</f>
        <v>314799.56</v>
      </c>
      <c r="E26" s="33">
        <f>SUM(E23:E25)</f>
        <v>435283.70999999996</v>
      </c>
      <c r="F26" s="35">
        <f>C26/(24/52)</f>
        <v>261048.99166666658</v>
      </c>
    </row>
  </sheetData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Microsoft Office</cp:lastModifiedBy>
  <dcterms:created xsi:type="dcterms:W3CDTF">2014-12-15T22:31:29Z</dcterms:created>
  <dcterms:modified xsi:type="dcterms:W3CDTF">2017-06-06T14:34:49Z</dcterms:modified>
</cp:coreProperties>
</file>