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rmend\Downloads\"/>
    </mc:Choice>
  </mc:AlternateContent>
  <xr:revisionPtr revIDLastSave="0" documentId="13_ncr:1_{05AF3C0A-0C9D-4EA8-9BA3-3B453F91A8F8}" xr6:coauthVersionLast="47" xr6:coauthVersionMax="47" xr10:uidLastSave="{00000000-0000-0000-0000-000000000000}"/>
  <bookViews>
    <workbookView xWindow="-108" yWindow="-108" windowWidth="23256" windowHeight="12456" firstSheet="7" activeTab="7" xr2:uid="{00000000-000D-0000-FFFF-FFFF00000000}"/>
  </bookViews>
  <sheets>
    <sheet name="Entry Data" sheetId="1" r:id="rId1"/>
    <sheet name="BS" sheetId="2" r:id="rId2"/>
    <sheet name="P&amp;L" sheetId="3" r:id="rId3"/>
    <sheet name="Stocks" sheetId="4" r:id="rId4"/>
    <sheet name="Cash Flows" sheetId="5" r:id="rId5"/>
    <sheet name="Analisis financiero" sheetId="6" r:id="rId6"/>
    <sheet name="Múltiplos" sheetId="7" r:id="rId7"/>
    <sheet name="WACC" sheetId="8" r:id="rId8"/>
    <sheet name="Rating Sintetico" sheetId="9" r:id="rId9"/>
    <sheet name="P&amp;L pronostico yDCF" sheetId="10" r:id="rId10"/>
    <sheet name="BS pronostico" sheetId="11" r:id="rId11"/>
    <sheet name="Sensibilidad" sheetId="12" r:id="rId12"/>
    <sheet name="Estimación de la IPO" sheetId="13" r:id="rId13"/>
    <sheet name="Visualidad" sheetId="14" r:id="rId14"/>
    <sheet name="Growth Projections" sheetId="15" r:id="rId15"/>
  </sheets>
  <externalReferences>
    <externalReference r:id="rId1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7wk49vs5uQrlo4jESRPyhPiDMB5b8xBg4iyzAG+WsWE="/>
    </ext>
  </extLst>
</workbook>
</file>

<file path=xl/calcChain.xml><?xml version="1.0" encoding="utf-8"?>
<calcChain xmlns="http://schemas.openxmlformats.org/spreadsheetml/2006/main">
  <c r="M5" i="8" l="1"/>
  <c r="J5" i="8"/>
  <c r="E16" i="8"/>
  <c r="Y28" i="12"/>
  <c r="L28" i="12"/>
  <c r="L29" i="10"/>
  <c r="E14" i="8"/>
  <c r="K5" i="8"/>
  <c r="P5" i="8"/>
  <c r="I5" i="8"/>
  <c r="E5" i="8"/>
  <c r="D5" i="8"/>
  <c r="G5" i="8" s="1"/>
  <c r="Q5" i="8" l="1"/>
  <c r="S3" i="8" s="1"/>
  <c r="F5" i="8"/>
  <c r="D34" i="7" l="1"/>
  <c r="E22" i="3"/>
  <c r="E21" i="3"/>
  <c r="M53" i="12"/>
  <c r="M52" i="12"/>
  <c r="Q29" i="12"/>
  <c r="D29" i="12"/>
  <c r="Y25" i="12"/>
  <c r="L25" i="12"/>
  <c r="M51" i="12" s="1"/>
  <c r="P23" i="12"/>
  <c r="Q17" i="12"/>
  <c r="Q19" i="12" s="1"/>
  <c r="Q23" i="12" s="1"/>
  <c r="P17" i="12"/>
  <c r="P19" i="12" s="1"/>
  <c r="V16" i="12"/>
  <c r="U16" i="12"/>
  <c r="T16" i="12"/>
  <c r="S16" i="12"/>
  <c r="R16" i="12"/>
  <c r="I16" i="12"/>
  <c r="H16" i="12"/>
  <c r="G16" i="12"/>
  <c r="F16" i="12"/>
  <c r="E16" i="12"/>
  <c r="Q15" i="12"/>
  <c r="P15" i="12"/>
  <c r="D15" i="12"/>
  <c r="C15" i="12"/>
  <c r="R14" i="12"/>
  <c r="S14" i="12" s="1"/>
  <c r="E14" i="12"/>
  <c r="F14" i="12" s="1"/>
  <c r="G14" i="12" s="1"/>
  <c r="H14" i="12" s="1"/>
  <c r="I14" i="12" s="1"/>
  <c r="Y13" i="12"/>
  <c r="Z13" i="12" s="1"/>
  <c r="X13" i="12"/>
  <c r="L13" i="12"/>
  <c r="M13" i="12" s="1"/>
  <c r="K13" i="12"/>
  <c r="Y12" i="12"/>
  <c r="Z12" i="12" s="1"/>
  <c r="X12" i="12"/>
  <c r="L12" i="12"/>
  <c r="M12" i="12" s="1"/>
  <c r="K12" i="12"/>
  <c r="Z11" i="12"/>
  <c r="Y11" i="12"/>
  <c r="X11" i="12"/>
  <c r="L11" i="12"/>
  <c r="M11" i="12" s="1"/>
  <c r="K11" i="12"/>
  <c r="Y10" i="12"/>
  <c r="Z10" i="12" s="1"/>
  <c r="X10" i="12"/>
  <c r="L10" i="12"/>
  <c r="K10" i="12"/>
  <c r="M10" i="12" s="1"/>
  <c r="Q8" i="12"/>
  <c r="P8" i="12"/>
  <c r="D8" i="12"/>
  <c r="D17" i="12" s="1"/>
  <c r="D19" i="12" s="1"/>
  <c r="D23" i="12" s="1"/>
  <c r="C8" i="12"/>
  <c r="C17" i="12" s="1"/>
  <c r="C19" i="12" s="1"/>
  <c r="C23" i="12" s="1"/>
  <c r="X7" i="12"/>
  <c r="Z7" i="12" s="1"/>
  <c r="R7" i="12" s="1"/>
  <c r="S7" i="12" s="1"/>
  <c r="T7" i="12" s="1"/>
  <c r="U7" i="12" s="1"/>
  <c r="V7" i="12" s="1"/>
  <c r="M7" i="12"/>
  <c r="K7" i="12"/>
  <c r="E7" i="12" s="1"/>
  <c r="F7" i="12" s="1"/>
  <c r="G7" i="12"/>
  <c r="H7" i="12" s="1"/>
  <c r="I7" i="12" s="1"/>
  <c r="Z6" i="12"/>
  <c r="X6" i="12"/>
  <c r="R6" i="12"/>
  <c r="S6" i="12" s="1"/>
  <c r="T6" i="12" s="1"/>
  <c r="U6" i="12" s="1"/>
  <c r="V6" i="12" s="1"/>
  <c r="M6" i="12"/>
  <c r="K6" i="12"/>
  <c r="E6" i="12"/>
  <c r="F6" i="12" s="1"/>
  <c r="G6" i="12" s="1"/>
  <c r="H6" i="12" s="1"/>
  <c r="I6" i="12" s="1"/>
  <c r="X5" i="12"/>
  <c r="K5" i="12"/>
  <c r="M5" i="12" s="1"/>
  <c r="E5" i="12"/>
  <c r="D56" i="11"/>
  <c r="C56" i="11"/>
  <c r="E56" i="11" s="1"/>
  <c r="F56" i="11" s="1"/>
  <c r="D51" i="11"/>
  <c r="D52" i="11" s="1"/>
  <c r="C51" i="11"/>
  <c r="O20" i="6" s="1"/>
  <c r="D47" i="11"/>
  <c r="C47" i="11"/>
  <c r="D35" i="11"/>
  <c r="D34" i="11"/>
  <c r="C34" i="11"/>
  <c r="M33" i="11"/>
  <c r="K33" i="11"/>
  <c r="E33" i="11" s="1"/>
  <c r="F33" i="11" s="1"/>
  <c r="G33" i="11"/>
  <c r="H33" i="11" s="1"/>
  <c r="I33" i="11" s="1"/>
  <c r="M31" i="11"/>
  <c r="L31" i="11"/>
  <c r="K31" i="11"/>
  <c r="K30" i="11"/>
  <c r="E30" i="11" s="1"/>
  <c r="D30" i="11"/>
  <c r="C30" i="11"/>
  <c r="C35" i="11" s="1"/>
  <c r="C48" i="11" s="1"/>
  <c r="D19" i="11"/>
  <c r="C19" i="11"/>
  <c r="H18" i="11"/>
  <c r="I18" i="11" s="1"/>
  <c r="G18" i="11"/>
  <c r="F18" i="11"/>
  <c r="E18" i="11"/>
  <c r="K17" i="11"/>
  <c r="E17" i="11" s="1"/>
  <c r="E16" i="11"/>
  <c r="F16" i="11" s="1"/>
  <c r="D14" i="11"/>
  <c r="C14" i="11"/>
  <c r="E13" i="11"/>
  <c r="F13" i="11" s="1"/>
  <c r="G13" i="11" s="1"/>
  <c r="H13" i="11" s="1"/>
  <c r="I13" i="11" s="1"/>
  <c r="L12" i="11"/>
  <c r="K12" i="11"/>
  <c r="M12" i="11" s="1"/>
  <c r="M11" i="11"/>
  <c r="L11" i="11"/>
  <c r="K11" i="11"/>
  <c r="L10" i="11"/>
  <c r="M10" i="11" s="1"/>
  <c r="K10" i="11"/>
  <c r="L9" i="11"/>
  <c r="K9" i="11"/>
  <c r="M9" i="11" s="1"/>
  <c r="L8" i="11"/>
  <c r="K8" i="11"/>
  <c r="D30" i="10"/>
  <c r="L26" i="10"/>
  <c r="E26" i="10"/>
  <c r="I15" i="10"/>
  <c r="H15" i="10"/>
  <c r="G15" i="10"/>
  <c r="F15" i="10"/>
  <c r="E15" i="10"/>
  <c r="D14" i="10"/>
  <c r="D16" i="10" s="1"/>
  <c r="D18" i="10" s="1"/>
  <c r="D24" i="10" s="1"/>
  <c r="C14" i="10"/>
  <c r="C16" i="10" s="1"/>
  <c r="C18" i="10" s="1"/>
  <c r="C24" i="10" s="1"/>
  <c r="E13" i="10"/>
  <c r="F13" i="10" s="1"/>
  <c r="G13" i="10" s="1"/>
  <c r="H13" i="10" s="1"/>
  <c r="I13" i="10" s="1"/>
  <c r="L12" i="10"/>
  <c r="K12" i="10"/>
  <c r="M12" i="10" s="1"/>
  <c r="L11" i="10"/>
  <c r="K11" i="10"/>
  <c r="M11" i="10" s="1"/>
  <c r="L10" i="10"/>
  <c r="K10" i="10"/>
  <c r="M10" i="10" s="1"/>
  <c r="M9" i="10"/>
  <c r="L9" i="10"/>
  <c r="K9" i="10"/>
  <c r="D7" i="10"/>
  <c r="C7" i="10"/>
  <c r="K6" i="10"/>
  <c r="M6" i="10" s="1"/>
  <c r="K5" i="10"/>
  <c r="M5" i="10" s="1"/>
  <c r="G5" i="10"/>
  <c r="H5" i="10" s="1"/>
  <c r="I5" i="10" s="1"/>
  <c r="F5" i="10"/>
  <c r="E5" i="10"/>
  <c r="M4" i="10"/>
  <c r="K4" i="10"/>
  <c r="E4" i="10" s="1"/>
  <c r="D6" i="9"/>
  <c r="D5" i="9"/>
  <c r="D4" i="9"/>
  <c r="B4" i="9"/>
  <c r="D3" i="9"/>
  <c r="B3" i="9"/>
  <c r="D2" i="9"/>
  <c r="G22" i="8"/>
  <c r="G23" i="8" s="1"/>
  <c r="G10" i="8"/>
  <c r="F10" i="8"/>
  <c r="E10" i="8"/>
  <c r="E19" i="8" s="1"/>
  <c r="D10" i="8"/>
  <c r="M6" i="8"/>
  <c r="E17" i="8" s="1"/>
  <c r="J6" i="8"/>
  <c r="P6" i="8" s="1"/>
  <c r="I6" i="8"/>
  <c r="E6" i="8"/>
  <c r="G6" i="8" s="1"/>
  <c r="M4" i="8"/>
  <c r="J4" i="8"/>
  <c r="P4" i="8" s="1"/>
  <c r="I4" i="8"/>
  <c r="G4" i="8"/>
  <c r="F4" i="8"/>
  <c r="E4" i="8"/>
  <c r="M3" i="8"/>
  <c r="J3" i="8" s="1"/>
  <c r="P3" i="8" s="1"/>
  <c r="K3" i="8"/>
  <c r="E3" i="8"/>
  <c r="D3" i="8"/>
  <c r="G3" i="8" s="1"/>
  <c r="E49" i="7"/>
  <c r="D49" i="7"/>
  <c r="F48" i="7"/>
  <c r="E48" i="7"/>
  <c r="D48" i="7"/>
  <c r="G44" i="7"/>
  <c r="H43" i="7"/>
  <c r="F49" i="7" s="1"/>
  <c r="G43" i="7"/>
  <c r="H42" i="7"/>
  <c r="G42" i="7"/>
  <c r="L29" i="7"/>
  <c r="I24" i="7"/>
  <c r="L23" i="7"/>
  <c r="L22" i="7"/>
  <c r="L21" i="7"/>
  <c r="L28" i="7" s="1"/>
  <c r="I21" i="7"/>
  <c r="I17" i="7"/>
  <c r="G17" i="7"/>
  <c r="I16" i="7"/>
  <c r="I23" i="7" s="1"/>
  <c r="G16" i="7"/>
  <c r="D16" i="7"/>
  <c r="I15" i="7"/>
  <c r="I22" i="7" s="1"/>
  <c r="G15" i="7"/>
  <c r="Q14" i="7"/>
  <c r="I14" i="7"/>
  <c r="I29" i="7" s="1"/>
  <c r="G14" i="7"/>
  <c r="G29" i="7" s="1"/>
  <c r="G9" i="7"/>
  <c r="E17" i="7" s="1"/>
  <c r="G8" i="7"/>
  <c r="E16" i="7" s="1"/>
  <c r="G7" i="7"/>
  <c r="G6" i="7"/>
  <c r="D102" i="6"/>
  <c r="K64" i="6" s="1"/>
  <c r="C102" i="6"/>
  <c r="J63" i="6" s="1"/>
  <c r="G101" i="6"/>
  <c r="F101" i="6"/>
  <c r="G100" i="6"/>
  <c r="F100" i="6"/>
  <c r="D89" i="6"/>
  <c r="F89" i="6" s="1"/>
  <c r="C89" i="6"/>
  <c r="C90" i="6" s="1"/>
  <c r="C103" i="6" s="1"/>
  <c r="G88" i="6"/>
  <c r="F88" i="6"/>
  <c r="G87" i="6"/>
  <c r="F87" i="6"/>
  <c r="G86" i="6"/>
  <c r="F86" i="6"/>
  <c r="G85" i="6"/>
  <c r="F85" i="6"/>
  <c r="D85" i="6"/>
  <c r="P38" i="6" s="1"/>
  <c r="C85" i="6"/>
  <c r="O39" i="6" s="1"/>
  <c r="G84" i="6"/>
  <c r="F84" i="6"/>
  <c r="G83" i="6"/>
  <c r="G82" i="6"/>
  <c r="F82" i="6"/>
  <c r="G81" i="6"/>
  <c r="F81" i="6"/>
  <c r="G80" i="6"/>
  <c r="F80" i="6"/>
  <c r="G79" i="6"/>
  <c r="F79" i="6"/>
  <c r="G78" i="6"/>
  <c r="F78" i="6"/>
  <c r="D75" i="6"/>
  <c r="G74" i="6"/>
  <c r="D74" i="6"/>
  <c r="F74" i="6" s="1"/>
  <c r="C74" i="6"/>
  <c r="G73" i="6"/>
  <c r="F73" i="6"/>
  <c r="G72" i="6"/>
  <c r="F72" i="6"/>
  <c r="G71" i="6"/>
  <c r="F71" i="6"/>
  <c r="F70" i="6"/>
  <c r="D69" i="6"/>
  <c r="C69" i="6"/>
  <c r="G68" i="6"/>
  <c r="F68" i="6"/>
  <c r="G67" i="6"/>
  <c r="F67" i="6"/>
  <c r="G66" i="6"/>
  <c r="F66" i="6"/>
  <c r="G65" i="6"/>
  <c r="F65" i="6"/>
  <c r="K62" i="6"/>
  <c r="J62" i="6"/>
  <c r="O61" i="6"/>
  <c r="O60" i="6"/>
  <c r="O59" i="6"/>
  <c r="O58" i="6"/>
  <c r="P56" i="6"/>
  <c r="O56" i="6"/>
  <c r="O55" i="6"/>
  <c r="P39" i="6"/>
  <c r="O38" i="6"/>
  <c r="P37" i="6"/>
  <c r="P55" i="6" s="1"/>
  <c r="O37" i="6"/>
  <c r="P30" i="6"/>
  <c r="O30" i="6"/>
  <c r="P29" i="6"/>
  <c r="J26" i="6"/>
  <c r="I26" i="6"/>
  <c r="J25" i="6"/>
  <c r="I25" i="6"/>
  <c r="P21" i="6"/>
  <c r="G21" i="6"/>
  <c r="P20" i="6"/>
  <c r="G19" i="6"/>
  <c r="F19" i="6"/>
  <c r="P18" i="6"/>
  <c r="O18" i="6"/>
  <c r="N18" i="6"/>
  <c r="J18" i="6"/>
  <c r="I18" i="6"/>
  <c r="G18" i="6"/>
  <c r="F18" i="6"/>
  <c r="J17" i="6"/>
  <c r="I17" i="6"/>
  <c r="D17" i="6"/>
  <c r="G17" i="6" s="1"/>
  <c r="C17" i="6"/>
  <c r="J16" i="6"/>
  <c r="I16" i="6"/>
  <c r="J15" i="6"/>
  <c r="I15" i="6"/>
  <c r="G15" i="6"/>
  <c r="F15" i="6"/>
  <c r="J14" i="6"/>
  <c r="I14" i="6"/>
  <c r="F14" i="6"/>
  <c r="J13" i="6"/>
  <c r="I13" i="6"/>
  <c r="J12" i="6"/>
  <c r="I12" i="6"/>
  <c r="G12" i="6"/>
  <c r="F12" i="6"/>
  <c r="P11" i="6"/>
  <c r="P12" i="6" s="1"/>
  <c r="O11" i="6"/>
  <c r="O12" i="6" s="1"/>
  <c r="P10" i="6"/>
  <c r="O10" i="6"/>
  <c r="D10" i="6"/>
  <c r="P4" i="6" s="1"/>
  <c r="O73" i="6" s="1"/>
  <c r="C10" i="6"/>
  <c r="P9" i="6"/>
  <c r="O9" i="6"/>
  <c r="J9" i="6"/>
  <c r="I9" i="6"/>
  <c r="J8" i="6"/>
  <c r="I8" i="6"/>
  <c r="G8" i="6"/>
  <c r="F8" i="6"/>
  <c r="P7" i="6"/>
  <c r="J7" i="6"/>
  <c r="I7" i="6"/>
  <c r="P6" i="6"/>
  <c r="O6" i="6"/>
  <c r="P5" i="6"/>
  <c r="O5" i="6"/>
  <c r="D57" i="5"/>
  <c r="C57" i="5"/>
  <c r="D41" i="5"/>
  <c r="C41" i="5"/>
  <c r="D34" i="5"/>
  <c r="C34" i="5"/>
  <c r="P21" i="4"/>
  <c r="N21" i="4"/>
  <c r="L21" i="4"/>
  <c r="J21" i="4"/>
  <c r="P13" i="4"/>
  <c r="N13" i="4"/>
  <c r="L13" i="4"/>
  <c r="J13" i="4"/>
  <c r="H13" i="4"/>
  <c r="H21" i="4" s="1"/>
  <c r="G13" i="4"/>
  <c r="G21" i="4" s="1"/>
  <c r="D13" i="4"/>
  <c r="D21" i="4" s="1"/>
  <c r="C13" i="4"/>
  <c r="C21" i="4" s="1"/>
  <c r="D20" i="3"/>
  <c r="D32" i="3" s="1"/>
  <c r="C20" i="3"/>
  <c r="C32" i="3" s="1"/>
  <c r="D17" i="3"/>
  <c r="C17" i="3"/>
  <c r="D10" i="3"/>
  <c r="C10" i="3"/>
  <c r="D47" i="2"/>
  <c r="C47" i="2"/>
  <c r="D34" i="2"/>
  <c r="C34" i="2"/>
  <c r="D30" i="2"/>
  <c r="D35" i="2" s="1"/>
  <c r="D48" i="2" s="1"/>
  <c r="C30" i="2"/>
  <c r="C35" i="2" s="1"/>
  <c r="C48" i="2" s="1"/>
  <c r="D19" i="2"/>
  <c r="C19" i="2"/>
  <c r="D14" i="2"/>
  <c r="D20" i="2" s="1"/>
  <c r="C14" i="2"/>
  <c r="C20" i="2" s="1"/>
  <c r="Q4" i="8" l="1"/>
  <c r="Q3" i="8"/>
  <c r="F61" i="7"/>
  <c r="F17" i="11"/>
  <c r="E30" i="10"/>
  <c r="E31" i="10" s="1"/>
  <c r="E29" i="12"/>
  <c r="E30" i="12" s="1"/>
  <c r="R29" i="12"/>
  <c r="R30" i="12" s="1"/>
  <c r="E19" i="11"/>
  <c r="F30" i="11"/>
  <c r="E35" i="11"/>
  <c r="E8" i="12"/>
  <c r="H10" i="8"/>
  <c r="F5" i="12"/>
  <c r="C22" i="3"/>
  <c r="E14" i="7"/>
  <c r="D14" i="7"/>
  <c r="H6" i="7"/>
  <c r="E10" i="12"/>
  <c r="E12" i="11"/>
  <c r="F12" i="11" s="1"/>
  <c r="G12" i="11" s="1"/>
  <c r="H12" i="11" s="1"/>
  <c r="I12" i="11" s="1"/>
  <c r="G16" i="11"/>
  <c r="G31" i="11" s="1"/>
  <c r="G34" i="11" s="1"/>
  <c r="F19" i="11"/>
  <c r="Q13" i="7"/>
  <c r="M34" i="7"/>
  <c r="Q15" i="7" s="1"/>
  <c r="D22" i="3"/>
  <c r="E12" i="12"/>
  <c r="D23" i="7"/>
  <c r="F55" i="7"/>
  <c r="E50" i="7"/>
  <c r="E54" i="7" s="1"/>
  <c r="D50" i="7"/>
  <c r="D54" i="7" s="1"/>
  <c r="F6" i="8"/>
  <c r="G23" i="7"/>
  <c r="F4" i="10"/>
  <c r="Q6" i="8"/>
  <c r="E11" i="12"/>
  <c r="H44" i="7"/>
  <c r="F50" i="7" s="1"/>
  <c r="F56" i="7" s="1"/>
  <c r="G69" i="6"/>
  <c r="C75" i="6"/>
  <c r="O21" i="6"/>
  <c r="G22" i="7"/>
  <c r="G24" i="7"/>
  <c r="G21" i="7"/>
  <c r="F25" i="12"/>
  <c r="E25" i="12"/>
  <c r="S25" i="12"/>
  <c r="R25" i="12"/>
  <c r="I28" i="7"/>
  <c r="C20" i="6"/>
  <c r="O4" i="6"/>
  <c r="D48" i="11"/>
  <c r="G14" i="6"/>
  <c r="F21" i="6"/>
  <c r="O29" i="6"/>
  <c r="M8" i="11"/>
  <c r="E31" i="11"/>
  <c r="E34" i="11" s="1"/>
  <c r="F7" i="6"/>
  <c r="I10" i="6"/>
  <c r="F102" i="6"/>
  <c r="F31" i="11"/>
  <c r="F34" i="11" s="1"/>
  <c r="F54" i="7"/>
  <c r="F60" i="7"/>
  <c r="D20" i="11"/>
  <c r="G89" i="6"/>
  <c r="H8" i="7"/>
  <c r="G7" i="6"/>
  <c r="J10" i="6"/>
  <c r="P58" i="6" s="1"/>
  <c r="G102" i="6"/>
  <c r="E15" i="7"/>
  <c r="E22" i="7" s="1"/>
  <c r="D15" i="7"/>
  <c r="H7" i="7"/>
  <c r="P8" i="6"/>
  <c r="G16" i="6"/>
  <c r="F25" i="6"/>
  <c r="K63" i="6"/>
  <c r="D90" i="6"/>
  <c r="H9" i="7"/>
  <c r="E10" i="11"/>
  <c r="F69" i="6"/>
  <c r="F3" i="8"/>
  <c r="E6" i="10"/>
  <c r="F6" i="10" s="1"/>
  <c r="G6" i="10" s="1"/>
  <c r="H6" i="10" s="1"/>
  <c r="I6" i="10" s="1"/>
  <c r="F9" i="6"/>
  <c r="F13" i="6"/>
  <c r="D20" i="6"/>
  <c r="G25" i="6"/>
  <c r="J64" i="6"/>
  <c r="E11" i="11"/>
  <c r="T14" i="12"/>
  <c r="G9" i="6"/>
  <c r="G13" i="6"/>
  <c r="F11" i="11"/>
  <c r="P43" i="6"/>
  <c r="P59" i="6" s="1"/>
  <c r="D17" i="7"/>
  <c r="D24" i="7" s="1"/>
  <c r="C52" i="11"/>
  <c r="E52" i="11" s="1"/>
  <c r="C53" i="11"/>
  <c r="E53" i="11" s="1"/>
  <c r="C20" i="11"/>
  <c r="Z5" i="12"/>
  <c r="R5" i="12" s="1"/>
  <c r="F26" i="6"/>
  <c r="F17" i="6"/>
  <c r="G26" i="6"/>
  <c r="D53" i="11"/>
  <c r="F16" i="6"/>
  <c r="O43" i="6"/>
  <c r="E13" i="12"/>
  <c r="R8" i="12" l="1"/>
  <c r="S5" i="12"/>
  <c r="J10" i="8"/>
  <c r="E21" i="8" s="1"/>
  <c r="E23" i="8" s="1"/>
  <c r="E26" i="8" s="1"/>
  <c r="I10" i="8"/>
  <c r="E20" i="8" s="1"/>
  <c r="E22" i="8" s="1"/>
  <c r="E25" i="8" s="1"/>
  <c r="U14" i="12"/>
  <c r="V14" i="12" s="1"/>
  <c r="H15" i="7"/>
  <c r="H22" i="7" s="1"/>
  <c r="F15" i="7"/>
  <c r="F22" i="7" s="1"/>
  <c r="F75" i="6"/>
  <c r="G75" i="6"/>
  <c r="E7" i="10"/>
  <c r="E24" i="7"/>
  <c r="F35" i="11"/>
  <c r="G30" i="11"/>
  <c r="T27" i="12"/>
  <c r="S27" i="12"/>
  <c r="S28" i="12" s="1"/>
  <c r="R27" i="12"/>
  <c r="G51" i="11"/>
  <c r="Q27" i="12"/>
  <c r="F51" i="11"/>
  <c r="E51" i="11"/>
  <c r="F28" i="10"/>
  <c r="D27" i="12"/>
  <c r="G28" i="10"/>
  <c r="G29" i="10" s="1"/>
  <c r="G27" i="12"/>
  <c r="F27" i="12"/>
  <c r="E28" i="10"/>
  <c r="E27" i="12"/>
  <c r="E28" i="12" s="1"/>
  <c r="D28" i="10"/>
  <c r="D22" i="7"/>
  <c r="G4" i="10"/>
  <c r="F7" i="10"/>
  <c r="F10" i="11"/>
  <c r="P41" i="6"/>
  <c r="D8" i="5"/>
  <c r="D30" i="5" s="1"/>
  <c r="D42" i="5" s="1"/>
  <c r="D44" i="5" s="1"/>
  <c r="D55" i="7"/>
  <c r="D60" i="7" s="1"/>
  <c r="F16" i="7"/>
  <c r="H16" i="7"/>
  <c r="F8" i="11"/>
  <c r="G8" i="11"/>
  <c r="E8" i="11"/>
  <c r="E17" i="12"/>
  <c r="G28" i="7"/>
  <c r="S29" i="12"/>
  <c r="S30" i="12" s="1"/>
  <c r="G17" i="11"/>
  <c r="G19" i="11" s="1"/>
  <c r="F30" i="10"/>
  <c r="F31" i="10" s="1"/>
  <c r="F29" i="12"/>
  <c r="F30" i="12" s="1"/>
  <c r="F26" i="10"/>
  <c r="J65" i="6"/>
  <c r="O23" i="6" s="1"/>
  <c r="O13" i="6"/>
  <c r="O44" i="6"/>
  <c r="F20" i="6"/>
  <c r="O15" i="6"/>
  <c r="O17" i="6"/>
  <c r="O14" i="6"/>
  <c r="C32" i="6"/>
  <c r="C22" i="6"/>
  <c r="D21" i="7"/>
  <c r="D29" i="7"/>
  <c r="K65" i="6"/>
  <c r="P23" i="6" s="1"/>
  <c r="P13" i="6"/>
  <c r="P44" i="6"/>
  <c r="P60" i="6" s="1"/>
  <c r="J20" i="6"/>
  <c r="I20" i="6"/>
  <c r="G20" i="6"/>
  <c r="P15" i="6"/>
  <c r="P17" i="6"/>
  <c r="P14" i="6"/>
  <c r="D32" i="6"/>
  <c r="D22" i="6"/>
  <c r="E56" i="7"/>
  <c r="E61" i="7"/>
  <c r="E15" i="12"/>
  <c r="F17" i="7"/>
  <c r="H17" i="7"/>
  <c r="G90" i="6"/>
  <c r="F90" i="6"/>
  <c r="D103" i="6"/>
  <c r="E55" i="7"/>
  <c r="E60" i="7" s="1"/>
  <c r="D67" i="7" s="1"/>
  <c r="E21" i="7"/>
  <c r="E29" i="7"/>
  <c r="P14" i="7" s="1"/>
  <c r="E23" i="7"/>
  <c r="E28" i="7" s="1"/>
  <c r="O41" i="6"/>
  <c r="C8" i="5"/>
  <c r="C30" i="5" s="1"/>
  <c r="C42" i="5" s="1"/>
  <c r="C44" i="5" s="1"/>
  <c r="O8" i="6"/>
  <c r="O7" i="6"/>
  <c r="F14" i="7"/>
  <c r="H14" i="7"/>
  <c r="F8" i="12"/>
  <c r="G5" i="12"/>
  <c r="D56" i="7"/>
  <c r="D61" i="7"/>
  <c r="H16" i="11"/>
  <c r="P15" i="7" l="1"/>
  <c r="P13" i="7"/>
  <c r="E29" i="10"/>
  <c r="H23" i="7"/>
  <c r="H24" i="7"/>
  <c r="I16" i="11"/>
  <c r="H19" i="11"/>
  <c r="H31" i="11"/>
  <c r="H34" i="11" s="1"/>
  <c r="F24" i="7"/>
  <c r="F28" i="12"/>
  <c r="E18" i="12"/>
  <c r="E19" i="12"/>
  <c r="G9" i="11"/>
  <c r="G14" i="11" s="1"/>
  <c r="G20" i="11" s="1"/>
  <c r="G47" i="11" s="1"/>
  <c r="F29" i="10"/>
  <c r="G28" i="12"/>
  <c r="E9" i="11"/>
  <c r="E14" i="11" s="1"/>
  <c r="E20" i="11" s="1"/>
  <c r="E47" i="11" s="1"/>
  <c r="E48" i="11" s="1"/>
  <c r="F23" i="7"/>
  <c r="G8" i="12"/>
  <c r="H5" i="12"/>
  <c r="G29" i="12"/>
  <c r="G30" i="12" s="1"/>
  <c r="H17" i="11"/>
  <c r="T29" i="12"/>
  <c r="T30" i="12" s="1"/>
  <c r="G30" i="10"/>
  <c r="G31" i="10" s="1"/>
  <c r="G26" i="10"/>
  <c r="G25" i="12"/>
  <c r="T25" i="12"/>
  <c r="G35" i="11"/>
  <c r="H30" i="11"/>
  <c r="G103" i="6"/>
  <c r="F103" i="6"/>
  <c r="O16" i="6"/>
  <c r="F22" i="6"/>
  <c r="O19" i="6"/>
  <c r="O42" i="6" s="1"/>
  <c r="O22" i="6"/>
  <c r="L26" i="12"/>
  <c r="L29" i="12" s="1"/>
  <c r="L27" i="10"/>
  <c r="Y26" i="12"/>
  <c r="F10" i="10"/>
  <c r="F11" i="10"/>
  <c r="F12" i="10"/>
  <c r="F9" i="10"/>
  <c r="F14" i="10" s="1"/>
  <c r="F16" i="10" s="1"/>
  <c r="R28" i="12"/>
  <c r="T5" i="12"/>
  <c r="S8" i="12"/>
  <c r="T28" i="12"/>
  <c r="E12" i="10"/>
  <c r="E11" i="10"/>
  <c r="E9" i="10"/>
  <c r="E10" i="10"/>
  <c r="D28" i="7"/>
  <c r="F9" i="11"/>
  <c r="F14" i="11" s="1"/>
  <c r="F20" i="11" s="1"/>
  <c r="F47" i="11" s="1"/>
  <c r="F48" i="11" s="1"/>
  <c r="F13" i="12"/>
  <c r="F10" i="12"/>
  <c r="F15" i="12" s="1"/>
  <c r="F17" i="12" s="1"/>
  <c r="F11" i="12"/>
  <c r="F12" i="12"/>
  <c r="P16" i="6"/>
  <c r="P61" i="6" s="1"/>
  <c r="P22" i="6"/>
  <c r="P19" i="6"/>
  <c r="P42" i="6" s="1"/>
  <c r="I22" i="6"/>
  <c r="J22" i="6"/>
  <c r="G22" i="6"/>
  <c r="H29" i="7"/>
  <c r="H28" i="7"/>
  <c r="H21" i="7"/>
  <c r="F29" i="7"/>
  <c r="F21" i="7"/>
  <c r="F28" i="7" s="1"/>
  <c r="G7" i="10"/>
  <c r="H4" i="10"/>
  <c r="G11" i="11"/>
  <c r="G10" i="11"/>
  <c r="R10" i="12"/>
  <c r="R15" i="12" s="1"/>
  <c r="R17" i="12" s="1"/>
  <c r="R12" i="12"/>
  <c r="R11" i="12"/>
  <c r="R13" i="12"/>
  <c r="F18" i="12" l="1"/>
  <c r="F19" i="12"/>
  <c r="R18" i="12"/>
  <c r="R19" i="12"/>
  <c r="F17" i="10"/>
  <c r="F18" i="10"/>
  <c r="E14" i="10"/>
  <c r="E16" i="10" s="1"/>
  <c r="E24" i="12"/>
  <c r="E26" i="12" s="1"/>
  <c r="E31" i="12" s="1"/>
  <c r="E32" i="12" s="1"/>
  <c r="E23" i="12"/>
  <c r="G48" i="11"/>
  <c r="S11" i="12"/>
  <c r="S13" i="12"/>
  <c r="S10" i="12"/>
  <c r="S12" i="12"/>
  <c r="H7" i="10"/>
  <c r="I4" i="10"/>
  <c r="H11" i="11"/>
  <c r="H10" i="11"/>
  <c r="H51" i="11"/>
  <c r="H27" i="12"/>
  <c r="H28" i="12" s="1"/>
  <c r="H28" i="10"/>
  <c r="H29" i="10" s="1"/>
  <c r="U27" i="12"/>
  <c r="U28" i="12" s="1"/>
  <c r="H8" i="11"/>
  <c r="G11" i="10"/>
  <c r="G9" i="10"/>
  <c r="G12" i="10"/>
  <c r="G10" i="10"/>
  <c r="I30" i="11"/>
  <c r="I35" i="11" s="1"/>
  <c r="H35" i="11"/>
  <c r="T8" i="12"/>
  <c r="U5" i="12"/>
  <c r="I31" i="11"/>
  <c r="I34" i="11" s="1"/>
  <c r="I17" i="11"/>
  <c r="H30" i="10"/>
  <c r="H31" i="10" s="1"/>
  <c r="H29" i="12"/>
  <c r="H30" i="12" s="1"/>
  <c r="U29" i="12"/>
  <c r="U30" i="12" s="1"/>
  <c r="H26" i="10"/>
  <c r="U25" i="12"/>
  <c r="H25" i="12"/>
  <c r="H8" i="12"/>
  <c r="I5" i="12"/>
  <c r="I8" i="12" s="1"/>
  <c r="G12" i="12"/>
  <c r="G11" i="12"/>
  <c r="G10" i="12"/>
  <c r="G13" i="12"/>
  <c r="I10" i="11" l="1"/>
  <c r="I7" i="10"/>
  <c r="I11" i="11"/>
  <c r="V27" i="12"/>
  <c r="V28" i="12" s="1"/>
  <c r="I51" i="11"/>
  <c r="I8" i="11"/>
  <c r="I28" i="10"/>
  <c r="I29" i="10" s="1"/>
  <c r="I27" i="12"/>
  <c r="I28" i="12" s="1"/>
  <c r="I29" i="12"/>
  <c r="I30" i="12" s="1"/>
  <c r="V29" i="12"/>
  <c r="V30" i="12" s="1"/>
  <c r="I30" i="10"/>
  <c r="I31" i="10" s="1"/>
  <c r="V25" i="12"/>
  <c r="I26" i="10"/>
  <c r="I25" i="12"/>
  <c r="H10" i="10"/>
  <c r="H9" i="10"/>
  <c r="H12" i="10"/>
  <c r="H11" i="10"/>
  <c r="I19" i="11"/>
  <c r="V5" i="12"/>
  <c r="V8" i="12" s="1"/>
  <c r="U8" i="12"/>
  <c r="S15" i="12"/>
  <c r="S17" i="12" s="1"/>
  <c r="T12" i="12"/>
  <c r="T10" i="12"/>
  <c r="T11" i="12"/>
  <c r="T13" i="12"/>
  <c r="G15" i="12"/>
  <c r="G17" i="12" s="1"/>
  <c r="E17" i="10"/>
  <c r="E18" i="10" s="1"/>
  <c r="F24" i="12"/>
  <c r="F26" i="12" s="1"/>
  <c r="F31" i="12" s="1"/>
  <c r="F32" i="12" s="1"/>
  <c r="F23" i="12"/>
  <c r="G14" i="10"/>
  <c r="G16" i="10" s="1"/>
  <c r="F24" i="10"/>
  <c r="F25" i="10"/>
  <c r="F27" i="10" s="1"/>
  <c r="F32" i="10" s="1"/>
  <c r="F33" i="10" s="1"/>
  <c r="I12" i="12"/>
  <c r="I10" i="12"/>
  <c r="I11" i="12"/>
  <c r="I13" i="12"/>
  <c r="H9" i="11"/>
  <c r="H14" i="11" s="1"/>
  <c r="H20" i="11" s="1"/>
  <c r="H47" i="11" s="1"/>
  <c r="H48" i="11" s="1"/>
  <c r="R24" i="12"/>
  <c r="R26" i="12" s="1"/>
  <c r="R31" i="12" s="1"/>
  <c r="R32" i="12" s="1"/>
  <c r="R23" i="12"/>
  <c r="H10" i="12"/>
  <c r="H11" i="12"/>
  <c r="H12" i="12"/>
  <c r="H13" i="12"/>
  <c r="E24" i="10" l="1"/>
  <c r="E25" i="10"/>
  <c r="E27" i="10" s="1"/>
  <c r="E32" i="10" s="1"/>
  <c r="E33" i="10" s="1"/>
  <c r="G17" i="10"/>
  <c r="G18" i="10" s="1"/>
  <c r="H14" i="10"/>
  <c r="H16" i="10" s="1"/>
  <c r="G18" i="12"/>
  <c r="G19" i="12" s="1"/>
  <c r="H15" i="12"/>
  <c r="H17" i="12" s="1"/>
  <c r="T15" i="12"/>
  <c r="T17" i="12" s="1"/>
  <c r="I9" i="11"/>
  <c r="I14" i="11" s="1"/>
  <c r="I20" i="11" s="1"/>
  <c r="I47" i="11" s="1"/>
  <c r="I48" i="11" s="1"/>
  <c r="S18" i="12"/>
  <c r="S19" i="12" s="1"/>
  <c r="I15" i="12"/>
  <c r="I17" i="12" s="1"/>
  <c r="U12" i="12"/>
  <c r="U13" i="12"/>
  <c r="U11" i="12"/>
  <c r="U10" i="12"/>
  <c r="I9" i="10"/>
  <c r="I12" i="10"/>
  <c r="I11" i="10"/>
  <c r="I10" i="10"/>
  <c r="V13" i="12"/>
  <c r="V12" i="12"/>
  <c r="V10" i="12"/>
  <c r="V11" i="12"/>
  <c r="S24" i="12" l="1"/>
  <c r="S26" i="12" s="1"/>
  <c r="S31" i="12" s="1"/>
  <c r="S32" i="12" s="1"/>
  <c r="S23" i="12"/>
  <c r="G24" i="12"/>
  <c r="G26" i="12" s="1"/>
  <c r="G31" i="12" s="1"/>
  <c r="G32" i="12" s="1"/>
  <c r="G23" i="12"/>
  <c r="G24" i="10"/>
  <c r="G25" i="10"/>
  <c r="G27" i="10" s="1"/>
  <c r="G32" i="10" s="1"/>
  <c r="G33" i="10" s="1"/>
  <c r="I18" i="12"/>
  <c r="I19" i="12" s="1"/>
  <c r="V15" i="12"/>
  <c r="V17" i="12" s="1"/>
  <c r="T18" i="12"/>
  <c r="T19" i="12" s="1"/>
  <c r="H18" i="12"/>
  <c r="H19" i="12"/>
  <c r="H17" i="10"/>
  <c r="H18" i="10" s="1"/>
  <c r="I14" i="10"/>
  <c r="I16" i="10" s="1"/>
  <c r="U15" i="12"/>
  <c r="U17" i="12" s="1"/>
  <c r="H24" i="10" l="1"/>
  <c r="H25" i="10"/>
  <c r="H27" i="10" s="1"/>
  <c r="H32" i="10" s="1"/>
  <c r="H33" i="10" s="1"/>
  <c r="T24" i="12"/>
  <c r="T26" i="12" s="1"/>
  <c r="T31" i="12" s="1"/>
  <c r="T32" i="12" s="1"/>
  <c r="T23" i="12"/>
  <c r="I24" i="12"/>
  <c r="I26" i="12" s="1"/>
  <c r="I31" i="12" s="1"/>
  <c r="I23" i="12"/>
  <c r="U18" i="12"/>
  <c r="U19" i="12"/>
  <c r="I17" i="10"/>
  <c r="I18" i="10" s="1"/>
  <c r="H24" i="12"/>
  <c r="H26" i="12" s="1"/>
  <c r="H31" i="12" s="1"/>
  <c r="H32" i="12" s="1"/>
  <c r="H23" i="12"/>
  <c r="V18" i="12"/>
  <c r="V19" i="12" s="1"/>
  <c r="V23" i="12" l="1"/>
  <c r="V24" i="12"/>
  <c r="V26" i="12" s="1"/>
  <c r="V31" i="12" s="1"/>
  <c r="I24" i="10"/>
  <c r="I25" i="10"/>
  <c r="I27" i="10" s="1"/>
  <c r="I32" i="10" s="1"/>
  <c r="U23" i="12"/>
  <c r="U24" i="12"/>
  <c r="U26" i="12" s="1"/>
  <c r="U31" i="12" s="1"/>
  <c r="U32" i="12" s="1"/>
  <c r="I32" i="12"/>
  <c r="H3" i="15" s="1" a="1"/>
  <c r="H4" i="15" l="1"/>
  <c r="H3" i="15"/>
  <c r="H7" i="15"/>
  <c r="H6" i="15"/>
  <c r="H5" i="15"/>
  <c r="C33" i="12"/>
  <c r="L51" i="12" s="1"/>
  <c r="I33" i="10"/>
  <c r="I3" i="15" s="1" a="1"/>
  <c r="L30" i="10"/>
  <c r="V32" i="12"/>
  <c r="J3" i="15" s="1" a="1"/>
  <c r="Y29" i="12"/>
  <c r="J7" i="15" l="1"/>
  <c r="J6" i="15"/>
  <c r="J5" i="15"/>
  <c r="J4" i="15"/>
  <c r="J3" i="15"/>
  <c r="P33" i="12"/>
  <c r="L53" i="12" s="1"/>
  <c r="C34" i="10"/>
  <c r="L52" i="12" s="1"/>
  <c r="I7" i="15"/>
  <c r="I6" i="15"/>
  <c r="I5" i="15"/>
  <c r="I4" i="15"/>
  <c r="I3" i="15"/>
</calcChain>
</file>

<file path=xl/sharedStrings.xml><?xml version="1.0" encoding="utf-8"?>
<sst xmlns="http://schemas.openxmlformats.org/spreadsheetml/2006/main" count="699" uniqueCount="358">
  <si>
    <t>CONSOLIDATED BALANCE SHEETS</t>
  </si>
  <si>
    <t>(in thousands, except per share and share amounts)</t>
  </si>
  <si>
    <t>Item</t>
  </si>
  <si>
    <t>Assests</t>
  </si>
  <si>
    <t>Current assests</t>
  </si>
  <si>
    <t>Cash &amp; Cash Equivalents</t>
  </si>
  <si>
    <t>Cash segregated and on deposit for regulatory purposes</t>
  </si>
  <si>
    <t>Due from clients</t>
  </si>
  <si>
    <t>Accounts receivables</t>
  </si>
  <si>
    <t>Client-held financial shares</t>
  </si>
  <si>
    <t>Other current assests</t>
  </si>
  <si>
    <t>Total current assests</t>
  </si>
  <si>
    <t>Deferred tax assests, net</t>
  </si>
  <si>
    <t>Operating lease right-of-use asset</t>
  </si>
  <si>
    <t>Property, software, and equipment, net</t>
  </si>
  <si>
    <t>Other non-current assests</t>
  </si>
  <si>
    <t>Total assests</t>
  </si>
  <si>
    <t>Liabilities, redeemable convertible preferred stock, and stockholders’ deficit</t>
  </si>
  <si>
    <t>Current liabilities</t>
  </si>
  <si>
    <t>Accounts payable</t>
  </si>
  <si>
    <t>Accrued liabilities</t>
  </si>
  <si>
    <t>Due to clients</t>
  </si>
  <si>
    <t>Payable to clearing broker</t>
  </si>
  <si>
    <t>Current portion of operating lease liabilities</t>
  </si>
  <si>
    <t>Convertible note, at fair value</t>
  </si>
  <si>
    <t>Fractional shares repurchase obligation</t>
  </si>
  <si>
    <t>Total current liabilities</t>
  </si>
  <si>
    <t>Operating lease liabilities, net of current portion</t>
  </si>
  <si>
    <t>Related-party long-term debt</t>
  </si>
  <si>
    <t>Other non-current liabilities</t>
  </si>
  <si>
    <t>Total non-current liabilities</t>
  </si>
  <si>
    <t>Total liabilities</t>
  </si>
  <si>
    <t>Commitments and contingencies (Note 8)</t>
  </si>
  <si>
    <t>Redeemable convertible preferred stock, $0.0001 par value per share; 85,490,483,</t>
  </si>
  <si>
    <t>shares authorized as of January 31,2024 and 2025; 69,914,359 shares issued and outstanding as of January 31, 2024 and 2025;</t>
  </si>
  <si>
    <t>aggregate liquidationpreference of $229,543 as of January 31, 2024 and 2025</t>
  </si>
  <si>
    <t>Stockholders’ equity (deficit)</t>
  </si>
  <si>
    <t>Common stock, $0.0001 par value per share; 214,611,134 shares authorized as of January 31, 2024</t>
  </si>
  <si>
    <t>and 2025; 38,960,555 and 40,110,106 shares issued and outstanding as of January 31, 2024 and 2025, respectively</t>
  </si>
  <si>
    <t>Treasury stock, at cost; 0 and 1,422,493 shares held as of January 31, 2024 and 2025, respectively</t>
  </si>
  <si>
    <t>Additional paid-in capital</t>
  </si>
  <si>
    <t>Accumulated deficit</t>
  </si>
  <si>
    <t>Total stockholders’ equity (deficit)</t>
  </si>
  <si>
    <t>Total liabilities, redeemable convertible preferred stock, and stockholders’ equity (deficit)</t>
  </si>
  <si>
    <t>CONSOLIDATED STATEMENTS OF OPERATIONS</t>
  </si>
  <si>
    <t>Revenue</t>
  </si>
  <si>
    <t>Cash management</t>
  </si>
  <si>
    <t>Investment advisory</t>
  </si>
  <si>
    <t>Other revenue</t>
  </si>
  <si>
    <t>Total revenue</t>
  </si>
  <si>
    <t>Costs and operating expenses</t>
  </si>
  <si>
    <t>Cost of revenue</t>
  </si>
  <si>
    <t>Product development</t>
  </si>
  <si>
    <t>General and administrative</t>
  </si>
  <si>
    <t>Marketing</t>
  </si>
  <si>
    <t>Operations and support</t>
  </si>
  <si>
    <t>Total costs and operating expenses</t>
  </si>
  <si>
    <t>Interest expense</t>
  </si>
  <si>
    <t>Other expense (income), net</t>
  </si>
  <si>
    <t>Income before income taxes</t>
  </si>
  <si>
    <t>Provision for (benefit from) income taxes</t>
  </si>
  <si>
    <t>Net income</t>
  </si>
  <si>
    <t>Earnings per Share</t>
  </si>
  <si>
    <t>Basic</t>
  </si>
  <si>
    <t>Diluted</t>
  </si>
  <si>
    <t>Weighted-average shares outstanding used in computing earnings per share</t>
  </si>
  <si>
    <t>ͳ</t>
  </si>
  <si>
    <t>CONSOLIDATED STATEMENTS OF REDEEMABLE CONVERTIBLE PREFERRED STOCK AND STOCKHOLDERS’ EQUITY(DEFICIT)</t>
  </si>
  <si>
    <t>(in thousands, except share amounts)</t>
  </si>
  <si>
    <t>Additional Paid-in Capital</t>
  </si>
  <si>
    <t>Total Stockholders' Equity (Deficit)</t>
  </si>
  <si>
    <t>Redeemable ConvertiblePreferred Stock</t>
  </si>
  <si>
    <t>Common Stock</t>
  </si>
  <si>
    <t>Treasury Stock</t>
  </si>
  <si>
    <t>Accumulated Deficit</t>
  </si>
  <si>
    <t>Shares</t>
  </si>
  <si>
    <t>Amount</t>
  </si>
  <si>
    <t>Balances as of February 1, 2023</t>
  </si>
  <si>
    <t>Net Income</t>
  </si>
  <si>
    <t>Issuance of common stock upon exercise vested stock options</t>
  </si>
  <si>
    <t>Issuance of common stock upon settlement of restricted stock units (RSUs)</t>
  </si>
  <si>
    <t>Change in early exercise liability</t>
  </si>
  <si>
    <t>Stock-based compensation expense</t>
  </si>
  <si>
    <t>Balances as of January 31, 2024</t>
  </si>
  <si>
    <t>Issuance of common stock upon settlement of RSUs</t>
  </si>
  <si>
    <t>Repurchase of common stock, including retirement of 160,034 shares</t>
  </si>
  <si>
    <t>Reissuance of treasury stock</t>
  </si>
  <si>
    <t>Balances as of January 31, 2025</t>
  </si>
  <si>
    <t>CONSOLIDATED STATEMENTS OF CASH FLOWS</t>
  </si>
  <si>
    <t>(in thousands)</t>
  </si>
  <si>
    <t>Operating activities</t>
  </si>
  <si>
    <t>Adjustments to reconcile net income to net cash provided by operating activities</t>
  </si>
  <si>
    <t>Depreciation and amortization of property, software, and equipment, net</t>
  </si>
  <si>
    <t>Non-cash lease expense</t>
  </si>
  <si>
    <t>Cash interest paid on convertible note, including $4,451 and $0 paid-in-kind interest for thefiscal years ended January, 31, 2024 and 2025, respectively</t>
  </si>
  <si>
    <t>Cash interest paid on related-party long-term debt</t>
  </si>
  <si>
    <t>Non-cash interest expense on related-party long-term debt</t>
  </si>
  <si>
    <t>Deferred income taxes</t>
  </si>
  <si>
    <t>Change in fair value of convertible note</t>
  </si>
  <si>
    <t>Change in fair value of warrant liabilities</t>
  </si>
  <si>
    <t>Change in fair value of simple agreement for future equity</t>
  </si>
  <si>
    <t>Changes in operating assets and liabilities</t>
  </si>
  <si>
    <t>Accounts receivable</t>
  </si>
  <si>
    <t>Other current and noncurrent assets</t>
  </si>
  <si>
    <t>Deferred revenue</t>
  </si>
  <si>
    <t>Lease liabilities</t>
  </si>
  <si>
    <t>Other noncurrent liabilities</t>
  </si>
  <si>
    <t>Net cash provided by operating activities</t>
  </si>
  <si>
    <t>Investing activities</t>
  </si>
  <si>
    <t>Purchases of property, software, and equipment</t>
  </si>
  <si>
    <t>Capitalized internally developed software</t>
  </si>
  <si>
    <t>Net cash used in investing activities</t>
  </si>
  <si>
    <t>Financing activities</t>
  </si>
  <si>
    <t>Repayment of convertible note</t>
  </si>
  <si>
    <t>Principal repayment of related-party long-</t>
  </si>
  <si>
    <t>Proceeds from exercise of stock options, including early exercises</t>
  </si>
  <si>
    <t>Repurchase of common stock</t>
  </si>
  <si>
    <t>Proceeds from issuance of treasury stock</t>
  </si>
  <si>
    <t>Net cash used in financing activities</t>
  </si>
  <si>
    <t>Net increase in cash and cash equivalents, cash segregated and on deposit for regulatorypurposes, and restricted cash</t>
  </si>
  <si>
    <t>Cash and cash equivalents, cash segregated and on deposit for regulatory purposes, andrestricted cash at the beginning of the fiscal year</t>
  </si>
  <si>
    <t>Cash and cash equivalents, cash segregated and on deposit for regulatory purposes, andrestricted cash at the end of the fiscal year</t>
  </si>
  <si>
    <t>Supplemental disclosures of cash flow information</t>
  </si>
  <si>
    <t>Cash paid for income taxes</t>
  </si>
  <si>
    <t>Cash paid for interest, including $4,451 and $0 paid-in-kind interest for convertible note and $0and $6,193 for related party long-term debt for the fiscal years ended January, 31, 2024 and2025, respectively</t>
  </si>
  <si>
    <t>Non-cash investing activities</t>
  </si>
  <si>
    <t>Stock-based compensation included in capitalized internally developed software</t>
  </si>
  <si>
    <t>Non-cash financing activities</t>
  </si>
  <si>
    <t>Change in early exercise of options liability</t>
  </si>
  <si>
    <t>Retirement of common stock</t>
  </si>
  <si>
    <t>The following presents cash and cash equivalents, cash segregated and on deposit forregulatory purposes, and restricted cash</t>
  </si>
  <si>
    <t>Cash and cash equivalents</t>
  </si>
  <si>
    <t>Restricted cash in other noncurrent assets</t>
  </si>
  <si>
    <t>Total cash and cash equivalents, cash segregated and on deposit for regulatory purposes, andrestricted cash</t>
  </si>
  <si>
    <t>Resumen Datos Financieros Wealthfront Corp</t>
  </si>
  <si>
    <t>Analisis Vertical</t>
  </si>
  <si>
    <t>Analisis Horizontal</t>
  </si>
  <si>
    <t>Ingresos Totales</t>
  </si>
  <si>
    <t>Variación Absoluta</t>
  </si>
  <si>
    <t>Variación %</t>
  </si>
  <si>
    <t>COGS</t>
  </si>
  <si>
    <t>Ganancia Bruta</t>
  </si>
  <si>
    <t>Margen Bruto</t>
  </si>
  <si>
    <t>COGS/Ingresos Totales</t>
  </si>
  <si>
    <t>Gastos Generales Administrativos</t>
  </si>
  <si>
    <t>Gastos GA/Ingresos Totales</t>
  </si>
  <si>
    <t>EBIT</t>
  </si>
  <si>
    <t>Cost of revenue (COGS)</t>
  </si>
  <si>
    <t>EBIT/Ingresos Totales</t>
  </si>
  <si>
    <t>EBT</t>
  </si>
  <si>
    <t>EBT/Ingresos Totales</t>
  </si>
  <si>
    <t>Tasa efectiva</t>
  </si>
  <si>
    <t>Margen Neto</t>
  </si>
  <si>
    <t>Margen operativo</t>
  </si>
  <si>
    <t>ROA</t>
  </si>
  <si>
    <t>OWK</t>
  </si>
  <si>
    <t>0WK/vent</t>
  </si>
  <si>
    <t>ROE</t>
  </si>
  <si>
    <t>ROIC</t>
  </si>
  <si>
    <t>Wealthfront Corp</t>
  </si>
  <si>
    <t>Iteam</t>
  </si>
  <si>
    <t>Días CxC</t>
  </si>
  <si>
    <t>Días CxP</t>
  </si>
  <si>
    <t>Días Inv</t>
  </si>
  <si>
    <t xml:space="preserve">Ratios de Liquidez </t>
  </si>
  <si>
    <t>Current Ratio (Razón Circulante)</t>
  </si>
  <si>
    <t>Quick Ratio (Razón Rápida)</t>
  </si>
  <si>
    <t>Cash Ratio (Razón de Efectivo)</t>
  </si>
  <si>
    <t xml:space="preserve">Ratios de Rentabilidad </t>
  </si>
  <si>
    <t>Profit Margin (Margen de Utilidad)</t>
  </si>
  <si>
    <t>ROA (Retorno sobre Activos)</t>
  </si>
  <si>
    <t>Gross Margin (Margen Bruto)</t>
  </si>
  <si>
    <t>Operating Margin (Margen Operativo)</t>
  </si>
  <si>
    <t>Analisis de la Industria</t>
  </si>
  <si>
    <t>Industria</t>
  </si>
  <si>
    <t xml:space="preserve">Wealthfront Corp </t>
  </si>
  <si>
    <t>Sofi Technologies,Inc</t>
  </si>
  <si>
    <t>Robinhood Markets, Inc</t>
  </si>
  <si>
    <t>Interactivive Brokers Group,Inc</t>
  </si>
  <si>
    <t>Charles Schwab Corporation</t>
  </si>
  <si>
    <t>Revenue Growth</t>
  </si>
  <si>
    <t>Activos</t>
  </si>
  <si>
    <t>Net Margin (Margen Neto)</t>
  </si>
  <si>
    <t>Activos corrientes</t>
  </si>
  <si>
    <t>Activo Fijo</t>
  </si>
  <si>
    <t>Efectivo y equivalentes de efectivo</t>
  </si>
  <si>
    <t>Capital Invertido</t>
  </si>
  <si>
    <t>Efectivo segregado y en depósito para fines regulatorios</t>
  </si>
  <si>
    <t xml:space="preserve">BV </t>
  </si>
  <si>
    <t>Cuentas por cobrar a clientes</t>
  </si>
  <si>
    <t>NOPAT</t>
  </si>
  <si>
    <t>Cuentas por cobrar</t>
  </si>
  <si>
    <t>Acciones financieras retenidas por clientes</t>
  </si>
  <si>
    <t>Otros activos corrientes</t>
  </si>
  <si>
    <t>Total de activos corrientes</t>
  </si>
  <si>
    <t>Activos por impuestos diferidos, neto</t>
  </si>
  <si>
    <t>Activo por derecho de uso (arrendamiento operativo)</t>
  </si>
  <si>
    <t>Propiedades, software y equipo, neto</t>
  </si>
  <si>
    <t>Wealthfront Corp sept</t>
  </si>
  <si>
    <t>Otros activos no corrientes</t>
  </si>
  <si>
    <t>Ingresos totales</t>
  </si>
  <si>
    <t>338,63M</t>
  </si>
  <si>
    <t>3,29B</t>
  </si>
  <si>
    <t>4,20B</t>
  </si>
  <si>
    <t>6,00B</t>
  </si>
  <si>
    <t>22,91B</t>
  </si>
  <si>
    <t>Total de activos</t>
  </si>
  <si>
    <t>Pasivos, acciones preferentes convertibles rescatables y déficit de los accionistas</t>
  </si>
  <si>
    <t>Pasivos corrientes</t>
  </si>
  <si>
    <t>Cuentas por pagar</t>
  </si>
  <si>
    <t>Pasivos acumulados</t>
  </si>
  <si>
    <t>Obligaciones con clientes</t>
  </si>
  <si>
    <t>Cuenta por pagar al bróker de compensación</t>
  </si>
  <si>
    <t>Porción corriente de pasivos por arrendamiento operativo</t>
  </si>
  <si>
    <t>Nota convertible, a valor razonable</t>
  </si>
  <si>
    <t>Obligación por recompra de fracciones de acciones</t>
  </si>
  <si>
    <t>Total de pasivos corrientes</t>
  </si>
  <si>
    <t>Pasivos por arrendamiento operativo, neto de la porción corriente</t>
  </si>
  <si>
    <t>Deuda a largo plazo con partes relacionadas</t>
  </si>
  <si>
    <t>Otros pasivos no corrientes</t>
  </si>
  <si>
    <t>Total de pasivos no corrientes</t>
  </si>
  <si>
    <t>Total de pasivos</t>
  </si>
  <si>
    <t>Total del patrimonio (déficit) de los accionistas</t>
  </si>
  <si>
    <t>Total de pasivos, acciones preferentes convertibles rescatables y patrimonio (déficit) de los accionistas</t>
  </si>
  <si>
    <t>Efectivo +cuentas x cobrar+inventario-cuentas por pagar+(otros activos corrientes -otros pasivos corrientes)</t>
  </si>
  <si>
    <t>DATOS Y RESULTADOS EN MILES</t>
  </si>
  <si>
    <t>ANUAL - 31 DIC 2024</t>
  </si>
  <si>
    <t>Ticker</t>
  </si>
  <si>
    <t>Empresa</t>
  </si>
  <si>
    <t>Precio de acción</t>
  </si>
  <si>
    <t>Número de acciones ordinarias</t>
  </si>
  <si>
    <t>Deuda Total 2024</t>
  </si>
  <si>
    <t>MVE (E)</t>
  </si>
  <si>
    <t>EV</t>
  </si>
  <si>
    <t>Ingreso neto</t>
  </si>
  <si>
    <t>BVE</t>
  </si>
  <si>
    <t>Activos totales</t>
  </si>
  <si>
    <t>SOFI</t>
  </si>
  <si>
    <t>SoFi Technologies, Inc.</t>
  </si>
  <si>
    <t>HOOD</t>
  </si>
  <si>
    <t>Robinhood Markets, Inc.</t>
  </si>
  <si>
    <t>IBKR</t>
  </si>
  <si>
    <t>INTERACTIVE BROKERS GROUP, INC.</t>
  </si>
  <si>
    <t>SCHW</t>
  </si>
  <si>
    <t>VALORACIÓN ELIMINANDO SOFI</t>
  </si>
  <si>
    <t xml:space="preserve">Comparación </t>
  </si>
  <si>
    <t>Múltiplos para valoración</t>
  </si>
  <si>
    <t>Múltiplo para valoración</t>
  </si>
  <si>
    <t>Con SOFI</t>
  </si>
  <si>
    <t>Sin SOFI</t>
  </si>
  <si>
    <t>Empresa/Múltiplo</t>
  </si>
  <si>
    <t>E/BVE</t>
  </si>
  <si>
    <t>P/E</t>
  </si>
  <si>
    <t>EV/Ingreso total</t>
  </si>
  <si>
    <t>EV/Activos totales</t>
  </si>
  <si>
    <t>Ingresos totales/Activos totales</t>
  </si>
  <si>
    <t>m</t>
  </si>
  <si>
    <t>mjmax/mjmin</t>
  </si>
  <si>
    <t>MVE</t>
  </si>
  <si>
    <t>Pesos</t>
  </si>
  <si>
    <t>Promedios y rangos</t>
  </si>
  <si>
    <t>Promedio y rango</t>
  </si>
  <si>
    <t>Dato/Múltiplo</t>
  </si>
  <si>
    <t>Datos al 31/01/2025 y Resultados para Wealthfront</t>
  </si>
  <si>
    <t xml:space="preserve">Ingreso neto </t>
  </si>
  <si>
    <t>TRIMESTRAL - 30 SEPT 2025</t>
  </si>
  <si>
    <t>Datos al 31/07/2025 y Resultados para Wealthfront</t>
  </si>
  <si>
    <t>Compañía</t>
  </si>
  <si>
    <t>Market Cap 2024</t>
  </si>
  <si>
    <t>Enterprise Value</t>
  </si>
  <si>
    <t>D/E ratio</t>
  </si>
  <si>
    <t>Equity Beta</t>
  </si>
  <si>
    <t>Tax rate</t>
  </si>
  <si>
    <t>rd</t>
  </si>
  <si>
    <t>Interest Coverage Ratio 2022</t>
  </si>
  <si>
    <t>Synthetic Rating/ Rating</t>
  </si>
  <si>
    <t>Spread</t>
  </si>
  <si>
    <t>rf</t>
  </si>
  <si>
    <t>MRP</t>
  </si>
  <si>
    <t>Debt Beta</t>
  </si>
  <si>
    <t>Asset Beta</t>
  </si>
  <si>
    <t>Asset Beta Promedio</t>
  </si>
  <si>
    <t>Sofi Tech</t>
  </si>
  <si>
    <t>Robinhood</t>
  </si>
  <si>
    <t>---</t>
  </si>
  <si>
    <t>Interactive Brokers</t>
  </si>
  <si>
    <t>Patrimonio 2024</t>
  </si>
  <si>
    <t>equity beta (no tax)</t>
  </si>
  <si>
    <t>equity beta (tax)</t>
  </si>
  <si>
    <t>Wealthfront</t>
  </si>
  <si>
    <t>Datos</t>
  </si>
  <si>
    <t>Datos del Mercado</t>
  </si>
  <si>
    <t xml:space="preserve"> </t>
  </si>
  <si>
    <t>D/EV</t>
  </si>
  <si>
    <t>rf (10-year bond yield)</t>
  </si>
  <si>
    <t>tax rate</t>
  </si>
  <si>
    <t>beta deuda</t>
  </si>
  <si>
    <t>E/EV</t>
  </si>
  <si>
    <t>re (no tax)</t>
  </si>
  <si>
    <t>re (tax)</t>
  </si>
  <si>
    <t>WACC (no tax)</t>
  </si>
  <si>
    <t>WACC (tax)</t>
  </si>
  <si>
    <t>Gasto intereses</t>
  </si>
  <si>
    <t>Interes coverage ratio</t>
  </si>
  <si>
    <t>Rating</t>
  </si>
  <si>
    <t>A2/A</t>
  </si>
  <si>
    <t>Aaa/AAA</t>
  </si>
  <si>
    <t>Charles Schwab</t>
  </si>
  <si>
    <t>A1/A+</t>
  </si>
  <si>
    <t>Ba1/BB+</t>
  </si>
  <si>
    <t>CAGR</t>
  </si>
  <si>
    <t>g 14 años</t>
  </si>
  <si>
    <t>ajuste</t>
  </si>
  <si>
    <t>Asumimos que los ingresos van a crecer menos cada año a partir del crecimiento del 2025 y hasta llegar a un equilibrio igual al crecimiento de depositos bancarios a partir del 2011 en USA, según la FRED</t>
  </si>
  <si>
    <t>promedio</t>
  </si>
  <si>
    <t>% de ventas</t>
  </si>
  <si>
    <t>Se asume que los costos se definen como un porcentaje de las ventas por lo que se utiliza el promedio de los años 2024 y 2025. Se definen ventas como "cash management" + "investment advisory"</t>
  </si>
  <si>
    <t>Constante</t>
  </si>
  <si>
    <t>Este se afecta principlamente por el cambio en el valor de mercado a libros de ciertos activos, se asume constante al 2024</t>
  </si>
  <si>
    <t xml:space="preserve">en 2025 la empresa tuvo entre 12% y 18% de impuestos  en los primeros meses, no obstante ellos esperan que con el OBBBA sus impuestos disminuyan a futuro </t>
  </si>
  <si>
    <t>(1-t)EBIT</t>
  </si>
  <si>
    <t>DFC</t>
  </si>
  <si>
    <t>Depreciación</t>
  </si>
  <si>
    <t>g</t>
  </si>
  <si>
    <t>EBITDA</t>
  </si>
  <si>
    <t>WACC</t>
  </si>
  <si>
    <t>cambio en OWK</t>
  </si>
  <si>
    <t>Valor terminal</t>
  </si>
  <si>
    <t>PPE</t>
  </si>
  <si>
    <t>cambio en PPE</t>
  </si>
  <si>
    <t>FCF</t>
  </si>
  <si>
    <t>FCF descontado</t>
  </si>
  <si>
    <t>%de cash</t>
  </si>
  <si>
    <t>por regulación se supone que se mantiene un % del efectivo</t>
  </si>
  <si>
    <t>Se asume que estos rubros representan un % de las ventas de la empresa y este es constante en el tiempo</t>
  </si>
  <si>
    <t>mantener estructura</t>
  </si>
  <si>
    <t>desaparece</t>
  </si>
  <si>
    <t>Pasivos corrientes mantienen la estructura y crecen al mismo</t>
  </si>
  <si>
    <t>3 al mismo g</t>
  </si>
  <si>
    <t>% de "right of use assets"</t>
  </si>
  <si>
    <t>Desaparece</t>
  </si>
  <si>
    <t>Crece menos hasta llegar al equilibrio</t>
  </si>
  <si>
    <t>Se ajusta para mantener la quidad contable</t>
  </si>
  <si>
    <t>OWK/ventas</t>
  </si>
  <si>
    <t>Efectivo/ P.corrriente</t>
  </si>
  <si>
    <t>Depreciación/ PPE</t>
  </si>
  <si>
    <t>CASO pesimista</t>
  </si>
  <si>
    <t>CASO optimista</t>
  </si>
  <si>
    <t>desde 2023</t>
  </si>
  <si>
    <t>80-19</t>
  </si>
  <si>
    <t>Escenario</t>
  </si>
  <si>
    <t>Crecimiento</t>
  </si>
  <si>
    <t>Pesimista</t>
  </si>
  <si>
    <t>Intermedio</t>
  </si>
  <si>
    <t>Optimista</t>
  </si>
  <si>
    <t>FCF desc</t>
  </si>
  <si>
    <t>Año</t>
  </si>
  <si>
    <t>Positivo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</si>
</sst>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[$$-409]* #,##0.00_);_([$$-409]* \(#,##0.00\);_([$$-409]* &quot;-&quot;??_);_(@_)"/>
    <numFmt numFmtId="166" formatCode="_-* #,##0.00_-;\-* #,##0.00_-;_-* &quot;-&quot;??_-;_-@"/>
    <numFmt numFmtId="167" formatCode="_-[$$-540A]* #,##0.0_ ;_-[$$-540A]* \-#,##0.0\ ;_-[$$-540A]* &quot;-&quot;??_ ;_-@_ "/>
    <numFmt numFmtId="168" formatCode="_-* #,##0_-;\-* #,##0_-;_-* &quot;-&quot;??_-;_-@"/>
    <numFmt numFmtId="169" formatCode="_-[$$-540A]* #,##0_ ;_-[$$-540A]* \-#,##0\ ;_-[$$-540A]* &quot;-&quot;??_ ;_-@_ "/>
    <numFmt numFmtId="170" formatCode="0.0"/>
    <numFmt numFmtId="171" formatCode="0.0000"/>
    <numFmt numFmtId="172" formatCode="_-[$$-540A]* #,##0.0_ ;_-[$$-540A]* \-#,##0.0\ ;_-[$$-540A]* &quot;-&quot;?_ ;_-@_ "/>
    <numFmt numFmtId="173" formatCode="_-[$$-540A]* #,##0.00_ ;_-[$$-540A]* \-#,##0.00\ ;_-[$$-540A]* &quot;-&quot;??_ ;_-@_ "/>
    <numFmt numFmtId="174" formatCode="_(* #,##0.00_);_(* \(#,##0.00\);_(* &quot;-&quot;??_);_(@_)"/>
    <numFmt numFmtId="175" formatCode="0.000"/>
    <numFmt numFmtId="176" formatCode="_(&quot;$&quot;* #,##0.000_);_(&quot;$&quot;* \(#,##0.000\);_(&quot;$&quot;* &quot;-&quot;???_);_(@_)"/>
    <numFmt numFmtId="177" formatCode="_(&quot;$&quot;* #,##0.0000_);_(&quot;$&quot;* \(#,##0.0000\);_(&quot;$&quot;* &quot;-&quot;??_);_(@_)"/>
    <numFmt numFmtId="178" formatCode="_(&quot;$&quot;* #,##0.0000_);_(&quot;$&quot;* \(#,##0.0000\);_(&quot;$&quot;* &quot;-&quot;????_);_(@_)"/>
  </numFmts>
  <fonts count="22" x14ac:knownFonts="1">
    <font>
      <sz val="11"/>
      <color theme="1"/>
      <name val="Aptos Narrow"/>
      <scheme val="minor"/>
    </font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i/>
      <sz val="11"/>
      <color theme="1"/>
      <name val="Aptos Narrow"/>
      <family val="2"/>
    </font>
    <font>
      <sz val="11"/>
      <name val="Aptos Narrow"/>
      <family val="2"/>
    </font>
    <font>
      <b/>
      <sz val="11"/>
      <color rgb="FF006100"/>
      <name val="Aptos Narrow"/>
      <family val="2"/>
    </font>
    <font>
      <b/>
      <sz val="11"/>
      <color rgb="FFFFFFFF"/>
      <name val="Aptos Narrow"/>
      <family val="2"/>
    </font>
    <font>
      <b/>
      <sz val="11"/>
      <color rgb="FF9C0006"/>
      <name val="Aptos Narrow"/>
      <family val="2"/>
    </font>
    <font>
      <sz val="11"/>
      <color rgb="FFFFFFFF"/>
      <name val="Aptos Narrow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1"/>
      <color rgb="FF000000"/>
      <name val="Arial"/>
      <family val="2"/>
    </font>
    <font>
      <b/>
      <sz val="12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theme="1"/>
      <name val="Aptos Narrow"/>
      <family val="2"/>
      <scheme val="minor"/>
    </font>
    <font>
      <sz val="11"/>
      <color theme="0"/>
      <name val="Aptos Narrow"/>
      <family val="2"/>
    </font>
    <font>
      <b/>
      <i/>
      <sz val="11"/>
      <color theme="1"/>
      <name val="Aptos Narrow"/>
      <family val="2"/>
    </font>
    <font>
      <sz val="11"/>
      <color theme="1"/>
      <name val="Arial"/>
      <family val="2"/>
    </font>
    <font>
      <sz val="11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3E5A1"/>
        <bgColor rgb="FFB3E5A1"/>
      </patternFill>
    </fill>
    <fill>
      <patternFill patternType="solid">
        <fgColor rgb="FFC6EFCE"/>
        <bgColor rgb="FFC6EFCE"/>
      </patternFill>
    </fill>
    <fill>
      <patternFill patternType="solid">
        <fgColor rgb="FF000066"/>
        <bgColor rgb="FF000066"/>
      </patternFill>
    </fill>
    <fill>
      <patternFill patternType="solid">
        <fgColor rgb="FF002060"/>
        <bgColor rgb="FF002060"/>
      </patternFill>
    </fill>
    <fill>
      <patternFill patternType="solid">
        <fgColor rgb="FFFFC7CE"/>
        <bgColor rgb="FFFFC7CE"/>
      </patternFill>
    </fill>
    <fill>
      <patternFill patternType="solid">
        <fgColor rgb="FFFAE2D5"/>
        <bgColor rgb="FFFAE2D5"/>
      </patternFill>
    </fill>
    <fill>
      <patternFill patternType="solid">
        <fgColor rgb="FFCAEDFB"/>
        <bgColor rgb="FFCAEDFB"/>
      </patternFill>
    </fill>
  </fills>
  <borders count="47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43" fontId="21" fillId="0" borderId="0" applyFont="0" applyFill="0" applyBorder="0" applyAlignment="0" applyProtection="0"/>
  </cellStyleXfs>
  <cellXfs count="251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2" borderId="2" xfId="0" applyFont="1" applyFill="1" applyBorder="1"/>
    <xf numFmtId="0" fontId="2" fillId="2" borderId="2" xfId="0" applyFont="1" applyFill="1" applyBorder="1"/>
    <xf numFmtId="0" fontId="1" fillId="2" borderId="2" xfId="0" applyFont="1" applyFill="1" applyBorder="1"/>
    <xf numFmtId="164" fontId="1" fillId="2" borderId="1" xfId="0" applyNumberFormat="1" applyFont="1" applyFill="1" applyBorder="1"/>
    <xf numFmtId="0" fontId="2" fillId="2" borderId="3" xfId="0" applyFont="1" applyFill="1" applyBorder="1"/>
    <xf numFmtId="164" fontId="2" fillId="2" borderId="3" xfId="0" applyNumberFormat="1" applyFont="1" applyFill="1" applyBorder="1"/>
    <xf numFmtId="165" fontId="1" fillId="2" borderId="1" xfId="0" applyNumberFormat="1" applyFont="1" applyFill="1" applyBorder="1"/>
    <xf numFmtId="165" fontId="2" fillId="2" borderId="3" xfId="0" applyNumberFormat="1" applyFont="1" applyFill="1" applyBorder="1"/>
    <xf numFmtId="0" fontId="2" fillId="2" borderId="4" xfId="0" applyFont="1" applyFill="1" applyBorder="1"/>
    <xf numFmtId="165" fontId="2" fillId="2" borderId="4" xfId="0" applyNumberFormat="1" applyFont="1" applyFill="1" applyBorder="1"/>
    <xf numFmtId="164" fontId="1" fillId="2" borderId="4" xfId="0" applyNumberFormat="1" applyFont="1" applyFill="1" applyBorder="1"/>
    <xf numFmtId="2" fontId="1" fillId="2" borderId="1" xfId="0" applyNumberFormat="1" applyFont="1" applyFill="1" applyBorder="1"/>
    <xf numFmtId="164" fontId="1" fillId="2" borderId="2" xfId="0" applyNumberFormat="1" applyFont="1" applyFill="1" applyBorder="1"/>
    <xf numFmtId="4" fontId="1" fillId="2" borderId="1" xfId="0" applyNumberFormat="1" applyFont="1" applyFill="1" applyBorder="1"/>
    <xf numFmtId="3" fontId="1" fillId="2" borderId="1" xfId="0" applyNumberFormat="1" applyFont="1" applyFill="1" applyBorder="1"/>
    <xf numFmtId="9" fontId="2" fillId="2" borderId="3" xfId="0" applyNumberFormat="1" applyFont="1" applyFill="1" applyBorder="1"/>
    <xf numFmtId="0" fontId="1" fillId="2" borderId="5" xfId="0" applyFont="1" applyFill="1" applyBorder="1"/>
    <xf numFmtId="0" fontId="2" fillId="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39" fontId="2" fillId="2" borderId="2" xfId="0" applyNumberFormat="1" applyFont="1" applyFill="1" applyBorder="1"/>
    <xf numFmtId="164" fontId="2" fillId="2" borderId="2" xfId="0" applyNumberFormat="1" applyFont="1" applyFill="1" applyBorder="1"/>
    <xf numFmtId="0" fontId="2" fillId="2" borderId="11" xfId="0" applyFont="1" applyFill="1" applyBorder="1"/>
    <xf numFmtId="39" fontId="1" fillId="2" borderId="1" xfId="0" applyNumberFormat="1" applyFont="1" applyFill="1" applyBorder="1"/>
    <xf numFmtId="39" fontId="1" fillId="2" borderId="2" xfId="0" applyNumberFormat="1" applyFont="1" applyFill="1" applyBorder="1"/>
    <xf numFmtId="0" fontId="1" fillId="2" borderId="11" xfId="0" applyFont="1" applyFill="1" applyBorder="1"/>
    <xf numFmtId="39" fontId="2" fillId="2" borderId="1" xfId="0" applyNumberFormat="1" applyFont="1" applyFill="1" applyBorder="1"/>
    <xf numFmtId="164" fontId="2" fillId="2" borderId="1" xfId="0" applyNumberFormat="1" applyFont="1" applyFill="1" applyBorder="1"/>
    <xf numFmtId="0" fontId="2" fillId="2" borderId="5" xfId="0" applyFont="1" applyFill="1" applyBorder="1"/>
    <xf numFmtId="39" fontId="2" fillId="2" borderId="3" xfId="0" applyNumberFormat="1" applyFont="1" applyFill="1" applyBorder="1"/>
    <xf numFmtId="0" fontId="2" fillId="2" borderId="12" xfId="0" applyFont="1" applyFill="1" applyBorder="1"/>
    <xf numFmtId="0" fontId="1" fillId="3" borderId="1" xfId="0" applyFont="1" applyFill="1" applyBorder="1"/>
    <xf numFmtId="2" fontId="1" fillId="3" borderId="1" xfId="0" applyNumberFormat="1" applyFont="1" applyFill="1" applyBorder="1"/>
    <xf numFmtId="0" fontId="2" fillId="3" borderId="1" xfId="0" applyFont="1" applyFill="1" applyBorder="1"/>
    <xf numFmtId="0" fontId="1" fillId="0" borderId="0" xfId="0" applyFont="1"/>
    <xf numFmtId="0" fontId="1" fillId="3" borderId="4" xfId="0" applyFont="1" applyFill="1" applyBorder="1"/>
    <xf numFmtId="0" fontId="2" fillId="3" borderId="4" xfId="0" applyFont="1" applyFill="1" applyBorder="1" applyAlignment="1">
      <alignment horizontal="right"/>
    </xf>
    <xf numFmtId="164" fontId="1" fillId="3" borderId="1" xfId="0" applyNumberFormat="1" applyFont="1" applyFill="1" applyBorder="1" applyAlignment="1">
      <alignment horizontal="right"/>
    </xf>
    <xf numFmtId="164" fontId="1" fillId="3" borderId="1" xfId="0" applyNumberFormat="1" applyFont="1" applyFill="1" applyBorder="1"/>
    <xf numFmtId="0" fontId="3" fillId="3" borderId="2" xfId="0" applyFont="1" applyFill="1" applyBorder="1"/>
    <xf numFmtId="0" fontId="2" fillId="3" borderId="2" xfId="0" applyFont="1" applyFill="1" applyBorder="1" applyAlignment="1">
      <alignment horizontal="right"/>
    </xf>
    <xf numFmtId="0" fontId="2" fillId="3" borderId="2" xfId="0" applyFont="1" applyFill="1" applyBorder="1"/>
    <xf numFmtId="0" fontId="2" fillId="3" borderId="4" xfId="0" applyFont="1" applyFill="1" applyBorder="1"/>
    <xf numFmtId="166" fontId="1" fillId="3" borderId="1" xfId="0" applyNumberFormat="1" applyFont="1" applyFill="1" applyBorder="1" applyAlignment="1">
      <alignment horizontal="right"/>
    </xf>
    <xf numFmtId="166" fontId="1" fillId="3" borderId="1" xfId="0" applyNumberFormat="1" applyFont="1" applyFill="1" applyBorder="1"/>
    <xf numFmtId="9" fontId="1" fillId="3" borderId="1" xfId="0" applyNumberFormat="1" applyFont="1" applyFill="1" applyBorder="1" applyAlignment="1">
      <alignment horizontal="right"/>
    </xf>
    <xf numFmtId="10" fontId="1" fillId="3" borderId="1" xfId="0" applyNumberFormat="1" applyFont="1" applyFill="1" applyBorder="1" applyAlignment="1">
      <alignment horizontal="right"/>
    </xf>
    <xf numFmtId="10" fontId="1" fillId="3" borderId="1" xfId="0" applyNumberFormat="1" applyFont="1" applyFill="1" applyBorder="1"/>
    <xf numFmtId="164" fontId="5" fillId="5" borderId="3" xfId="0" applyNumberFormat="1" applyFont="1" applyFill="1" applyBorder="1" applyAlignment="1">
      <alignment horizontal="right"/>
    </xf>
    <xf numFmtId="9" fontId="1" fillId="3" borderId="1" xfId="0" applyNumberFormat="1" applyFont="1" applyFill="1" applyBorder="1"/>
    <xf numFmtId="164" fontId="1" fillId="3" borderId="4" xfId="0" applyNumberFormat="1" applyFont="1" applyFill="1" applyBorder="1"/>
    <xf numFmtId="164" fontId="2" fillId="3" borderId="1" xfId="0" applyNumberFormat="1" applyFont="1" applyFill="1" applyBorder="1" applyAlignment="1">
      <alignment horizontal="right"/>
    </xf>
    <xf numFmtId="0" fontId="1" fillId="3" borderId="2" xfId="0" applyFont="1" applyFill="1" applyBorder="1"/>
    <xf numFmtId="164" fontId="1" fillId="3" borderId="2" xfId="0" applyNumberFormat="1" applyFont="1" applyFill="1" applyBorder="1" applyAlignment="1">
      <alignment horizontal="right"/>
    </xf>
    <xf numFmtId="166" fontId="1" fillId="3" borderId="1" xfId="0" applyNumberFormat="1" applyFont="1" applyFill="1" applyBorder="1" applyAlignment="1">
      <alignment horizontal="center"/>
    </xf>
    <xf numFmtId="0" fontId="1" fillId="3" borderId="14" xfId="0" applyFont="1" applyFill="1" applyBorder="1"/>
    <xf numFmtId="9" fontId="1" fillId="3" borderId="14" xfId="0" applyNumberFormat="1" applyFont="1" applyFill="1" applyBorder="1" applyAlignment="1">
      <alignment horizontal="center"/>
    </xf>
    <xf numFmtId="166" fontId="1" fillId="0" borderId="0" xfId="0" applyNumberFormat="1" applyFont="1"/>
    <xf numFmtId="0" fontId="2" fillId="3" borderId="3" xfId="0" applyFont="1" applyFill="1" applyBorder="1"/>
    <xf numFmtId="4" fontId="1" fillId="3" borderId="1" xfId="0" applyNumberFormat="1" applyFont="1" applyFill="1" applyBorder="1"/>
    <xf numFmtId="3" fontId="1" fillId="3" borderId="1" xfId="0" applyNumberFormat="1" applyFont="1" applyFill="1" applyBorder="1"/>
    <xf numFmtId="0" fontId="1" fillId="6" borderId="3" xfId="0" applyFont="1" applyFill="1" applyBorder="1"/>
    <xf numFmtId="0" fontId="1" fillId="3" borderId="17" xfId="0" applyFont="1" applyFill="1" applyBorder="1"/>
    <xf numFmtId="3" fontId="1" fillId="3" borderId="1" xfId="0" applyNumberFormat="1" applyFont="1" applyFill="1" applyBorder="1" applyAlignment="1">
      <alignment horizontal="right"/>
    </xf>
    <xf numFmtId="0" fontId="2" fillId="4" borderId="1" xfId="0" applyFont="1" applyFill="1" applyBorder="1" applyAlignment="1">
      <alignment horizontal="center"/>
    </xf>
    <xf numFmtId="0" fontId="2" fillId="3" borderId="5" xfId="0" applyFont="1" applyFill="1" applyBorder="1"/>
    <xf numFmtId="2" fontId="1" fillId="3" borderId="1" xfId="0" applyNumberFormat="1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9" fontId="7" fillId="8" borderId="3" xfId="0" applyNumberFormat="1" applyFont="1" applyFill="1" applyBorder="1" applyAlignment="1">
      <alignment horizontal="right"/>
    </xf>
    <xf numFmtId="9" fontId="5" fillId="5" borderId="3" xfId="0" applyNumberFormat="1" applyFont="1" applyFill="1" applyBorder="1" applyAlignment="1">
      <alignment horizontal="right"/>
    </xf>
    <xf numFmtId="0" fontId="2" fillId="0" borderId="0" xfId="0" applyFont="1"/>
    <xf numFmtId="2" fontId="1" fillId="3" borderId="1" xfId="0" applyNumberFormat="1" applyFont="1" applyFill="1" applyBorder="1" applyAlignment="1">
      <alignment horizontal="center"/>
    </xf>
    <xf numFmtId="9" fontId="1" fillId="3" borderId="1" xfId="0" applyNumberFormat="1" applyFont="1" applyFill="1" applyBorder="1" applyAlignment="1">
      <alignment horizontal="center"/>
    </xf>
    <xf numFmtId="1" fontId="1" fillId="3" borderId="1" xfId="0" applyNumberFormat="1" applyFont="1" applyFill="1" applyBorder="1"/>
    <xf numFmtId="0" fontId="2" fillId="4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wrapText="1"/>
    </xf>
    <xf numFmtId="9" fontId="1" fillId="3" borderId="14" xfId="0" applyNumberFormat="1" applyFont="1" applyFill="1" applyBorder="1" applyAlignment="1">
      <alignment horizontal="right"/>
    </xf>
    <xf numFmtId="9" fontId="8" fillId="3" borderId="1" xfId="0" applyNumberFormat="1" applyFont="1" applyFill="1" applyBorder="1" applyAlignment="1">
      <alignment horizontal="right"/>
    </xf>
    <xf numFmtId="164" fontId="2" fillId="3" borderId="3" xfId="0" applyNumberFormat="1" applyFont="1" applyFill="1" applyBorder="1" applyAlignment="1">
      <alignment horizontal="right"/>
    </xf>
    <xf numFmtId="0" fontId="6" fillId="3" borderId="1" xfId="0" applyFont="1" applyFill="1" applyBorder="1" applyAlignment="1">
      <alignment horizontal="center"/>
    </xf>
    <xf numFmtId="165" fontId="1" fillId="3" borderId="1" xfId="0" applyNumberFormat="1" applyFont="1" applyFill="1" applyBorder="1" applyAlignment="1">
      <alignment horizontal="right"/>
    </xf>
    <xf numFmtId="0" fontId="6" fillId="3" borderId="1" xfId="0" applyFont="1" applyFill="1" applyBorder="1"/>
    <xf numFmtId="165" fontId="2" fillId="3" borderId="3" xfId="0" applyNumberFormat="1" applyFont="1" applyFill="1" applyBorder="1" applyAlignment="1">
      <alignment horizontal="right"/>
    </xf>
    <xf numFmtId="0" fontId="1" fillId="0" borderId="19" xfId="0" applyFont="1" applyBorder="1"/>
    <xf numFmtId="165" fontId="2" fillId="3" borderId="4" xfId="0" applyNumberFormat="1" applyFont="1" applyFill="1" applyBorder="1" applyAlignment="1">
      <alignment horizontal="right"/>
    </xf>
    <xf numFmtId="164" fontId="7" fillId="8" borderId="3" xfId="0" applyNumberFormat="1" applyFont="1" applyFill="1" applyBorder="1" applyAlignment="1">
      <alignment horizontal="right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20" xfId="0" applyFont="1" applyBorder="1" applyAlignment="1">
      <alignment horizontal="center"/>
    </xf>
    <xf numFmtId="0" fontId="12" fillId="0" borderId="20" xfId="0" applyFont="1" applyBorder="1" applyAlignment="1">
      <alignment horizontal="center" wrapText="1"/>
    </xf>
    <xf numFmtId="0" fontId="12" fillId="0" borderId="0" xfId="0" applyFont="1"/>
    <xf numFmtId="167" fontId="10" fillId="0" borderId="0" xfId="0" applyNumberFormat="1" applyFont="1" applyAlignment="1">
      <alignment horizontal="right"/>
    </xf>
    <xf numFmtId="168" fontId="10" fillId="0" borderId="0" xfId="0" applyNumberFormat="1" applyFont="1" applyAlignment="1">
      <alignment horizontal="right"/>
    </xf>
    <xf numFmtId="169" fontId="10" fillId="0" borderId="0" xfId="0" applyNumberFormat="1" applyFont="1" applyAlignment="1">
      <alignment horizontal="right"/>
    </xf>
    <xf numFmtId="167" fontId="10" fillId="0" borderId="0" xfId="0" applyNumberFormat="1" applyFont="1"/>
    <xf numFmtId="168" fontId="10" fillId="0" borderId="0" xfId="0" applyNumberFormat="1" applyFont="1"/>
    <xf numFmtId="169" fontId="10" fillId="0" borderId="0" xfId="0" applyNumberFormat="1" applyFont="1"/>
    <xf numFmtId="0" fontId="10" fillId="0" borderId="20" xfId="0" applyFont="1" applyBorder="1"/>
    <xf numFmtId="0" fontId="11" fillId="0" borderId="20" xfId="0" applyFont="1" applyBorder="1"/>
    <xf numFmtId="0" fontId="11" fillId="5" borderId="20" xfId="0" applyFont="1" applyFill="1" applyBorder="1"/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20" xfId="0" applyFont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170" fontId="10" fillId="0" borderId="0" xfId="0" applyNumberFormat="1" applyFont="1" applyAlignment="1">
      <alignment horizontal="right" wrapText="1"/>
    </xf>
    <xf numFmtId="170" fontId="10" fillId="5" borderId="0" xfId="0" applyNumberFormat="1" applyFont="1" applyFill="1" applyAlignment="1">
      <alignment horizontal="right" wrapText="1"/>
    </xf>
    <xf numFmtId="0" fontId="1" fillId="2" borderId="1" xfId="0" applyFont="1" applyFill="1" applyBorder="1" applyAlignment="1">
      <alignment wrapText="1"/>
    </xf>
    <xf numFmtId="170" fontId="10" fillId="0" borderId="0" xfId="0" applyNumberFormat="1" applyFont="1" applyAlignment="1">
      <alignment horizontal="right"/>
    </xf>
    <xf numFmtId="171" fontId="10" fillId="0" borderId="0" xfId="0" applyNumberFormat="1" applyFont="1" applyAlignment="1">
      <alignment horizontal="right"/>
    </xf>
    <xf numFmtId="170" fontId="10" fillId="5" borderId="0" xfId="0" applyNumberFormat="1" applyFont="1" applyFill="1" applyAlignment="1">
      <alignment horizontal="right"/>
    </xf>
    <xf numFmtId="172" fontId="10" fillId="0" borderId="0" xfId="0" applyNumberFormat="1" applyFont="1" applyAlignment="1">
      <alignment horizontal="right"/>
    </xf>
    <xf numFmtId="172" fontId="10" fillId="5" borderId="0" xfId="0" applyNumberFormat="1" applyFont="1" applyFill="1" applyAlignment="1">
      <alignment horizontal="right"/>
    </xf>
    <xf numFmtId="2" fontId="10" fillId="0" borderId="0" xfId="0" applyNumberFormat="1" applyFont="1" applyAlignment="1">
      <alignment horizontal="right"/>
    </xf>
    <xf numFmtId="170" fontId="10" fillId="0" borderId="0" xfId="0" applyNumberFormat="1" applyFont="1"/>
    <xf numFmtId="170" fontId="12" fillId="0" borderId="20" xfId="0" applyNumberFormat="1" applyFont="1" applyBorder="1" applyAlignment="1">
      <alignment horizontal="center"/>
    </xf>
    <xf numFmtId="173" fontId="10" fillId="0" borderId="0" xfId="0" applyNumberFormat="1" applyFont="1"/>
    <xf numFmtId="0" fontId="9" fillId="0" borderId="20" xfId="0" applyFont="1" applyBorder="1"/>
    <xf numFmtId="0" fontId="12" fillId="0" borderId="20" xfId="0" applyFont="1" applyBorder="1"/>
    <xf numFmtId="0" fontId="10" fillId="2" borderId="1" xfId="0" applyFont="1" applyFill="1" applyBorder="1"/>
    <xf numFmtId="0" fontId="13" fillId="0" borderId="0" xfId="0" applyFont="1"/>
    <xf numFmtId="0" fontId="14" fillId="0" borderId="20" xfId="0" applyFont="1" applyBorder="1" applyAlignment="1">
      <alignment horizontal="center"/>
    </xf>
    <xf numFmtId="166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0" fontId="13" fillId="0" borderId="0" xfId="0" applyNumberFormat="1" applyFont="1" applyAlignment="1">
      <alignment horizontal="right"/>
    </xf>
    <xf numFmtId="10" fontId="13" fillId="0" borderId="0" xfId="0" applyNumberFormat="1" applyFont="1" applyAlignment="1">
      <alignment horizontal="center"/>
    </xf>
    <xf numFmtId="10" fontId="15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166" fontId="13" fillId="0" borderId="0" xfId="0" quotePrefix="1" applyNumberFormat="1" applyFont="1" applyAlignment="1">
      <alignment horizontal="center"/>
    </xf>
    <xf numFmtId="2" fontId="13" fillId="0" borderId="0" xfId="0" applyNumberFormat="1" applyFont="1"/>
    <xf numFmtId="166" fontId="13" fillId="0" borderId="0" xfId="0" applyNumberFormat="1" applyFont="1"/>
    <xf numFmtId="10" fontId="13" fillId="0" borderId="0" xfId="0" applyNumberFormat="1" applyFont="1"/>
    <xf numFmtId="0" fontId="16" fillId="0" borderId="20" xfId="0" applyFont="1" applyBorder="1" applyAlignment="1">
      <alignment horizontal="center"/>
    </xf>
    <xf numFmtId="174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right"/>
    </xf>
    <xf numFmtId="174" fontId="13" fillId="0" borderId="0" xfId="0" applyNumberFormat="1" applyFont="1"/>
    <xf numFmtId="0" fontId="13" fillId="0" borderId="23" xfId="0" applyFont="1" applyBorder="1"/>
    <xf numFmtId="10" fontId="13" fillId="0" borderId="24" xfId="0" applyNumberFormat="1" applyFont="1" applyBorder="1" applyAlignment="1">
      <alignment horizontal="right"/>
    </xf>
    <xf numFmtId="9" fontId="13" fillId="0" borderId="0" xfId="0" applyNumberFormat="1" applyFont="1" applyAlignment="1">
      <alignment horizontal="right"/>
    </xf>
    <xf numFmtId="2" fontId="13" fillId="0" borderId="24" xfId="0" applyNumberFormat="1" applyFont="1" applyBorder="1" applyAlignment="1">
      <alignment horizontal="right"/>
    </xf>
    <xf numFmtId="10" fontId="13" fillId="0" borderId="24" xfId="0" applyNumberFormat="1" applyFont="1" applyBorder="1"/>
    <xf numFmtId="0" fontId="16" fillId="5" borderId="23" xfId="0" applyFont="1" applyFill="1" applyBorder="1" applyAlignment="1">
      <alignment horizontal="center"/>
    </xf>
    <xf numFmtId="10" fontId="13" fillId="5" borderId="24" xfId="0" applyNumberFormat="1" applyFont="1" applyFill="1" applyBorder="1" applyAlignment="1">
      <alignment horizontal="right"/>
    </xf>
    <xf numFmtId="0" fontId="16" fillId="5" borderId="25" xfId="0" applyFont="1" applyFill="1" applyBorder="1" applyAlignment="1">
      <alignment horizontal="center"/>
    </xf>
    <xf numFmtId="10" fontId="13" fillId="5" borderId="26" xfId="0" applyNumberFormat="1" applyFont="1" applyFill="1" applyBorder="1" applyAlignment="1">
      <alignment horizontal="right"/>
    </xf>
    <xf numFmtId="0" fontId="14" fillId="0" borderId="20" xfId="0" applyFont="1" applyBorder="1" applyAlignment="1">
      <alignment horizontal="center" wrapText="1"/>
    </xf>
    <xf numFmtId="0" fontId="1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7" fillId="0" borderId="0" xfId="0" applyFont="1" applyAlignment="1">
      <alignment wrapText="1"/>
    </xf>
    <xf numFmtId="166" fontId="13" fillId="0" borderId="0" xfId="0" applyNumberFormat="1" applyFont="1" applyAlignment="1">
      <alignment horizontal="right"/>
    </xf>
    <xf numFmtId="0" fontId="16" fillId="0" borderId="0" xfId="0" applyFont="1"/>
    <xf numFmtId="10" fontId="16" fillId="0" borderId="0" xfId="0" applyNumberFormat="1" applyFont="1" applyAlignment="1">
      <alignment horizontal="right"/>
    </xf>
    <xf numFmtId="0" fontId="1" fillId="2" borderId="27" xfId="0" applyFont="1" applyFill="1" applyBorder="1"/>
    <xf numFmtId="0" fontId="2" fillId="2" borderId="28" xfId="0" applyFont="1" applyFill="1" applyBorder="1"/>
    <xf numFmtId="0" fontId="11" fillId="2" borderId="4" xfId="0" applyFont="1" applyFill="1" applyBorder="1"/>
    <xf numFmtId="175" fontId="1" fillId="2" borderId="29" xfId="0" applyNumberFormat="1" applyFont="1" applyFill="1" applyBorder="1"/>
    <xf numFmtId="175" fontId="1" fillId="2" borderId="4" xfId="0" applyNumberFormat="1" applyFont="1" applyFill="1" applyBorder="1"/>
    <xf numFmtId="0" fontId="17" fillId="0" borderId="0" xfId="0" applyFont="1"/>
    <xf numFmtId="164" fontId="1" fillId="2" borderId="27" xfId="0" applyNumberFormat="1" applyFont="1" applyFill="1" applyBorder="1"/>
    <xf numFmtId="175" fontId="1" fillId="0" borderId="0" xfId="0" applyNumberFormat="1" applyFont="1"/>
    <xf numFmtId="171" fontId="1" fillId="0" borderId="0" xfId="0" applyNumberFormat="1" applyFont="1"/>
    <xf numFmtId="164" fontId="2" fillId="2" borderId="30" xfId="0" applyNumberFormat="1" applyFont="1" applyFill="1" applyBorder="1"/>
    <xf numFmtId="2" fontId="1" fillId="0" borderId="0" xfId="0" applyNumberFormat="1" applyFont="1"/>
    <xf numFmtId="0" fontId="1" fillId="2" borderId="30" xfId="0" applyFont="1" applyFill="1" applyBorder="1"/>
    <xf numFmtId="0" fontId="1" fillId="2" borderId="3" xfId="0" applyFont="1" applyFill="1" applyBorder="1"/>
    <xf numFmtId="164" fontId="1" fillId="2" borderId="30" xfId="0" applyNumberFormat="1" applyFont="1" applyFill="1" applyBorder="1"/>
    <xf numFmtId="164" fontId="1" fillId="2" borderId="3" xfId="0" applyNumberFormat="1" applyFont="1" applyFill="1" applyBorder="1"/>
    <xf numFmtId="164" fontId="1" fillId="2" borderId="28" xfId="0" applyNumberFormat="1" applyFont="1" applyFill="1" applyBorder="1"/>
    <xf numFmtId="164" fontId="2" fillId="2" borderId="12" xfId="0" applyNumberFormat="1" applyFont="1" applyFill="1" applyBorder="1"/>
    <xf numFmtId="164" fontId="1" fillId="0" borderId="0" xfId="0" applyNumberFormat="1" applyFont="1" applyAlignment="1">
      <alignment horizontal="center"/>
    </xf>
    <xf numFmtId="164" fontId="2" fillId="2" borderId="31" xfId="0" applyNumberFormat="1" applyFont="1" applyFill="1" applyBorder="1"/>
    <xf numFmtId="164" fontId="2" fillId="2" borderId="32" xfId="0" applyNumberFormat="1" applyFont="1" applyFill="1" applyBorder="1"/>
    <xf numFmtId="164" fontId="1" fillId="2" borderId="15" xfId="0" applyNumberFormat="1" applyFont="1" applyFill="1" applyBorder="1"/>
    <xf numFmtId="164" fontId="1" fillId="2" borderId="25" xfId="0" applyNumberFormat="1" applyFont="1" applyFill="1" applyBorder="1"/>
    <xf numFmtId="164" fontId="1" fillId="2" borderId="20" xfId="0" applyNumberFormat="1" applyFont="1" applyFill="1" applyBorder="1"/>
    <xf numFmtId="9" fontId="1" fillId="0" borderId="0" xfId="0" applyNumberFormat="1" applyFont="1"/>
    <xf numFmtId="164" fontId="2" fillId="2" borderId="33" xfId="0" applyNumberFormat="1" applyFont="1" applyFill="1" applyBorder="1"/>
    <xf numFmtId="164" fontId="2" fillId="2" borderId="34" xfId="0" applyNumberFormat="1" applyFont="1" applyFill="1" applyBorder="1"/>
    <xf numFmtId="0" fontId="2" fillId="2" borderId="6" xfId="0" applyFont="1" applyFill="1" applyBorder="1"/>
    <xf numFmtId="4" fontId="1" fillId="2" borderId="6" xfId="0" applyNumberFormat="1" applyFont="1" applyFill="1" applyBorder="1"/>
    <xf numFmtId="164" fontId="1" fillId="0" borderId="0" xfId="0" applyNumberFormat="1" applyFont="1"/>
    <xf numFmtId="9" fontId="2" fillId="0" borderId="0" xfId="0" applyNumberFormat="1" applyFont="1"/>
    <xf numFmtId="176" fontId="1" fillId="0" borderId="0" xfId="0" applyNumberFormat="1" applyFont="1"/>
    <xf numFmtId="0" fontId="11" fillId="2" borderId="2" xfId="0" applyFont="1" applyFill="1" applyBorder="1"/>
    <xf numFmtId="0" fontId="1" fillId="0" borderId="20" xfId="0" applyFont="1" applyBorder="1"/>
    <xf numFmtId="0" fontId="1" fillId="5" borderId="1" xfId="0" applyFont="1" applyFill="1" applyBorder="1"/>
    <xf numFmtId="0" fontId="17" fillId="5" borderId="0" xfId="0" applyFont="1" applyFill="1"/>
    <xf numFmtId="164" fontId="1" fillId="5" borderId="0" xfId="0" applyNumberFormat="1" applyFont="1" applyFill="1"/>
    <xf numFmtId="10" fontId="1" fillId="0" borderId="1" xfId="0" applyNumberFormat="1" applyFont="1" applyBorder="1"/>
    <xf numFmtId="164" fontId="1" fillId="0" borderId="20" xfId="0" applyNumberFormat="1" applyFont="1" applyBorder="1"/>
    <xf numFmtId="177" fontId="18" fillId="0" borderId="0" xfId="0" applyNumberFormat="1" applyFont="1"/>
    <xf numFmtId="164" fontId="2" fillId="0" borderId="35" xfId="0" applyNumberFormat="1" applyFont="1" applyBorder="1"/>
    <xf numFmtId="165" fontId="1" fillId="0" borderId="19" xfId="0" applyNumberFormat="1" applyFont="1" applyBorder="1"/>
    <xf numFmtId="178" fontId="1" fillId="0" borderId="0" xfId="0" applyNumberFormat="1" applyFont="1"/>
    <xf numFmtId="0" fontId="19" fillId="9" borderId="1" xfId="0" applyFont="1" applyFill="1" applyBorder="1"/>
    <xf numFmtId="0" fontId="1" fillId="0" borderId="36" xfId="0" applyFont="1" applyBorder="1"/>
    <xf numFmtId="0" fontId="19" fillId="10" borderId="1" xfId="0" applyFont="1" applyFill="1" applyBorder="1"/>
    <xf numFmtId="0" fontId="1" fillId="0" borderId="37" xfId="0" applyFont="1" applyBorder="1"/>
    <xf numFmtId="175" fontId="1" fillId="2" borderId="30" xfId="0" applyNumberFormat="1" applyFont="1" applyFill="1" applyBorder="1"/>
    <xf numFmtId="175" fontId="1" fillId="2" borderId="3" xfId="0" applyNumberFormat="1" applyFont="1" applyFill="1" applyBorder="1"/>
    <xf numFmtId="164" fontId="2" fillId="2" borderId="27" xfId="0" applyNumberFormat="1" applyFont="1" applyFill="1" applyBorder="1"/>
    <xf numFmtId="175" fontId="17" fillId="0" borderId="0" xfId="0" applyNumberFormat="1" applyFont="1"/>
    <xf numFmtId="10" fontId="1" fillId="0" borderId="0" xfId="0" applyNumberFormat="1" applyFont="1"/>
    <xf numFmtId="0" fontId="1" fillId="2" borderId="6" xfId="0" applyFont="1" applyFill="1" applyBorder="1"/>
    <xf numFmtId="164" fontId="1" fillId="2" borderId="6" xfId="0" applyNumberFormat="1" applyFont="1" applyFill="1" applyBorder="1"/>
    <xf numFmtId="0" fontId="2" fillId="2" borderId="34" xfId="0" applyFont="1" applyFill="1" applyBorder="1"/>
    <xf numFmtId="0" fontId="10" fillId="2" borderId="2" xfId="0" applyFont="1" applyFill="1" applyBorder="1"/>
    <xf numFmtId="0" fontId="1" fillId="0" borderId="38" xfId="0" applyFont="1" applyBorder="1"/>
    <xf numFmtId="0" fontId="1" fillId="4" borderId="39" xfId="0" applyFont="1" applyFill="1" applyBorder="1"/>
    <xf numFmtId="0" fontId="1" fillId="4" borderId="40" xfId="0" applyFont="1" applyFill="1" applyBorder="1"/>
    <xf numFmtId="0" fontId="20" fillId="4" borderId="41" xfId="0" applyFont="1" applyFill="1" applyBorder="1"/>
    <xf numFmtId="0" fontId="1" fillId="0" borderId="42" xfId="0" applyFont="1" applyBorder="1"/>
    <xf numFmtId="10" fontId="17" fillId="0" borderId="43" xfId="0" applyNumberFormat="1" applyFont="1" applyBorder="1"/>
    <xf numFmtId="0" fontId="1" fillId="0" borderId="44" xfId="0" applyFont="1" applyBorder="1"/>
    <xf numFmtId="164" fontId="1" fillId="0" borderId="45" xfId="0" applyNumberFormat="1" applyFont="1" applyBorder="1"/>
    <xf numFmtId="10" fontId="17" fillId="0" borderId="46" xfId="0" applyNumberFormat="1" applyFont="1" applyBorder="1"/>
    <xf numFmtId="164" fontId="17" fillId="0" borderId="0" xfId="0" applyNumberFormat="1" applyFont="1"/>
    <xf numFmtId="0" fontId="17" fillId="2" borderId="0" xfId="0" applyFont="1" applyFill="1"/>
    <xf numFmtId="164" fontId="17" fillId="2" borderId="0" xfId="0" applyNumberFormat="1" applyFont="1" applyFill="1"/>
    <xf numFmtId="43" fontId="10" fillId="0" borderId="0" xfId="1" applyFont="1"/>
    <xf numFmtId="0" fontId="2" fillId="2" borderId="6" xfId="0" applyFont="1" applyFill="1" applyBorder="1" applyAlignment="1">
      <alignment horizontal="center" wrapText="1"/>
    </xf>
    <xf numFmtId="0" fontId="4" fillId="0" borderId="9" xfId="0" applyFont="1" applyBorder="1"/>
    <xf numFmtId="0" fontId="4" fillId="0" borderId="10" xfId="0" applyFont="1" applyBorder="1"/>
    <xf numFmtId="0" fontId="2" fillId="2" borderId="7" xfId="0" applyFont="1" applyFill="1" applyBorder="1" applyAlignment="1">
      <alignment horizontal="center"/>
    </xf>
    <xf numFmtId="0" fontId="4" fillId="0" borderId="8" xfId="0" applyFont="1" applyBorder="1"/>
    <xf numFmtId="0" fontId="2" fillId="3" borderId="15" xfId="0" applyFont="1" applyFill="1" applyBorder="1" applyAlignment="1">
      <alignment horizontal="center"/>
    </xf>
    <xf numFmtId="0" fontId="4" fillId="0" borderId="18" xfId="0" applyFont="1" applyBorder="1"/>
    <xf numFmtId="0" fontId="4" fillId="0" borderId="17" xfId="0" applyFont="1" applyBorder="1"/>
    <xf numFmtId="0" fontId="1" fillId="3" borderId="15" xfId="0" applyFont="1" applyFill="1" applyBorder="1"/>
    <xf numFmtId="0" fontId="2" fillId="4" borderId="7" xfId="0" applyFont="1" applyFill="1" applyBorder="1" applyAlignment="1">
      <alignment horizontal="center"/>
    </xf>
    <xf numFmtId="0" fontId="4" fillId="0" borderId="13" xfId="0" applyFont="1" applyBorder="1"/>
    <xf numFmtId="0" fontId="6" fillId="7" borderId="15" xfId="0" applyFont="1" applyFill="1" applyBorder="1" applyAlignment="1">
      <alignment horizontal="center"/>
    </xf>
    <xf numFmtId="0" fontId="4" fillId="0" borderId="16" xfId="0" applyFont="1" applyBorder="1"/>
    <xf numFmtId="0" fontId="12" fillId="0" borderId="20" xfId="0" applyFont="1" applyBorder="1" applyAlignment="1">
      <alignment horizontal="center"/>
    </xf>
    <xf numFmtId="0" fontId="4" fillId="0" borderId="20" xfId="0" applyFont="1" applyBorder="1"/>
    <xf numFmtId="0" fontId="11" fillId="0" borderId="20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/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4" fillId="0" borderId="20" xfId="0" applyFont="1" applyBorder="1" applyAlignment="1">
      <alignment horizontal="center"/>
    </xf>
    <xf numFmtId="2" fontId="13" fillId="0" borderId="0" xfId="0" applyNumberFormat="1" applyFont="1" applyAlignment="1">
      <alignment horizontal="center"/>
    </xf>
    <xf numFmtId="0" fontId="16" fillId="0" borderId="21" xfId="0" applyFont="1" applyBorder="1" applyAlignment="1">
      <alignment horizontal="center"/>
    </xf>
    <xf numFmtId="0" fontId="4" fillId="0" borderId="22" xfId="0" applyFont="1" applyBorder="1"/>
    <xf numFmtId="0" fontId="16" fillId="0" borderId="20" xfId="0" applyFont="1" applyBorder="1" applyAlignment="1">
      <alignment horizontal="center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horizontal="center"/>
    </xf>
    <xf numFmtId="0" fontId="10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77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FCF descontado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'Growth Projections'!$H$2</c:f>
              <c:strCache>
                <c:ptCount val="1"/>
                <c:pt idx="0">
                  <c:v>Pesimista</c:v>
                </c:pt>
              </c:strCache>
            </c:strRef>
          </c:tx>
          <c:spPr>
            <a:ln cmpd="sng">
              <a:solidFill>
                <a:srgbClr val="156082"/>
              </a:solidFill>
            </a:ln>
          </c:spPr>
          <c:marker>
            <c:symbol val="none"/>
          </c:marker>
          <c:cat>
            <c:numRef>
              <c:f>'Growth Projections'!$G$3:$G$7</c:f>
              <c:numCache>
                <c:formatCode>General</c:formatCode>
                <c:ptCount val="5"/>
                <c:pt idx="0">
                  <c:v>2026</c:v>
                </c:pt>
                <c:pt idx="1">
                  <c:v>2027</c:v>
                </c:pt>
                <c:pt idx="2">
                  <c:v>2028</c:v>
                </c:pt>
                <c:pt idx="3">
                  <c:v>2029</c:v>
                </c:pt>
                <c:pt idx="4">
                  <c:v>2030</c:v>
                </c:pt>
              </c:numCache>
            </c:numRef>
          </c:cat>
          <c:val>
            <c:numRef>
              <c:f>'Growth Projections'!$H$3:$H$7</c:f>
              <c:numCache>
                <c:formatCode>_("$"* #\ ##0.00_);_("$"* \(#\ ##0.00\);_("$"* "-"??_);_(@_)</c:formatCode>
                <c:ptCount val="5"/>
                <c:pt idx="0">
                  <c:v>72037.33559140109</c:v>
                </c:pt>
                <c:pt idx="1">
                  <c:v>93873.733416612435</c:v>
                </c:pt>
                <c:pt idx="2">
                  <c:v>114567.91874625688</c:v>
                </c:pt>
                <c:pt idx="3">
                  <c:v>130602.75502645709</c:v>
                </c:pt>
                <c:pt idx="4">
                  <c:v>138583.05218409147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3-4B52-9B6F-169BAA7ACE7F}"/>
            </c:ext>
          </c:extLst>
        </c:ser>
        <c:ser>
          <c:idx val="1"/>
          <c:order val="1"/>
          <c:tx>
            <c:strRef>
              <c:f>'Growth Projections'!$I$2</c:f>
              <c:strCache>
                <c:ptCount val="1"/>
                <c:pt idx="0">
                  <c:v>Intermedio</c:v>
                </c:pt>
              </c:strCache>
            </c:strRef>
          </c:tx>
          <c:spPr>
            <a:ln cmpd="sng">
              <a:solidFill>
                <a:srgbClr val="E97132"/>
              </a:solidFill>
            </a:ln>
          </c:spPr>
          <c:marker>
            <c:symbol val="none"/>
          </c:marker>
          <c:cat>
            <c:numRef>
              <c:f>'Growth Projections'!$G$3:$G$7</c:f>
              <c:numCache>
                <c:formatCode>General</c:formatCode>
                <c:ptCount val="5"/>
                <c:pt idx="0">
                  <c:v>2026</c:v>
                </c:pt>
                <c:pt idx="1">
                  <c:v>2027</c:v>
                </c:pt>
                <c:pt idx="2">
                  <c:v>2028</c:v>
                </c:pt>
                <c:pt idx="3">
                  <c:v>2029</c:v>
                </c:pt>
                <c:pt idx="4">
                  <c:v>2030</c:v>
                </c:pt>
              </c:numCache>
            </c:numRef>
          </c:cat>
          <c:val>
            <c:numRef>
              <c:f>'Growth Projections'!$I$3:$I$7</c:f>
              <c:numCache>
                <c:formatCode>_("$"* #\ ##0.00_);_("$"* \(#\ ##0.00\);_("$"* "-"??_);_(@_)</c:formatCode>
                <c:ptCount val="5"/>
                <c:pt idx="0">
                  <c:v>81338.484748306379</c:v>
                </c:pt>
                <c:pt idx="1">
                  <c:v>106103.43324585936</c:v>
                </c:pt>
                <c:pt idx="2">
                  <c:v>130217.61118923906</c:v>
                </c:pt>
                <c:pt idx="3">
                  <c:v>149808.6708122628</c:v>
                </c:pt>
                <c:pt idx="4">
                  <c:v>160849.73362817787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E3-4B52-9B6F-169BAA7ACE7F}"/>
            </c:ext>
          </c:extLst>
        </c:ser>
        <c:ser>
          <c:idx val="2"/>
          <c:order val="2"/>
          <c:tx>
            <c:strRef>
              <c:f>'Growth Projections'!$J$2</c:f>
              <c:strCache>
                <c:ptCount val="1"/>
                <c:pt idx="0">
                  <c:v>Positivo</c:v>
                </c:pt>
              </c:strCache>
            </c:strRef>
          </c:tx>
          <c:spPr>
            <a:ln cmpd="sng">
              <a:solidFill>
                <a:srgbClr val="196B24"/>
              </a:solidFill>
            </a:ln>
          </c:spPr>
          <c:marker>
            <c:symbol val="none"/>
          </c:marker>
          <c:cat>
            <c:numRef>
              <c:f>'Growth Projections'!$G$3:$G$7</c:f>
              <c:numCache>
                <c:formatCode>General</c:formatCode>
                <c:ptCount val="5"/>
                <c:pt idx="0">
                  <c:v>2026</c:v>
                </c:pt>
                <c:pt idx="1">
                  <c:v>2027</c:v>
                </c:pt>
                <c:pt idx="2">
                  <c:v>2028</c:v>
                </c:pt>
                <c:pt idx="3">
                  <c:v>2029</c:v>
                </c:pt>
                <c:pt idx="4">
                  <c:v>2030</c:v>
                </c:pt>
              </c:numCache>
            </c:numRef>
          </c:cat>
          <c:val>
            <c:numRef>
              <c:f>'Growth Projections'!$J$3:$J$7</c:f>
              <c:numCache>
                <c:formatCode>_("$"* #\ ##0.00_);_("$"* \(#\ ##0.00\);_("$"* "-"??_);_(@_)</c:formatCode>
                <c:ptCount val="5"/>
                <c:pt idx="0">
                  <c:v>84407.03205716431</c:v>
                </c:pt>
                <c:pt idx="1">
                  <c:v>109908.45437426366</c:v>
                </c:pt>
                <c:pt idx="2">
                  <c:v>135109.42297484056</c:v>
                </c:pt>
                <c:pt idx="3">
                  <c:v>155679.87814298295</c:v>
                </c:pt>
                <c:pt idx="4">
                  <c:v>167588.12586884288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E3-4B52-9B6F-169BAA7AC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057359"/>
        <c:axId val="903074699"/>
      </c:lineChart>
      <c:catAx>
        <c:axId val="1064057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Año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R"/>
          </a:p>
        </c:txPr>
        <c:crossAx val="903074699"/>
        <c:crosses val="autoZero"/>
        <c:auto val="1"/>
        <c:lblAlgn val="ctr"/>
        <c:lblOffset val="100"/>
        <c:noMultiLvlLbl val="1"/>
      </c:catAx>
      <c:valAx>
        <c:axId val="903074699"/>
        <c:scaling>
          <c:orientation val="minMax"/>
          <c:min val="5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_(&quot;$&quot;* #\ ##0.00_);_(&quot;$&quot;* \(#\ ##0.00\);_(&quot;$&quot;* &quot;-&quot;??_);_(@_)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R"/>
          </a:p>
        </c:txPr>
        <c:crossAx val="10640573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382125" cy="3333750"/>
    <xdr:pic>
      <xdr:nvPicPr>
        <xdr:cNvPr id="2" name="image4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180975</xdr:rowOff>
    </xdr:from>
    <xdr:ext cx="9105900" cy="5095875"/>
    <xdr:pic>
      <xdr:nvPicPr>
        <xdr:cNvPr id="3" name="image5.pn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180975</xdr:rowOff>
    </xdr:from>
    <xdr:ext cx="9105900" cy="5095875"/>
    <xdr:pic>
      <xdr:nvPicPr>
        <xdr:cNvPr id="4" name="image7.png" title="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180975</xdr:rowOff>
    </xdr:from>
    <xdr:ext cx="9105900" cy="6696075"/>
    <xdr:pic>
      <xdr:nvPicPr>
        <xdr:cNvPr id="5" name="image2.png" title="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180975</xdr:rowOff>
    </xdr:from>
    <xdr:ext cx="9010650" cy="5048250"/>
    <xdr:pic>
      <xdr:nvPicPr>
        <xdr:cNvPr id="6" name="image3.png" title="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180975</xdr:rowOff>
    </xdr:from>
    <xdr:ext cx="9010650" cy="5048250"/>
    <xdr:pic>
      <xdr:nvPicPr>
        <xdr:cNvPr id="7" name="image9.png" title="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38100</xdr:rowOff>
    </xdr:from>
    <xdr:ext cx="9010650" cy="4876800"/>
    <xdr:pic>
      <xdr:nvPicPr>
        <xdr:cNvPr id="8" name="image6.png" title="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-95250</xdr:rowOff>
    </xdr:from>
    <xdr:ext cx="5048250" cy="7524750"/>
    <xdr:pic>
      <xdr:nvPicPr>
        <xdr:cNvPr id="9" name="image1.png" title="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</xdr:row>
      <xdr:rowOff>-66675</xdr:rowOff>
    </xdr:from>
    <xdr:ext cx="17030700" cy="7524750"/>
    <xdr:pic>
      <xdr:nvPicPr>
        <xdr:cNvPr id="10" name="image8.png" title="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523875</xdr:colOff>
      <xdr:row>34</xdr:row>
      <xdr:rowOff>0</xdr:rowOff>
    </xdr:from>
    <xdr:ext cx="6829425" cy="41052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34</xdr:row>
      <xdr:rowOff>-28575</xdr:rowOff>
    </xdr:from>
    <xdr:ext cx="5667375" cy="4133850"/>
    <xdr:pic>
      <xdr:nvPicPr>
        <xdr:cNvPr id="2" name="image11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6</xdr:row>
      <xdr:rowOff>142875</xdr:rowOff>
    </xdr:from>
    <xdr:ext cx="17030700" cy="7524750"/>
    <xdr:pic>
      <xdr:nvPicPr>
        <xdr:cNvPr id="2" name="image8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48</xdr:row>
      <xdr:rowOff>19050</xdr:rowOff>
    </xdr:from>
    <xdr:ext cx="8362950" cy="27717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333375</xdr:colOff>
      <xdr:row>9</xdr:row>
      <xdr:rowOff>76200</xdr:rowOff>
    </xdr:from>
    <xdr:ext cx="9172575" cy="17907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759713" y="2889413"/>
          <a:ext cx="9172575" cy="17811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1. Gráficos de Proyecciones de Crecimiento (Ingresos, Flujos de Caja, etc.)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Gráfico de Líneas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</a:t>
          </a:r>
          <a:endParaRPr sz="1400"/>
        </a:p>
        <a:p>
          <a:pPr marL="0" lvl="1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Uso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Ideal para mostrar cómo los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ingresos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o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flujos de caja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proyectados crecen a lo largo del tiempo. Es útil para ilustrar el crecimiento año tras año y la tendencia general.</a:t>
          </a:r>
          <a:endParaRPr sz="1400"/>
        </a:p>
        <a:p>
          <a:pPr marL="0" lvl="1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Por qué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Los gráficos de líneas muestran muy bien la progresión temporal de los datos y son fáciles de entender cuando estás proyectando valores en el futuro.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Ejemplo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Un gráfico que muestra los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ingresos proyectados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de Wealthfront desde 2024 hasta 2030. Cada punto en la línea representa los ingresos para un año específico.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Cómo hacerlo en Excel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Selecciona las celdas con los años y los valores de ingresos o flujos de caja, ve a "Insertar", y elige "Gráfico de Líneas".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228600</xdr:colOff>
      <xdr:row>19</xdr:row>
      <xdr:rowOff>180975</xdr:rowOff>
    </xdr:from>
    <xdr:ext cx="9210675" cy="16573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740663" y="2956088"/>
          <a:ext cx="9210675" cy="16478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2. Gráfico de Barras Apiladas (Desglose de la Valoración)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Uso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Desglosar el valor total de la empresa, como el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valor terminal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y los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flujos de caja proyectados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, para mostrar cómo diferentes factores contribuyen a la valoración total.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Por qué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Las barras apiladas ayudan a entender cómo se distribuyen los componentes de la valoración total (por ejemplo, cuánto de la valoración proviene de los flujos de caja a corto plazo y cuánto de los flujos a largo plazo).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457200</xdr:colOff>
      <xdr:row>30</xdr:row>
      <xdr:rowOff>142875</xdr:rowOff>
    </xdr:from>
    <xdr:ext cx="9086850" cy="10287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807338" y="3270413"/>
          <a:ext cx="9077325" cy="10191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3. Gráfico de Sensibilidad de Precios/Valor de la Empresa (Gráfico de Dispersión)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Uso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Mostrar cómo la valoración de la empresa varía bajo diferentes escenarios de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tasa de descuento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y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tasa de crecimiento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Por qué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Un gráfico de dispersión te permite observar cómo las dos variables afectan el valor de la empresa y si existe alguna correlación o patrón en los datos.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438150</xdr:colOff>
      <xdr:row>37</xdr:row>
      <xdr:rowOff>123825</xdr:rowOff>
    </xdr:from>
    <xdr:ext cx="9048750" cy="11715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821625" y="3198975"/>
          <a:ext cx="9048750" cy="1162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4. Gráfico de Barras o Columnas (Comparación de Escenarios)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Uso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Comparar los diferentes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precios de la acción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o las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valoraciones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de la empresa según las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proyecciones de flujo de caja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y el </a:t>
          </a: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análisis de sensibilidad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Por qué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: Las barras son fáciles de leer y comparan distintos escenarios (por ejemplo, cómo varía la valoración según las diferentes tasas de crecimiento y tasas de descuento).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381000</xdr:colOff>
      <xdr:row>8</xdr:row>
      <xdr:rowOff>142875</xdr:rowOff>
    </xdr:from>
    <xdr:ext cx="5715000" cy="3533775"/>
    <xdr:graphicFrame macro="">
      <xdr:nvGraphicFramePr>
        <xdr:cNvPr id="21453050" name="Chart 1" title="Gráfico">
          <a:extLst>
            <a:ext uri="{FF2B5EF4-FFF2-40B4-BE49-F238E27FC236}">
              <a16:creationId xmlns:a16="http://schemas.microsoft.com/office/drawing/2014/main" id="{00000000-0008-0000-0E00-0000FA584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8b5963314ce66ae/Desktop/WACC%20Wealthfront%20.xlsx" TargetMode="External"/><Relationship Id="rId1" Type="http://schemas.openxmlformats.org/officeDocument/2006/relationships/externalLinkPath" Target="https://d.docs.live.net/18b5963314ce66ae/Desktop/WACC%20Wealthfront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ACC Inicial"/>
      <sheetName val="WACC Correcto"/>
      <sheetName val="Rating Sintetico"/>
      <sheetName val="WACC 2"/>
      <sheetName val="Respaldos"/>
    </sheetNames>
    <sheetDataSet>
      <sheetData sheetId="0" refreshError="1"/>
      <sheetData sheetId="1" refreshError="1"/>
      <sheetData sheetId="2" refreshError="1">
        <row r="4">
          <cell r="D4">
            <v>2.2031909901454716</v>
          </cell>
          <cell r="F4">
            <v>7.7000000000000002E-3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3"/>
  <cols>
    <col min="1" max="1" width="3.33203125" customWidth="1"/>
    <col min="2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2.6640625" defaultRowHeight="15" customHeight="1" x14ac:dyDescent="0.3"/>
  <cols>
    <col min="1" max="1" width="3.33203125" customWidth="1"/>
    <col min="2" max="2" width="113.6640625" customWidth="1"/>
    <col min="3" max="3" width="14.44140625" customWidth="1"/>
    <col min="4" max="4" width="12.44140625" customWidth="1"/>
    <col min="5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3" t="s">
        <v>2</v>
      </c>
      <c r="C5" s="4">
        <v>2024</v>
      </c>
      <c r="D5" s="4">
        <v>2025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" t="s">
        <v>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4" t="s">
        <v>4</v>
      </c>
      <c r="C7" s="5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 t="s">
        <v>5</v>
      </c>
      <c r="C8" s="6">
        <v>86721</v>
      </c>
      <c r="D8" s="6">
        <v>142860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 t="s">
        <v>6</v>
      </c>
      <c r="C9" s="6">
        <v>6461</v>
      </c>
      <c r="D9" s="6">
        <v>9083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 t="s">
        <v>7</v>
      </c>
      <c r="C10" s="6">
        <v>69466</v>
      </c>
      <c r="D10" s="6">
        <v>118518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 t="s">
        <v>8</v>
      </c>
      <c r="C11" s="6">
        <v>20181</v>
      </c>
      <c r="D11" s="6">
        <v>29127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 t="s">
        <v>9</v>
      </c>
      <c r="C12" s="6">
        <v>9024</v>
      </c>
      <c r="D12" s="6">
        <v>28057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 t="s">
        <v>10</v>
      </c>
      <c r="C13" s="6">
        <v>8708</v>
      </c>
      <c r="D13" s="6">
        <v>18805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7" t="s">
        <v>11</v>
      </c>
      <c r="C14" s="8">
        <f t="shared" ref="C14:D14" si="0">SUM(C8:C13)</f>
        <v>200561</v>
      </c>
      <c r="D14" s="8">
        <f t="shared" si="0"/>
        <v>346450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 t="s">
        <v>12</v>
      </c>
      <c r="C15" s="6">
        <v>0</v>
      </c>
      <c r="D15" s="6">
        <v>60194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 t="s">
        <v>13</v>
      </c>
      <c r="C16" s="6">
        <v>14295</v>
      </c>
      <c r="D16" s="6">
        <v>11229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 t="s">
        <v>14</v>
      </c>
      <c r="C17" s="6">
        <v>13479</v>
      </c>
      <c r="D17" s="6">
        <v>14723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 t="s">
        <v>15</v>
      </c>
      <c r="C18" s="9">
        <v>2817</v>
      </c>
      <c r="D18" s="9">
        <v>2610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7" t="s">
        <v>15</v>
      </c>
      <c r="C19" s="10">
        <f t="shared" ref="C19:D19" si="1">SUM(C15:C18)</f>
        <v>30591</v>
      </c>
      <c r="D19" s="10">
        <f t="shared" si="1"/>
        <v>88756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7" t="s">
        <v>16</v>
      </c>
      <c r="C20" s="10">
        <f t="shared" ref="C20:D20" si="2">+C14+C19</f>
        <v>231152</v>
      </c>
      <c r="D20" s="10">
        <f t="shared" si="2"/>
        <v>435206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4" t="s">
        <v>17</v>
      </c>
      <c r="C21" s="5"/>
      <c r="D21" s="5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4" t="s">
        <v>18</v>
      </c>
      <c r="C22" s="5"/>
      <c r="D22" s="5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 t="s">
        <v>19</v>
      </c>
      <c r="C23" s="6">
        <v>3180</v>
      </c>
      <c r="D23" s="6">
        <v>6467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 t="s">
        <v>20</v>
      </c>
      <c r="C24" s="6">
        <v>5570</v>
      </c>
      <c r="D24" s="6">
        <v>7517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 t="s">
        <v>21</v>
      </c>
      <c r="C25" s="6">
        <v>2325</v>
      </c>
      <c r="D25" s="6">
        <v>9452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 t="s">
        <v>22</v>
      </c>
      <c r="C26" s="6">
        <v>69413</v>
      </c>
      <c r="D26" s="6">
        <v>118174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 t="s">
        <v>23</v>
      </c>
      <c r="C27" s="6">
        <v>3397</v>
      </c>
      <c r="D27" s="6">
        <v>3556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 t="s">
        <v>24</v>
      </c>
      <c r="C28" s="6">
        <v>46953</v>
      </c>
      <c r="D28" s="6">
        <v>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 t="s">
        <v>25</v>
      </c>
      <c r="C29" s="6">
        <v>9024</v>
      </c>
      <c r="D29" s="6">
        <v>28057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7" t="s">
        <v>26</v>
      </c>
      <c r="C30" s="8">
        <f t="shared" ref="C30:D30" si="3">SUM(C23:C29)</f>
        <v>139862</v>
      </c>
      <c r="D30" s="8">
        <f t="shared" si="3"/>
        <v>173223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 t="s">
        <v>27</v>
      </c>
      <c r="C31" s="9">
        <v>13351</v>
      </c>
      <c r="D31" s="9">
        <v>9796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 t="s">
        <v>28</v>
      </c>
      <c r="C32" s="9">
        <v>23921</v>
      </c>
      <c r="D32" s="9">
        <v>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 t="s">
        <v>29</v>
      </c>
      <c r="C33" s="9">
        <v>7675</v>
      </c>
      <c r="D33" s="9">
        <v>9651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1" t="s">
        <v>30</v>
      </c>
      <c r="C34" s="12">
        <f t="shared" ref="C34:D34" si="4">SUM(C31:C33)</f>
        <v>44947</v>
      </c>
      <c r="D34" s="12">
        <f t="shared" si="4"/>
        <v>19447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7" t="s">
        <v>31</v>
      </c>
      <c r="C35" s="10">
        <f t="shared" ref="C35:D35" si="5">+C30+C34</f>
        <v>184809</v>
      </c>
      <c r="D35" s="10">
        <f t="shared" si="5"/>
        <v>192670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 t="s">
        <v>35</v>
      </c>
      <c r="C40" s="6">
        <v>227198</v>
      </c>
      <c r="D40" s="6">
        <v>227198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1" t="s">
        <v>36</v>
      </c>
      <c r="C41" s="13"/>
      <c r="D41" s="13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 t="s">
        <v>37</v>
      </c>
      <c r="C42" s="6"/>
      <c r="D42" s="6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 t="s">
        <v>38</v>
      </c>
      <c r="C43" s="6">
        <v>4</v>
      </c>
      <c r="D43" s="6">
        <v>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 t="s">
        <v>39</v>
      </c>
      <c r="C44" s="6">
        <v>0</v>
      </c>
      <c r="D44" s="6">
        <v>-12593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 t="s">
        <v>40</v>
      </c>
      <c r="C45" s="6">
        <v>113523</v>
      </c>
      <c r="D45" s="6">
        <v>127862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 t="s">
        <v>41</v>
      </c>
      <c r="C46" s="6">
        <v>-294382</v>
      </c>
      <c r="D46" s="6">
        <v>-99935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7" t="s">
        <v>42</v>
      </c>
      <c r="C47" s="8">
        <f t="shared" ref="C47:D47" si="6">SUM(C43:C46)</f>
        <v>-180855</v>
      </c>
      <c r="D47" s="8">
        <f t="shared" si="6"/>
        <v>15338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7" t="s">
        <v>43</v>
      </c>
      <c r="C48" s="8">
        <f t="shared" ref="C48:D48" si="7">+C35+C40+C47</f>
        <v>231152</v>
      </c>
      <c r="D48" s="8">
        <f t="shared" si="7"/>
        <v>435206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conditionalFormatting sqref="C47:D47">
    <cfRule type="cellIs" dxfId="76" priority="1" operator="equal">
      <formula>0</formula>
    </cfRule>
    <cfRule type="cellIs" dxfId="75" priority="2" operator="lessThan">
      <formula>0</formula>
    </cfRule>
    <cfRule type="cellIs" dxfId="74" priority="3" operator="greaterThan">
      <formula>0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D22" sqref="D22"/>
    </sheetView>
  </sheetViews>
  <sheetFormatPr baseColWidth="10" defaultColWidth="12.6640625" defaultRowHeight="15" customHeight="1" x14ac:dyDescent="0.3"/>
  <cols>
    <col min="1" max="1" width="3.33203125" customWidth="1"/>
    <col min="2" max="2" width="71.109375" customWidth="1"/>
    <col min="3" max="4" width="12.44140625" customWidth="1"/>
    <col min="5" max="5" width="13.109375" customWidth="1"/>
    <col min="6" max="26" width="9.109375" customWidth="1"/>
  </cols>
  <sheetData>
    <row r="1" spans="1:26" ht="14.25" customHeight="1" x14ac:dyDescent="0.3">
      <c r="A1" s="1"/>
      <c r="B1" s="1"/>
      <c r="C1" s="1"/>
      <c r="D1" s="1"/>
      <c r="E1" s="1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" t="s">
        <v>44</v>
      </c>
      <c r="C2" s="1"/>
      <c r="D2" s="1"/>
      <c r="E2" s="1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 t="s">
        <v>1</v>
      </c>
      <c r="C3" s="1"/>
      <c r="D3" s="1"/>
      <c r="E3" s="1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3" t="s">
        <v>2</v>
      </c>
      <c r="C5" s="4">
        <v>2024</v>
      </c>
      <c r="D5" s="4">
        <v>2025</v>
      </c>
      <c r="E5" s="14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1" t="s">
        <v>45</v>
      </c>
      <c r="C6" s="11"/>
      <c r="D6" s="11"/>
      <c r="E6" s="1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 t="s">
        <v>46</v>
      </c>
      <c r="C7" s="6">
        <v>154800</v>
      </c>
      <c r="D7" s="6">
        <v>230946</v>
      </c>
      <c r="E7" s="1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 t="s">
        <v>47</v>
      </c>
      <c r="C8" s="6">
        <v>56095</v>
      </c>
      <c r="D8" s="6">
        <v>73045</v>
      </c>
      <c r="E8" s="14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 t="s">
        <v>48</v>
      </c>
      <c r="C9" s="6">
        <v>5819</v>
      </c>
      <c r="D9" s="6">
        <v>4868</v>
      </c>
      <c r="E9" s="1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4" t="s">
        <v>49</v>
      </c>
      <c r="C10" s="8">
        <f>SUM(C7:C9)</f>
        <v>216714</v>
      </c>
      <c r="D10" s="8">
        <f>+SUM(D7:D9)</f>
        <v>308859</v>
      </c>
      <c r="E10" s="14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1" t="s">
        <v>50</v>
      </c>
      <c r="C11" s="13"/>
      <c r="D11" s="13"/>
      <c r="E11" s="1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 t="s">
        <v>51</v>
      </c>
      <c r="C12" s="6">
        <v>22898</v>
      </c>
      <c r="D12" s="6">
        <v>30964</v>
      </c>
      <c r="E12" s="14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 t="s">
        <v>52</v>
      </c>
      <c r="C13" s="6">
        <v>57558</v>
      </c>
      <c r="D13" s="6">
        <v>64515</v>
      </c>
      <c r="E13" s="14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 t="s">
        <v>53</v>
      </c>
      <c r="C14" s="6">
        <v>23766</v>
      </c>
      <c r="D14" s="6">
        <v>29092</v>
      </c>
      <c r="E14" s="14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 t="s">
        <v>54</v>
      </c>
      <c r="C15" s="6">
        <v>21150</v>
      </c>
      <c r="D15" s="6">
        <v>52196</v>
      </c>
      <c r="E15" s="14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5" t="s">
        <v>55</v>
      </c>
      <c r="C16" s="15">
        <v>9767</v>
      </c>
      <c r="D16" s="15">
        <v>10619</v>
      </c>
      <c r="E16" s="14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2" t="s">
        <v>56</v>
      </c>
      <c r="C17" s="8">
        <f t="shared" ref="C17:D17" si="0">SUM(C12:C16)</f>
        <v>135139</v>
      </c>
      <c r="D17" s="8">
        <f t="shared" si="0"/>
        <v>187386</v>
      </c>
      <c r="E17" s="14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 t="s">
        <v>57</v>
      </c>
      <c r="C18" s="6">
        <v>2000</v>
      </c>
      <c r="D18" s="6">
        <v>2810</v>
      </c>
      <c r="E18" s="14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5" t="s">
        <v>58</v>
      </c>
      <c r="C19" s="15">
        <v>986</v>
      </c>
      <c r="D19" s="15">
        <v>-20566</v>
      </c>
      <c r="E19" s="1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2" t="s">
        <v>59</v>
      </c>
      <c r="C20" s="8">
        <f t="shared" ref="C20:D20" si="1">+C10-C17-C18-C19</f>
        <v>78589</v>
      </c>
      <c r="D20" s="8">
        <f t="shared" si="1"/>
        <v>139229</v>
      </c>
      <c r="E20" s="14"/>
      <c r="F20" s="1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 t="s">
        <v>60</v>
      </c>
      <c r="C21" s="6">
        <v>1623</v>
      </c>
      <c r="D21" s="6">
        <v>-55218</v>
      </c>
      <c r="E21" s="14">
        <f>D20*0.18</f>
        <v>25061.219999999998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7" t="s">
        <v>61</v>
      </c>
      <c r="C22" s="8">
        <f t="shared" ref="C22:D22" si="2">+C20-C21</f>
        <v>76966</v>
      </c>
      <c r="D22" s="8">
        <f t="shared" si="2"/>
        <v>194447</v>
      </c>
      <c r="E22" s="14">
        <f>D20-E21</f>
        <v>114167.78</v>
      </c>
      <c r="F22" s="1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6"/>
      <c r="D23" s="6"/>
      <c r="E23" s="1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" t="s">
        <v>62</v>
      </c>
      <c r="C24" s="16"/>
      <c r="D24" s="16"/>
      <c r="E24" s="1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 t="s">
        <v>63</v>
      </c>
      <c r="C25" s="6">
        <v>2.06</v>
      </c>
      <c r="D25" s="6">
        <v>4.99</v>
      </c>
      <c r="E25" s="14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 t="s">
        <v>64</v>
      </c>
      <c r="C26" s="6">
        <v>0.54</v>
      </c>
      <c r="D26" s="6">
        <v>1.31</v>
      </c>
      <c r="E26" s="14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2" t="s">
        <v>65</v>
      </c>
      <c r="C27" s="17"/>
      <c r="D27" s="17"/>
      <c r="E27" s="1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 t="s">
        <v>63</v>
      </c>
      <c r="C28" s="17">
        <v>37297221</v>
      </c>
      <c r="D28" s="17">
        <v>38990556</v>
      </c>
      <c r="E28" s="1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 t="s">
        <v>64</v>
      </c>
      <c r="C29" s="17">
        <v>143878296</v>
      </c>
      <c r="D29" s="17">
        <v>138660318</v>
      </c>
      <c r="E29" s="1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4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4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7" t="s">
        <v>66</v>
      </c>
      <c r="C32" s="18">
        <f t="shared" ref="C32:D32" si="3">+C21/C20</f>
        <v>2.065174515517439E-2</v>
      </c>
      <c r="D32" s="18">
        <f t="shared" si="3"/>
        <v>-0.39659840981404737</v>
      </c>
      <c r="E32" s="14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4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4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4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4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4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4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4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4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4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4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4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4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4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4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4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4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4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4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4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4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4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4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4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4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4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4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4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4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4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4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4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4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4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4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4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4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4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4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4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4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4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4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4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4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4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4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4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4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4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4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4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4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4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4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4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4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4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4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4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4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4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4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4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4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4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4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4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4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4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4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4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4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4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4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4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4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4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4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4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4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4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4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4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4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4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4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4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4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4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4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4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4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4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4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4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4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4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4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4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4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4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4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4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4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4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4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4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4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4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4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4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4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4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4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4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4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4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4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4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4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4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4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4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4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4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4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4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4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4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4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4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4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4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4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4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4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4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4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4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4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4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4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4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4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4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4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4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4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4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4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4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4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4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4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4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4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4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4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4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4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4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4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4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4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4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4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4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4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4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4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4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4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4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4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4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4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4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4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4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4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4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4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4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4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4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4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4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4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4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4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4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4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4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4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4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4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4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4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4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4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4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4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4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4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4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4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4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4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4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4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4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4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4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4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4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4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4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4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4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4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4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4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4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4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4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4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4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4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4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4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4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4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4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4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4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4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4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4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4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4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4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4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4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4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4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4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4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4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4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4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4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4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4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4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4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4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4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4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4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4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4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4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4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4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4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4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4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4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4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4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4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4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4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4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4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4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4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4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4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4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4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4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4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4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4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4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4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4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4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4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4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4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4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4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4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4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4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4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4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4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4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4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4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4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4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4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4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4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4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4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4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4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4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4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4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4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4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4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4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4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4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4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4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4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4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4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4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4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4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4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4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4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4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4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4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4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4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4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4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4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4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4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4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4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4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4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4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4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4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4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4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4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4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4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4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4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4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4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4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4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4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4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4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4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4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4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4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4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4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4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4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4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4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4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4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4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4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4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4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4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4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4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4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4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4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4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4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4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4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4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4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4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4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4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4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4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4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4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4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4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4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4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4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4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4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4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4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4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4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4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4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4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4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4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4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4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4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4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4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4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4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4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4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4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4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4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4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4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4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4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4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4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4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4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4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4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4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4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4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4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4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4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4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4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4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4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4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4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4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4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4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4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4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4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4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4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4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4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4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4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4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4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4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4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4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4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4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4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4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4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4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4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4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4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4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4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4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4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4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4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4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4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4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4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4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4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4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4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4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4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4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4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4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4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4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4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4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4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4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4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4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4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4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4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4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4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4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4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4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4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4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4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4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4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4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4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4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4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4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4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4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4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4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4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4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4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4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4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4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4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4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4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4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4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4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4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4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4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4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4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4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4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4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4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4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4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4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4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4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4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4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4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4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4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4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4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4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4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4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4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4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4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4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4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4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4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4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4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4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4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4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4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4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4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4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4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4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4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4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4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4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4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4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4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4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4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4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4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4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4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4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4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4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4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4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4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4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4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4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4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4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4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4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4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4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4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4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4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4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4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4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4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4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4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4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4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4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4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4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4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4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4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4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4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4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4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4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4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4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4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4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4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4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4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4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4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4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4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4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4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4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4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4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4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4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4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4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4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4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4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4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4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4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4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4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4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4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4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4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4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4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4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4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4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4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4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4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4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4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4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4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4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4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4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4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4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4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4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4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4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4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4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4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4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4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4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4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4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4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4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4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4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4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4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4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4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4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4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4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4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4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4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4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4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4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4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4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4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4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4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4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4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4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4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4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4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4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4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4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4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4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4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4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4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4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4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4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4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4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4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4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4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4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4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4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4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4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4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4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4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4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4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4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4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4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4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4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4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4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4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4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4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4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4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4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4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4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4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4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4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4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4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4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4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4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4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4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4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4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4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4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4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4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4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4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4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4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4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4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4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4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4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4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4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4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4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4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4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4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4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4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4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4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4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4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4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4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4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4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4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4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4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4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4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4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4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4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4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4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4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4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4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4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4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4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4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4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4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4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4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4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4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4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4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4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4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4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4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4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4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4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4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4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4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4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4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4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4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4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4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4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4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4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4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4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4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4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4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4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4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4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4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4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4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4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4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4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4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4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4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4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4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4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4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4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4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4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4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4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4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4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4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4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4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4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4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4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4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4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4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4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4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4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4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4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4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4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4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4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4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4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4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4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4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4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4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4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4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4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4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4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4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4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4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4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4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4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4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4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4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4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4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4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4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4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4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4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4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4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4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4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4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4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4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4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4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4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4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4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4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4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4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4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4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4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4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4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4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4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4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4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4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4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4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4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conditionalFormatting sqref="C10:D10">
    <cfRule type="cellIs" dxfId="73" priority="1" operator="equal">
      <formula>0</formula>
    </cfRule>
    <cfRule type="cellIs" dxfId="72" priority="2" operator="lessThan">
      <formula>0</formula>
    </cfRule>
    <cfRule type="cellIs" dxfId="71" priority="3" operator="greaterThan">
      <formula>0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:D17">
    <cfRule type="cellIs" dxfId="70" priority="5" operator="equal">
      <formula>0</formula>
    </cfRule>
    <cfRule type="cellIs" dxfId="69" priority="6" operator="lessThan">
      <formula>0</formula>
    </cfRule>
    <cfRule type="cellIs" dxfId="68" priority="7" operator="greaterThan">
      <formula>0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0:D20">
    <cfRule type="cellIs" dxfId="67" priority="9" operator="equal">
      <formula>0</formula>
    </cfRule>
    <cfRule type="cellIs" dxfId="66" priority="10" operator="lessThan">
      <formula>0</formula>
    </cfRule>
    <cfRule type="cellIs" dxfId="65" priority="11" operator="greaterThan">
      <formula>0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2:D22">
    <cfRule type="cellIs" dxfId="64" priority="13" operator="equal">
      <formula>0</formula>
    </cfRule>
    <cfRule type="cellIs" dxfId="63" priority="14" operator="lessThan">
      <formula>0</formula>
    </cfRule>
    <cfRule type="cellIs" dxfId="62" priority="15" operator="greaterThan">
      <formula>0</formula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:D32">
    <cfRule type="cellIs" dxfId="61" priority="17" operator="equal">
      <formula>0</formula>
    </cfRule>
    <cfRule type="cellIs" dxfId="60" priority="18" operator="lessThan">
      <formula>0</formula>
    </cfRule>
    <cfRule type="cellIs" dxfId="59" priority="19" operator="greaterThan">
      <formula>0</formula>
    </cfRule>
    <cfRule type="cellIs" dxfId="58" priority="20" operator="lessThan">
      <formula>0</formula>
    </cfRule>
    <cfRule type="cellIs" dxfId="57" priority="21" operator="greaterThan">
      <formula>0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B23" sqref="B23"/>
    </sheetView>
  </sheetViews>
  <sheetFormatPr baseColWidth="10" defaultColWidth="12.6640625" defaultRowHeight="15" customHeight="1" x14ac:dyDescent="0.3"/>
  <cols>
    <col min="1" max="1" width="3.33203125" customWidth="1"/>
    <col min="2" max="2" width="67" customWidth="1"/>
    <col min="3" max="3" width="16.88671875" customWidth="1"/>
    <col min="4" max="4" width="20.33203125" customWidth="1"/>
    <col min="5" max="6" width="1.6640625" customWidth="1"/>
    <col min="7" max="7" width="13.44140625" customWidth="1"/>
    <col min="8" max="8" width="9.109375" customWidth="1"/>
    <col min="9" max="9" width="1.44140625" customWidth="1"/>
    <col min="10" max="10" width="13.6640625" customWidth="1"/>
    <col min="11" max="11" width="1.109375" customWidth="1"/>
    <col min="12" max="12" width="12.44140625" customWidth="1"/>
    <col min="13" max="13" width="1.33203125" customWidth="1"/>
    <col min="14" max="14" width="15.6640625" customWidth="1"/>
    <col min="15" max="15" width="1.6640625" customWidth="1"/>
    <col min="16" max="16" width="15.88671875" customWidth="1"/>
    <col min="17" max="26" width="9.109375" customWidth="1"/>
  </cols>
  <sheetData>
    <row r="1" spans="1:26" ht="14.25" customHeight="1" x14ac:dyDescent="0.3">
      <c r="A1" s="1"/>
      <c r="B1" s="1"/>
      <c r="C1" s="1"/>
      <c r="D1" s="1"/>
      <c r="E1" s="1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" t="s">
        <v>67</v>
      </c>
      <c r="C2" s="1"/>
      <c r="D2" s="1"/>
      <c r="E2" s="1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 t="s">
        <v>68</v>
      </c>
      <c r="C3" s="1"/>
      <c r="D3" s="1"/>
      <c r="E3" s="1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9"/>
      <c r="F4" s="1"/>
      <c r="G4" s="1"/>
      <c r="H4" s="1"/>
      <c r="I4" s="1"/>
      <c r="J4" s="1"/>
      <c r="K4" s="1"/>
      <c r="L4" s="222" t="s">
        <v>69</v>
      </c>
      <c r="M4" s="1"/>
      <c r="N4" s="1"/>
      <c r="O4" s="1"/>
      <c r="P4" s="222" t="s">
        <v>70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225" t="s">
        <v>71</v>
      </c>
      <c r="D5" s="226"/>
      <c r="E5" s="19"/>
      <c r="F5" s="1"/>
      <c r="G5" s="225" t="s">
        <v>72</v>
      </c>
      <c r="H5" s="226"/>
      <c r="I5" s="1"/>
      <c r="J5" s="222" t="s">
        <v>73</v>
      </c>
      <c r="K5" s="1"/>
      <c r="L5" s="223"/>
      <c r="M5" s="1"/>
      <c r="N5" s="222" t="s">
        <v>74</v>
      </c>
      <c r="O5" s="1"/>
      <c r="P5" s="223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20" t="s">
        <v>75</v>
      </c>
      <c r="D6" s="20" t="s">
        <v>76</v>
      </c>
      <c r="E6" s="19"/>
      <c r="F6" s="1"/>
      <c r="G6" s="21" t="s">
        <v>75</v>
      </c>
      <c r="H6" s="21" t="s">
        <v>76</v>
      </c>
      <c r="I6" s="1"/>
      <c r="J6" s="224"/>
      <c r="K6" s="1"/>
      <c r="L6" s="224"/>
      <c r="M6" s="1"/>
      <c r="N6" s="224"/>
      <c r="O6" s="1"/>
      <c r="P6" s="224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4" t="s">
        <v>77</v>
      </c>
      <c r="C7" s="22">
        <v>69914359</v>
      </c>
      <c r="D7" s="23">
        <v>227198</v>
      </c>
      <c r="E7" s="24"/>
      <c r="F7" s="4"/>
      <c r="G7" s="22">
        <v>36897306</v>
      </c>
      <c r="H7" s="23">
        <v>4</v>
      </c>
      <c r="I7" s="4"/>
      <c r="J7" s="23">
        <v>0</v>
      </c>
      <c r="K7" s="4"/>
      <c r="L7" s="23">
        <v>98793</v>
      </c>
      <c r="M7" s="4"/>
      <c r="N7" s="23">
        <v>-371348</v>
      </c>
      <c r="O7" s="4"/>
      <c r="P7" s="23">
        <v>-272551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 t="s">
        <v>78</v>
      </c>
      <c r="C8" s="25">
        <v>0</v>
      </c>
      <c r="D8" s="6">
        <v>0</v>
      </c>
      <c r="E8" s="19"/>
      <c r="F8" s="1"/>
      <c r="G8" s="25">
        <v>0</v>
      </c>
      <c r="H8" s="6">
        <v>0</v>
      </c>
      <c r="I8" s="1"/>
      <c r="J8" s="6">
        <v>0</v>
      </c>
      <c r="K8" s="1"/>
      <c r="L8" s="6">
        <v>0</v>
      </c>
      <c r="M8" s="1"/>
      <c r="N8" s="6">
        <v>76966</v>
      </c>
      <c r="O8" s="1"/>
      <c r="P8" s="6">
        <v>76966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 t="s">
        <v>79</v>
      </c>
      <c r="C9" s="25">
        <v>0</v>
      </c>
      <c r="D9" s="6">
        <v>0</v>
      </c>
      <c r="E9" s="19"/>
      <c r="F9" s="1"/>
      <c r="G9" s="25">
        <v>2041617</v>
      </c>
      <c r="H9" s="6">
        <v>0</v>
      </c>
      <c r="I9" s="1"/>
      <c r="J9" s="6">
        <v>0</v>
      </c>
      <c r="K9" s="1"/>
      <c r="L9" s="6">
        <v>1079</v>
      </c>
      <c r="M9" s="1"/>
      <c r="N9" s="6">
        <v>0</v>
      </c>
      <c r="O9" s="1"/>
      <c r="P9" s="6">
        <v>1079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 t="s">
        <v>80</v>
      </c>
      <c r="C10" s="25">
        <v>0</v>
      </c>
      <c r="D10" s="6">
        <v>0</v>
      </c>
      <c r="E10" s="19"/>
      <c r="F10" s="1"/>
      <c r="G10" s="25">
        <v>21632</v>
      </c>
      <c r="H10" s="6">
        <v>0</v>
      </c>
      <c r="I10" s="1"/>
      <c r="J10" s="6">
        <v>0</v>
      </c>
      <c r="K10" s="1"/>
      <c r="L10" s="6">
        <v>0</v>
      </c>
      <c r="M10" s="1"/>
      <c r="N10" s="6">
        <v>0</v>
      </c>
      <c r="O10" s="1"/>
      <c r="P10" s="6">
        <v>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 t="s">
        <v>81</v>
      </c>
      <c r="C11" s="25">
        <v>0</v>
      </c>
      <c r="D11" s="6">
        <v>0</v>
      </c>
      <c r="E11" s="19"/>
      <c r="F11" s="1"/>
      <c r="G11" s="25">
        <v>0</v>
      </c>
      <c r="H11" s="6">
        <v>0</v>
      </c>
      <c r="I11" s="1"/>
      <c r="J11" s="6">
        <v>0</v>
      </c>
      <c r="K11" s="1"/>
      <c r="L11" s="6">
        <v>396</v>
      </c>
      <c r="M11" s="1"/>
      <c r="N11" s="6">
        <v>0</v>
      </c>
      <c r="O11" s="1"/>
      <c r="P11" s="6">
        <v>396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5" t="s">
        <v>82</v>
      </c>
      <c r="C12" s="26">
        <v>0</v>
      </c>
      <c r="D12" s="15">
        <v>0</v>
      </c>
      <c r="E12" s="27"/>
      <c r="F12" s="5"/>
      <c r="G12" s="26">
        <v>0</v>
      </c>
      <c r="H12" s="15">
        <v>0</v>
      </c>
      <c r="I12" s="5"/>
      <c r="J12" s="15">
        <v>0</v>
      </c>
      <c r="K12" s="5"/>
      <c r="L12" s="15">
        <v>13255</v>
      </c>
      <c r="M12" s="5"/>
      <c r="N12" s="15">
        <v>0</v>
      </c>
      <c r="O12" s="5"/>
      <c r="P12" s="15">
        <v>13255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2" t="s">
        <v>83</v>
      </c>
      <c r="C13" s="28">
        <f t="shared" ref="C13:D13" si="0">SUM(C7:C12)</f>
        <v>69914359</v>
      </c>
      <c r="D13" s="29">
        <f t="shared" si="0"/>
        <v>227198</v>
      </c>
      <c r="E13" s="30"/>
      <c r="F13" s="2"/>
      <c r="G13" s="28">
        <f t="shared" ref="G13:H13" si="1">SUM(G7:G12)</f>
        <v>38960555</v>
      </c>
      <c r="H13" s="29">
        <f t="shared" si="1"/>
        <v>4</v>
      </c>
      <c r="I13" s="2"/>
      <c r="J13" s="29">
        <f>SUM(J7:J12)</f>
        <v>0</v>
      </c>
      <c r="K13" s="2"/>
      <c r="L13" s="29">
        <f>SUM(L7:L12)</f>
        <v>113523</v>
      </c>
      <c r="M13" s="2"/>
      <c r="N13" s="29">
        <f>SUM(N7:N12)</f>
        <v>-294382</v>
      </c>
      <c r="O13" s="2"/>
      <c r="P13" s="29">
        <f>SUM(P7:P12)</f>
        <v>-180855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 t="s">
        <v>78</v>
      </c>
      <c r="C14" s="25">
        <v>0</v>
      </c>
      <c r="D14" s="6">
        <v>0</v>
      </c>
      <c r="E14" s="19"/>
      <c r="F14" s="1"/>
      <c r="G14" s="25">
        <v>0</v>
      </c>
      <c r="H14" s="6">
        <v>0</v>
      </c>
      <c r="I14" s="1"/>
      <c r="J14" s="6">
        <v>0</v>
      </c>
      <c r="K14" s="1"/>
      <c r="L14" s="6">
        <v>0</v>
      </c>
      <c r="M14" s="1"/>
      <c r="N14" s="6">
        <v>194447</v>
      </c>
      <c r="O14" s="1"/>
      <c r="P14" s="6">
        <v>194447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 t="s">
        <v>79</v>
      </c>
      <c r="C15" s="25">
        <v>0</v>
      </c>
      <c r="D15" s="6">
        <v>0</v>
      </c>
      <c r="E15" s="19"/>
      <c r="F15" s="1"/>
      <c r="G15" s="25">
        <v>2568044</v>
      </c>
      <c r="H15" s="6">
        <v>0</v>
      </c>
      <c r="I15" s="1"/>
      <c r="J15" s="6">
        <v>0</v>
      </c>
      <c r="K15" s="1"/>
      <c r="L15" s="6">
        <v>4919</v>
      </c>
      <c r="M15" s="1"/>
      <c r="N15" s="6">
        <v>0</v>
      </c>
      <c r="O15" s="1"/>
      <c r="P15" s="6">
        <v>4919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 t="s">
        <v>84</v>
      </c>
      <c r="C16" s="25">
        <v>0</v>
      </c>
      <c r="D16" s="6">
        <v>0</v>
      </c>
      <c r="E16" s="19"/>
      <c r="F16" s="1"/>
      <c r="G16" s="25">
        <v>4000</v>
      </c>
      <c r="H16" s="6">
        <v>0</v>
      </c>
      <c r="I16" s="1"/>
      <c r="J16" s="6">
        <v>0</v>
      </c>
      <c r="K16" s="1"/>
      <c r="L16" s="6">
        <v>0</v>
      </c>
      <c r="M16" s="1"/>
      <c r="N16" s="6">
        <v>0</v>
      </c>
      <c r="O16" s="1"/>
      <c r="P16" s="6">
        <v>0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 t="s">
        <v>85</v>
      </c>
      <c r="C17" s="25">
        <v>0</v>
      </c>
      <c r="D17" s="6">
        <v>0</v>
      </c>
      <c r="E17" s="19"/>
      <c r="F17" s="1"/>
      <c r="G17" s="25">
        <v>-3352224</v>
      </c>
      <c r="H17" s="6">
        <v>0</v>
      </c>
      <c r="I17" s="1"/>
      <c r="J17" s="6">
        <v>-35287</v>
      </c>
      <c r="K17" s="1"/>
      <c r="L17" s="6">
        <v>-1750</v>
      </c>
      <c r="M17" s="1"/>
      <c r="N17" s="6">
        <v>0</v>
      </c>
      <c r="O17" s="1"/>
      <c r="P17" s="6">
        <v>-37037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 t="s">
        <v>86</v>
      </c>
      <c r="C18" s="25">
        <v>0</v>
      </c>
      <c r="D18" s="6">
        <v>0</v>
      </c>
      <c r="E18" s="19"/>
      <c r="F18" s="1"/>
      <c r="G18" s="25">
        <v>1929731</v>
      </c>
      <c r="H18" s="6">
        <v>0</v>
      </c>
      <c r="I18" s="1"/>
      <c r="J18" s="6">
        <v>22694</v>
      </c>
      <c r="K18" s="1"/>
      <c r="L18" s="6">
        <v>0</v>
      </c>
      <c r="M18" s="1"/>
      <c r="N18" s="6">
        <v>0</v>
      </c>
      <c r="O18" s="1"/>
      <c r="P18" s="6">
        <v>22694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 t="s">
        <v>81</v>
      </c>
      <c r="C19" s="25">
        <v>0</v>
      </c>
      <c r="D19" s="6">
        <v>0</v>
      </c>
      <c r="E19" s="19"/>
      <c r="F19" s="1"/>
      <c r="G19" s="25">
        <v>0</v>
      </c>
      <c r="H19" s="6">
        <v>0</v>
      </c>
      <c r="I19" s="1"/>
      <c r="J19" s="6">
        <v>0</v>
      </c>
      <c r="K19" s="1"/>
      <c r="L19" s="6">
        <v>169</v>
      </c>
      <c r="M19" s="1"/>
      <c r="N19" s="6">
        <v>0</v>
      </c>
      <c r="O19" s="1"/>
      <c r="P19" s="6">
        <v>169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 t="s">
        <v>82</v>
      </c>
      <c r="C20" s="25">
        <v>0</v>
      </c>
      <c r="D20" s="6">
        <v>0</v>
      </c>
      <c r="E20" s="19"/>
      <c r="F20" s="1"/>
      <c r="G20" s="25">
        <v>0</v>
      </c>
      <c r="H20" s="6">
        <v>0</v>
      </c>
      <c r="I20" s="1"/>
      <c r="J20" s="6">
        <v>0</v>
      </c>
      <c r="K20" s="1"/>
      <c r="L20" s="6">
        <v>11001</v>
      </c>
      <c r="M20" s="1"/>
      <c r="N20" s="6">
        <v>0</v>
      </c>
      <c r="O20" s="1"/>
      <c r="P20" s="6">
        <v>11001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7" t="s">
        <v>87</v>
      </c>
      <c r="C21" s="31">
        <f t="shared" ref="C21:D21" si="2">SUM(C13:C20)</f>
        <v>69914359</v>
      </c>
      <c r="D21" s="8">
        <f t="shared" si="2"/>
        <v>227198</v>
      </c>
      <c r="E21" s="32"/>
      <c r="F21" s="7"/>
      <c r="G21" s="31">
        <f t="shared" ref="G21:H21" si="3">SUM(G13:G20)</f>
        <v>40110106</v>
      </c>
      <c r="H21" s="8">
        <f t="shared" si="3"/>
        <v>4</v>
      </c>
      <c r="I21" s="7"/>
      <c r="J21" s="8">
        <f>SUM(J13:J20)</f>
        <v>-12593</v>
      </c>
      <c r="K21" s="7"/>
      <c r="L21" s="8">
        <f>SUM(L13:L20)</f>
        <v>127862</v>
      </c>
      <c r="M21" s="7"/>
      <c r="N21" s="8">
        <f>SUM(N13:N20)</f>
        <v>-99935</v>
      </c>
      <c r="O21" s="7"/>
      <c r="P21" s="8">
        <f>SUM(P13:P20)</f>
        <v>15338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25"/>
      <c r="D22" s="6"/>
      <c r="E22" s="1"/>
      <c r="F22" s="1"/>
      <c r="G22" s="25"/>
      <c r="H22" s="6"/>
      <c r="I22" s="1"/>
      <c r="J22" s="6"/>
      <c r="K22" s="1"/>
      <c r="L22" s="6"/>
      <c r="M22" s="1"/>
      <c r="N22" s="6"/>
      <c r="O22" s="1"/>
      <c r="P22" s="6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25"/>
      <c r="D23" s="6"/>
      <c r="E23" s="1"/>
      <c r="F23" s="1"/>
      <c r="G23" s="25"/>
      <c r="H23" s="6"/>
      <c r="I23" s="1"/>
      <c r="J23" s="6"/>
      <c r="K23" s="1"/>
      <c r="L23" s="1"/>
      <c r="M23" s="1"/>
      <c r="N23" s="1"/>
      <c r="O23" s="1"/>
      <c r="P23" s="6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25"/>
      <c r="D24" s="6"/>
      <c r="E24" s="1"/>
      <c r="F24" s="1"/>
      <c r="G24" s="25"/>
      <c r="H24" s="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6"/>
      <c r="E25" s="1"/>
      <c r="F25" s="1"/>
      <c r="G25" s="2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6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6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6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6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L4:L6"/>
    <mergeCell ref="P4:P6"/>
    <mergeCell ref="C5:D5"/>
    <mergeCell ref="G5:H5"/>
    <mergeCell ref="J5:J6"/>
    <mergeCell ref="N5:N6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zoomScale="80" zoomScaleNormal="80" workbookViewId="0"/>
  </sheetViews>
  <sheetFormatPr baseColWidth="10" defaultColWidth="12.6640625" defaultRowHeight="15" customHeight="1" x14ac:dyDescent="0.3"/>
  <cols>
    <col min="1" max="1" width="3.33203125" customWidth="1"/>
    <col min="2" max="2" width="183" customWidth="1"/>
    <col min="3" max="3" width="12.33203125" customWidth="1"/>
    <col min="4" max="4" width="13.44140625" customWidth="1"/>
    <col min="5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" t="s">
        <v>88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 t="s">
        <v>89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3" t="s">
        <v>2</v>
      </c>
      <c r="C5" s="4">
        <v>2024</v>
      </c>
      <c r="D5" s="4">
        <v>2025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" t="s">
        <v>90</v>
      </c>
      <c r="C6" s="6"/>
      <c r="D6" s="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5" t="s">
        <v>91</v>
      </c>
      <c r="C7" s="5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 t="s">
        <v>78</v>
      </c>
      <c r="C8" s="6">
        <f>+'P&amp;L'!C22</f>
        <v>76966</v>
      </c>
      <c r="D8" s="6">
        <f>+'P&amp;L'!D22</f>
        <v>194447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 t="s">
        <v>92</v>
      </c>
      <c r="C9" s="6">
        <v>6037</v>
      </c>
      <c r="D9" s="6">
        <v>6236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 t="s">
        <v>93</v>
      </c>
      <c r="C10" s="6">
        <v>2899</v>
      </c>
      <c r="D10" s="6">
        <v>3066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 t="s">
        <v>94</v>
      </c>
      <c r="C11" s="6">
        <v>-12194</v>
      </c>
      <c r="D11" s="6">
        <v>-904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 t="s">
        <v>95</v>
      </c>
      <c r="C12" s="6">
        <v>0</v>
      </c>
      <c r="D12" s="6">
        <v>-6193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 t="s">
        <v>96</v>
      </c>
      <c r="C13" s="6">
        <v>2000</v>
      </c>
      <c r="D13" s="6">
        <v>2272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 t="s">
        <v>97</v>
      </c>
      <c r="C14" s="6">
        <v>0</v>
      </c>
      <c r="D14" s="6">
        <v>-60194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 t="s">
        <v>82</v>
      </c>
      <c r="C15" s="6">
        <v>11846</v>
      </c>
      <c r="D15" s="6">
        <v>9364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 t="s">
        <v>98</v>
      </c>
      <c r="C16" s="6">
        <v>1270</v>
      </c>
      <c r="D16" s="6">
        <v>-16927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 t="s">
        <v>99</v>
      </c>
      <c r="C17" s="6">
        <v>1241</v>
      </c>
      <c r="D17" s="6">
        <v>678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 t="s">
        <v>100</v>
      </c>
      <c r="C18" s="6">
        <v>1979</v>
      </c>
      <c r="D18" s="6">
        <v>1298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5" t="s">
        <v>101</v>
      </c>
      <c r="C19" s="5"/>
      <c r="D19" s="5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 t="s">
        <v>7</v>
      </c>
      <c r="C20" s="6">
        <v>47696</v>
      </c>
      <c r="D20" s="6">
        <v>-49052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 t="s">
        <v>102</v>
      </c>
      <c r="C21" s="6">
        <v>-9313</v>
      </c>
      <c r="D21" s="6">
        <v>-8946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 t="s">
        <v>103</v>
      </c>
      <c r="C22" s="6">
        <v>-976</v>
      </c>
      <c r="D22" s="6">
        <v>-9890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 t="s">
        <v>19</v>
      </c>
      <c r="C23" s="6">
        <v>734</v>
      </c>
      <c r="D23" s="6">
        <v>3287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 t="s">
        <v>20</v>
      </c>
      <c r="C24" s="6">
        <v>1722</v>
      </c>
      <c r="D24" s="6">
        <v>2116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 t="s">
        <v>21</v>
      </c>
      <c r="C25" s="6">
        <v>-7548</v>
      </c>
      <c r="D25" s="6">
        <v>7127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 t="s">
        <v>22</v>
      </c>
      <c r="C26" s="6">
        <v>-47353</v>
      </c>
      <c r="D26" s="6">
        <v>48761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 t="s">
        <v>104</v>
      </c>
      <c r="C27" s="6">
        <v>-1062</v>
      </c>
      <c r="D27" s="6">
        <v>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 t="s">
        <v>105</v>
      </c>
      <c r="C28" s="6">
        <v>-3101</v>
      </c>
      <c r="D28" s="6">
        <v>-3396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5" t="s">
        <v>106</v>
      </c>
      <c r="C29" s="15">
        <v>75</v>
      </c>
      <c r="D29" s="15">
        <v>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2" t="s">
        <v>107</v>
      </c>
      <c r="C30" s="8">
        <f t="shared" ref="C30:D30" si="0">SUM(C9:C18, C20:C29)+C8</f>
        <v>72918</v>
      </c>
      <c r="D30" s="8">
        <f t="shared" si="0"/>
        <v>123150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4" t="s">
        <v>108</v>
      </c>
      <c r="C31" s="5"/>
      <c r="D31" s="5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 t="s">
        <v>109</v>
      </c>
      <c r="C32" s="6">
        <v>-502</v>
      </c>
      <c r="D32" s="6">
        <v>-533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 t="s">
        <v>110</v>
      </c>
      <c r="C33" s="6">
        <v>-4661</v>
      </c>
      <c r="D33" s="6">
        <v>-5310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7" t="s">
        <v>111</v>
      </c>
      <c r="C34" s="8">
        <f t="shared" ref="C34:D34" si="1">SUM(C32:C33)</f>
        <v>-5163</v>
      </c>
      <c r="D34" s="8">
        <f t="shared" si="1"/>
        <v>-5843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4" t="s">
        <v>112</v>
      </c>
      <c r="C35" s="5"/>
      <c r="D35" s="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 t="s">
        <v>113</v>
      </c>
      <c r="C36" s="9">
        <v>-40578</v>
      </c>
      <c r="D36" s="9">
        <v>-29122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 t="s">
        <v>114</v>
      </c>
      <c r="C37" s="9">
        <v>0</v>
      </c>
      <c r="D37" s="9">
        <v>-20000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 t="s">
        <v>115</v>
      </c>
      <c r="C38" s="9">
        <v>1079</v>
      </c>
      <c r="D38" s="9">
        <v>4919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 t="s">
        <v>116</v>
      </c>
      <c r="C39" s="9">
        <v>0</v>
      </c>
      <c r="D39" s="9">
        <v>-37037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 t="s">
        <v>117</v>
      </c>
      <c r="C40" s="9">
        <v>0</v>
      </c>
      <c r="D40" s="9">
        <v>22694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7" t="s">
        <v>118</v>
      </c>
      <c r="C41" s="8">
        <f t="shared" ref="C41:D41" si="2">SUM(C36:C40)</f>
        <v>-39499</v>
      </c>
      <c r="D41" s="8">
        <f t="shared" si="2"/>
        <v>-58546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7" t="s">
        <v>119</v>
      </c>
      <c r="C42" s="8">
        <f t="shared" ref="C42:D42" si="3">+C30+C34+C41</f>
        <v>28256</v>
      </c>
      <c r="D42" s="8">
        <f t="shared" si="3"/>
        <v>58761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 t="s">
        <v>120</v>
      </c>
      <c r="C43" s="6">
        <v>67536</v>
      </c>
      <c r="D43" s="6">
        <v>95792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7" t="s">
        <v>121</v>
      </c>
      <c r="C44" s="8">
        <f t="shared" ref="C44:D44" si="4">+C42+C43</f>
        <v>95792</v>
      </c>
      <c r="D44" s="8">
        <f t="shared" si="4"/>
        <v>154553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2" t="s">
        <v>122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 t="s">
        <v>123</v>
      </c>
      <c r="C46" s="6">
        <v>1422</v>
      </c>
      <c r="D46" s="6">
        <v>5070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 t="s">
        <v>124</v>
      </c>
      <c r="C47" s="6">
        <v>17445</v>
      </c>
      <c r="D47" s="6">
        <v>12240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2" t="s">
        <v>125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 t="s">
        <v>126</v>
      </c>
      <c r="C49" s="6">
        <v>1409</v>
      </c>
      <c r="D49" s="6">
        <v>1637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2" t="s">
        <v>127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 t="s">
        <v>128</v>
      </c>
      <c r="C51" s="6">
        <v>396</v>
      </c>
      <c r="D51" s="6">
        <v>169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 t="s">
        <v>129</v>
      </c>
      <c r="C52" s="6">
        <v>0</v>
      </c>
      <c r="D52" s="6">
        <v>-1750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2" t="s">
        <v>130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 t="s">
        <v>131</v>
      </c>
      <c r="C54" s="6">
        <v>86721</v>
      </c>
      <c r="D54" s="6">
        <v>142860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 t="s">
        <v>6</v>
      </c>
      <c r="C55" s="6">
        <v>6461</v>
      </c>
      <c r="D55" s="6">
        <v>9083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 t="s">
        <v>132</v>
      </c>
      <c r="C56" s="6">
        <v>2610</v>
      </c>
      <c r="D56" s="6">
        <v>2610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7" t="s">
        <v>133</v>
      </c>
      <c r="C57" s="8">
        <f t="shared" ref="C57:D57" si="5">SUM(C54:C56)</f>
        <v>95792</v>
      </c>
      <c r="D57" s="8">
        <f t="shared" si="5"/>
        <v>154553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conditionalFormatting sqref="C30:D30">
    <cfRule type="cellIs" dxfId="56" priority="1" operator="equal">
      <formula>0</formula>
    </cfRule>
    <cfRule type="cellIs" dxfId="55" priority="2" operator="lessThan">
      <formula>0</formula>
    </cfRule>
    <cfRule type="cellIs" dxfId="54" priority="3" operator="greaterThan">
      <formula>0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4:D34">
    <cfRule type="cellIs" dxfId="53" priority="5" operator="equal">
      <formula>0</formula>
    </cfRule>
    <cfRule type="cellIs" dxfId="52" priority="6" operator="lessThan">
      <formula>0</formula>
    </cfRule>
    <cfRule type="cellIs" dxfId="51" priority="7" operator="greaterThan">
      <formula>0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:D4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:D42">
    <cfRule type="cellIs" dxfId="50" priority="10" operator="equal">
      <formula>0</formula>
    </cfRule>
    <cfRule type="cellIs" dxfId="49" priority="11" operator="lessThan">
      <formula>0</formula>
    </cfRule>
    <cfRule type="cellIs" dxfId="48" priority="12" operator="greaterThan">
      <formula>0</formula>
    </cfRule>
  </conditionalFormatting>
  <conditionalFormatting sqref="C42:D4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Y1000"/>
  <sheetViews>
    <sheetView showGridLines="0" workbookViewId="0"/>
  </sheetViews>
  <sheetFormatPr baseColWidth="10" defaultColWidth="12.6640625" defaultRowHeight="15" customHeight="1" x14ac:dyDescent="0.3"/>
  <cols>
    <col min="2" max="2" width="68.21875" customWidth="1"/>
    <col min="14" max="14" width="38.21875" customWidth="1"/>
  </cols>
  <sheetData>
    <row r="1" spans="1:77" x14ac:dyDescent="0.3">
      <c r="A1" s="33"/>
      <c r="B1" s="33"/>
      <c r="C1" s="33"/>
      <c r="D1" s="33"/>
      <c r="E1" s="34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</row>
    <row r="2" spans="1:77" x14ac:dyDescent="0.3">
      <c r="A2" s="33"/>
      <c r="B2" s="35" t="s">
        <v>44</v>
      </c>
      <c r="C2" s="33"/>
      <c r="D2" s="33"/>
      <c r="E2" s="34"/>
      <c r="F2" s="33"/>
      <c r="G2" s="33"/>
      <c r="H2" s="33"/>
      <c r="I2" s="33"/>
      <c r="J2" s="33"/>
      <c r="K2" s="33"/>
      <c r="L2" s="33"/>
      <c r="M2" s="34"/>
      <c r="N2" s="231" t="s">
        <v>134</v>
      </c>
      <c r="O2" s="232"/>
      <c r="P2" s="226"/>
      <c r="Q2" s="36"/>
      <c r="R2" s="33"/>
      <c r="S2" s="33"/>
      <c r="T2" s="33"/>
      <c r="U2" s="33"/>
      <c r="V2" s="33"/>
      <c r="W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</row>
    <row r="3" spans="1:77" x14ac:dyDescent="0.3">
      <c r="A3" s="33"/>
      <c r="B3" s="33" t="s">
        <v>1</v>
      </c>
      <c r="C3" s="33"/>
      <c r="D3" s="33"/>
      <c r="E3" s="34"/>
      <c r="F3" s="231" t="s">
        <v>135</v>
      </c>
      <c r="G3" s="226"/>
      <c r="H3" s="33"/>
      <c r="I3" s="231" t="s">
        <v>136</v>
      </c>
      <c r="J3" s="226"/>
      <c r="K3" s="33"/>
      <c r="L3" s="33"/>
      <c r="M3" s="34"/>
      <c r="N3" s="37"/>
      <c r="O3" s="38">
        <v>2024</v>
      </c>
      <c r="P3" s="38">
        <v>2025</v>
      </c>
      <c r="Q3" s="33"/>
      <c r="R3" s="33"/>
      <c r="S3" s="33"/>
      <c r="T3" s="33"/>
      <c r="U3" s="33"/>
      <c r="V3" s="33"/>
      <c r="W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</row>
    <row r="4" spans="1:77" x14ac:dyDescent="0.3">
      <c r="A4" s="33"/>
      <c r="B4" s="33"/>
      <c r="C4" s="33"/>
      <c r="D4" s="33"/>
      <c r="E4" s="34"/>
      <c r="F4" s="33"/>
      <c r="G4" s="33"/>
      <c r="H4" s="33"/>
      <c r="I4" s="33"/>
      <c r="J4" s="33"/>
      <c r="K4" s="33"/>
      <c r="L4" s="33"/>
      <c r="M4" s="34"/>
      <c r="N4" s="33" t="s">
        <v>137</v>
      </c>
      <c r="O4" s="39">
        <f t="shared" ref="O4:P4" si="0">C10</f>
        <v>216714</v>
      </c>
      <c r="P4" s="39">
        <f t="shared" si="0"/>
        <v>308859</v>
      </c>
      <c r="Q4" s="40"/>
      <c r="R4" s="33"/>
      <c r="S4" s="33"/>
      <c r="T4" s="33"/>
      <c r="U4" s="33"/>
      <c r="V4" s="33"/>
      <c r="W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</row>
    <row r="5" spans="1:77" x14ac:dyDescent="0.3">
      <c r="A5" s="33"/>
      <c r="B5" s="41" t="s">
        <v>2</v>
      </c>
      <c r="C5" s="42">
        <v>2024</v>
      </c>
      <c r="D5" s="42">
        <v>2025</v>
      </c>
      <c r="E5" s="34"/>
      <c r="F5" s="42">
        <v>2024</v>
      </c>
      <c r="G5" s="42">
        <v>2025</v>
      </c>
      <c r="H5" s="33"/>
      <c r="I5" s="43" t="s">
        <v>138</v>
      </c>
      <c r="J5" s="43" t="s">
        <v>139</v>
      </c>
      <c r="K5" s="33"/>
      <c r="L5" s="33"/>
      <c r="M5" s="36"/>
      <c r="N5" s="33" t="s">
        <v>140</v>
      </c>
      <c r="O5" s="39">
        <f t="shared" ref="O5:P5" si="1">C12</f>
        <v>22898</v>
      </c>
      <c r="P5" s="39">
        <f t="shared" si="1"/>
        <v>30964</v>
      </c>
      <c r="Q5" s="36"/>
      <c r="R5" s="33"/>
      <c r="S5" s="33"/>
      <c r="T5" s="33"/>
      <c r="U5" s="33"/>
      <c r="V5" s="33"/>
      <c r="W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</row>
    <row r="6" spans="1:77" x14ac:dyDescent="0.3">
      <c r="A6" s="33"/>
      <c r="B6" s="44" t="s">
        <v>45</v>
      </c>
      <c r="C6" s="37"/>
      <c r="D6" s="37"/>
      <c r="E6" s="34"/>
      <c r="F6" s="33"/>
      <c r="G6" s="33"/>
      <c r="H6" s="33"/>
      <c r="I6" s="33"/>
      <c r="J6" s="33"/>
      <c r="K6" s="33"/>
      <c r="L6" s="33"/>
      <c r="M6" s="34"/>
      <c r="N6" s="33" t="s">
        <v>141</v>
      </c>
      <c r="O6" s="45">
        <f t="shared" ref="O6:P6" si="2">C10-C12</f>
        <v>193816</v>
      </c>
      <c r="P6" s="45">
        <f t="shared" si="2"/>
        <v>277895</v>
      </c>
      <c r="Q6" s="46"/>
      <c r="R6" s="33"/>
      <c r="S6" s="33"/>
      <c r="T6" s="33"/>
      <c r="U6" s="33"/>
      <c r="V6" s="33"/>
      <c r="W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</row>
    <row r="7" spans="1:77" x14ac:dyDescent="0.3">
      <c r="A7" s="33"/>
      <c r="B7" s="33" t="s">
        <v>46</v>
      </c>
      <c r="C7" s="39">
        <v>154800</v>
      </c>
      <c r="D7" s="39">
        <v>230946</v>
      </c>
      <c r="E7" s="34"/>
      <c r="F7" s="47">
        <f t="shared" ref="F7:G7" si="3">C7/$C$10</f>
        <v>0.71430549018522105</v>
      </c>
      <c r="G7" s="47">
        <f t="shared" si="3"/>
        <v>1.0656718070821452</v>
      </c>
      <c r="H7" s="33"/>
      <c r="I7" s="45">
        <f t="shared" ref="I7:I10" si="4">(D7-C7)</f>
        <v>76146</v>
      </c>
      <c r="J7" s="47">
        <f t="shared" ref="J7:J10" si="5">((D7-C7)/C7)</f>
        <v>0.49189922480620157</v>
      </c>
      <c r="K7" s="33"/>
      <c r="L7" s="33"/>
      <c r="M7" s="34"/>
      <c r="N7" s="33" t="s">
        <v>142</v>
      </c>
      <c r="O7" s="48">
        <f t="shared" ref="O7:P7" si="6">O6/O4</f>
        <v>0.89434000572182693</v>
      </c>
      <c r="P7" s="48">
        <f t="shared" si="6"/>
        <v>0.8997471338053934</v>
      </c>
      <c r="Q7" s="49"/>
      <c r="R7" s="33"/>
      <c r="S7" s="33"/>
      <c r="T7" s="46"/>
      <c r="U7" s="33"/>
      <c r="V7" s="33"/>
      <c r="W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</row>
    <row r="8" spans="1:77" x14ac:dyDescent="0.3">
      <c r="A8" s="33"/>
      <c r="B8" s="33" t="s">
        <v>47</v>
      </c>
      <c r="C8" s="39">
        <v>56095</v>
      </c>
      <c r="D8" s="39">
        <v>73045</v>
      </c>
      <c r="E8" s="34"/>
      <c r="F8" s="47">
        <f t="shared" ref="F8:G8" si="7">C8/$C$10</f>
        <v>0.25884345266111097</v>
      </c>
      <c r="G8" s="47">
        <f t="shared" si="7"/>
        <v>0.33705713521046171</v>
      </c>
      <c r="H8" s="33"/>
      <c r="I8" s="45">
        <f t="shared" si="4"/>
        <v>16950</v>
      </c>
      <c r="J8" s="47">
        <f t="shared" si="5"/>
        <v>0.3021659684463856</v>
      </c>
      <c r="K8" s="33"/>
      <c r="L8" s="33"/>
      <c r="M8" s="34"/>
      <c r="N8" s="33" t="s">
        <v>143</v>
      </c>
      <c r="O8" s="48">
        <f t="shared" ref="O8:P8" si="8">O5/O4</f>
        <v>0.10565999427817307</v>
      </c>
      <c r="P8" s="48">
        <f t="shared" si="8"/>
        <v>0.1002528661946066</v>
      </c>
      <c r="Q8" s="49"/>
      <c r="R8" s="33"/>
      <c r="S8" s="33"/>
      <c r="T8" s="33"/>
      <c r="U8" s="33"/>
      <c r="V8" s="33"/>
      <c r="W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</row>
    <row r="9" spans="1:77" x14ac:dyDescent="0.3">
      <c r="A9" s="33"/>
      <c r="B9" s="33" t="s">
        <v>48</v>
      </c>
      <c r="C9" s="39">
        <v>5819</v>
      </c>
      <c r="D9" s="39">
        <v>4868</v>
      </c>
      <c r="E9" s="34"/>
      <c r="F9" s="47">
        <f t="shared" ref="F9:G9" si="9">C9/$C$10</f>
        <v>2.6851057153667968E-2</v>
      </c>
      <c r="G9" s="47">
        <f t="shared" si="9"/>
        <v>2.2462785053111473E-2</v>
      </c>
      <c r="H9" s="33"/>
      <c r="I9" s="45">
        <f t="shared" si="4"/>
        <v>-951</v>
      </c>
      <c r="J9" s="47">
        <f t="shared" si="5"/>
        <v>-0.16343014263619179</v>
      </c>
      <c r="K9" s="33"/>
      <c r="L9" s="33"/>
      <c r="M9" s="34"/>
      <c r="N9" s="33" t="s">
        <v>144</v>
      </c>
      <c r="O9" s="39">
        <f t="shared" ref="O9:P9" si="10">C14</f>
        <v>23766</v>
      </c>
      <c r="P9" s="39">
        <f t="shared" si="10"/>
        <v>29092</v>
      </c>
      <c r="Q9" s="40"/>
      <c r="R9" s="33"/>
      <c r="S9" s="33"/>
      <c r="T9" s="33"/>
      <c r="U9" s="33"/>
      <c r="V9" s="33"/>
      <c r="W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</row>
    <row r="10" spans="1:77" x14ac:dyDescent="0.3">
      <c r="A10" s="33"/>
      <c r="B10" s="43" t="s">
        <v>49</v>
      </c>
      <c r="C10" s="50">
        <f>SUM(C7:C9)</f>
        <v>216714</v>
      </c>
      <c r="D10" s="50">
        <f>+SUM(D7:D9)</f>
        <v>308859</v>
      </c>
      <c r="E10" s="34"/>
      <c r="F10" s="51"/>
      <c r="G10" s="33"/>
      <c r="H10" s="33"/>
      <c r="I10" s="45">
        <f t="shared" si="4"/>
        <v>92145</v>
      </c>
      <c r="J10" s="47">
        <f t="shared" si="5"/>
        <v>0.42519172734571831</v>
      </c>
      <c r="K10" s="33"/>
      <c r="L10" s="33"/>
      <c r="M10" s="34"/>
      <c r="N10" s="33" t="s">
        <v>145</v>
      </c>
      <c r="O10" s="48">
        <f t="shared" ref="O10:P10" si="11">C14/C10</f>
        <v>0.10966527312494809</v>
      </c>
      <c r="P10" s="48">
        <f t="shared" si="11"/>
        <v>9.4191848060118044E-2</v>
      </c>
      <c r="Q10" s="49"/>
      <c r="R10" s="33"/>
      <c r="S10" s="33"/>
      <c r="T10" s="33"/>
      <c r="U10" s="33"/>
      <c r="V10" s="33"/>
      <c r="W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</row>
    <row r="11" spans="1:77" x14ac:dyDescent="0.3">
      <c r="A11" s="33"/>
      <c r="B11" s="44" t="s">
        <v>50</v>
      </c>
      <c r="C11" s="52"/>
      <c r="D11" s="52"/>
      <c r="E11" s="34"/>
      <c r="F11" s="51"/>
      <c r="G11" s="33"/>
      <c r="H11" s="33"/>
      <c r="I11" s="46"/>
      <c r="J11" s="51"/>
      <c r="K11" s="33"/>
      <c r="L11" s="33"/>
      <c r="M11" s="34"/>
      <c r="N11" s="33" t="s">
        <v>146</v>
      </c>
      <c r="O11" s="45">
        <f t="shared" ref="O11:P11" si="12">C10-C17-C19</f>
        <v>80589</v>
      </c>
      <c r="P11" s="45">
        <f t="shared" si="12"/>
        <v>142039</v>
      </c>
      <c r="Q11" s="46"/>
      <c r="R11" s="33"/>
      <c r="S11" s="33"/>
      <c r="T11" s="33"/>
      <c r="U11" s="33"/>
      <c r="V11" s="33"/>
      <c r="W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</row>
    <row r="12" spans="1:77" x14ac:dyDescent="0.3">
      <c r="A12" s="33"/>
      <c r="B12" s="33" t="s">
        <v>147</v>
      </c>
      <c r="C12" s="39">
        <v>22898</v>
      </c>
      <c r="D12" s="39">
        <v>30964</v>
      </c>
      <c r="E12" s="34"/>
      <c r="F12" s="47">
        <f t="shared" ref="F12:F22" si="13">C12/$C$10</f>
        <v>0.10565999427817307</v>
      </c>
      <c r="G12" s="47">
        <f t="shared" ref="G12:G22" si="14">D12/$D$10</f>
        <v>0.1002528661946066</v>
      </c>
      <c r="H12" s="33"/>
      <c r="I12" s="45">
        <f t="shared" ref="I12:I18" si="15">(D12-C12)</f>
        <v>8066</v>
      </c>
      <c r="J12" s="47">
        <f t="shared" ref="J12:J18" si="16">((D12-C12)/C12)</f>
        <v>0.35225783911258624</v>
      </c>
      <c r="K12" s="33"/>
      <c r="L12" s="33"/>
      <c r="M12" s="34"/>
      <c r="N12" s="33" t="s">
        <v>148</v>
      </c>
      <c r="O12" s="48">
        <f t="shared" ref="O12:P12" si="17">O11/C10</f>
        <v>0.37186799191561226</v>
      </c>
      <c r="P12" s="48">
        <f t="shared" si="17"/>
        <v>0.4598829886776814</v>
      </c>
      <c r="Q12" s="49"/>
      <c r="R12" s="33"/>
      <c r="S12" s="33"/>
      <c r="T12" s="33"/>
      <c r="U12" s="33"/>
      <c r="V12" s="33"/>
      <c r="W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</row>
    <row r="13" spans="1:77" x14ac:dyDescent="0.3">
      <c r="A13" s="33"/>
      <c r="B13" s="33" t="s">
        <v>52</v>
      </c>
      <c r="C13" s="39">
        <v>57558</v>
      </c>
      <c r="D13" s="39">
        <v>64515</v>
      </c>
      <c r="E13" s="34"/>
      <c r="F13" s="47">
        <f t="shared" si="13"/>
        <v>0.2655942855560785</v>
      </c>
      <c r="G13" s="47">
        <f t="shared" si="14"/>
        <v>0.20888172272784669</v>
      </c>
      <c r="H13" s="33"/>
      <c r="I13" s="45">
        <f t="shared" si="15"/>
        <v>6957</v>
      </c>
      <c r="J13" s="47">
        <f t="shared" si="16"/>
        <v>0.12086938392577921</v>
      </c>
      <c r="K13" s="33"/>
      <c r="L13" s="33"/>
      <c r="M13" s="34"/>
      <c r="N13" s="33" t="s">
        <v>149</v>
      </c>
      <c r="O13" s="39">
        <f t="shared" ref="O13:P13" si="18">C20</f>
        <v>78589</v>
      </c>
      <c r="P13" s="39">
        <f t="shared" si="18"/>
        <v>139229</v>
      </c>
      <c r="Q13" s="40"/>
      <c r="R13" s="33"/>
      <c r="S13" s="33"/>
      <c r="T13" s="33"/>
      <c r="U13" s="33"/>
      <c r="V13" s="33"/>
      <c r="W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</row>
    <row r="14" spans="1:77" x14ac:dyDescent="0.3">
      <c r="A14" s="33"/>
      <c r="B14" s="33" t="s">
        <v>53</v>
      </c>
      <c r="C14" s="53">
        <v>23766</v>
      </c>
      <c r="D14" s="53">
        <v>29092</v>
      </c>
      <c r="E14" s="34"/>
      <c r="F14" s="47">
        <f t="shared" si="13"/>
        <v>0.10966527312494809</v>
      </c>
      <c r="G14" s="47">
        <f t="shared" si="14"/>
        <v>9.4191848060118044E-2</v>
      </c>
      <c r="H14" s="33"/>
      <c r="I14" s="45">
        <f t="shared" si="15"/>
        <v>5326</v>
      </c>
      <c r="J14" s="47">
        <f t="shared" si="16"/>
        <v>0.22410165783051417</v>
      </c>
      <c r="K14" s="33"/>
      <c r="L14" s="33"/>
      <c r="M14" s="34"/>
      <c r="N14" s="33" t="s">
        <v>150</v>
      </c>
      <c r="O14" s="48">
        <f t="shared" ref="O14:P14" si="19">C20/C10</f>
        <v>0.36263923881244403</v>
      </c>
      <c r="P14" s="48">
        <f t="shared" si="19"/>
        <v>0.45078498602922368</v>
      </c>
      <c r="Q14" s="49"/>
      <c r="R14" s="33"/>
      <c r="S14" s="33"/>
      <c r="T14" s="33"/>
      <c r="U14" s="33"/>
      <c r="V14" s="33"/>
      <c r="W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</row>
    <row r="15" spans="1:77" x14ac:dyDescent="0.3">
      <c r="A15" s="33"/>
      <c r="B15" s="33" t="s">
        <v>54</v>
      </c>
      <c r="C15" s="39">
        <v>21150</v>
      </c>
      <c r="D15" s="39">
        <v>52196</v>
      </c>
      <c r="E15" s="34"/>
      <c r="F15" s="47">
        <f t="shared" si="13"/>
        <v>9.7594064066004044E-2</v>
      </c>
      <c r="G15" s="47">
        <f t="shared" si="14"/>
        <v>0.16899620862594258</v>
      </c>
      <c r="H15" s="33"/>
      <c r="I15" s="45">
        <f t="shared" si="15"/>
        <v>31046</v>
      </c>
      <c r="J15" s="47">
        <f t="shared" si="16"/>
        <v>1.4678959810874705</v>
      </c>
      <c r="K15" s="33"/>
      <c r="L15" s="33"/>
      <c r="M15" s="34"/>
      <c r="N15" s="33" t="s">
        <v>151</v>
      </c>
      <c r="O15" s="48">
        <f t="shared" ref="O15:P15" si="20">C21/C20</f>
        <v>2.065174515517439E-2</v>
      </c>
      <c r="P15" s="48">
        <f t="shared" si="20"/>
        <v>-0.39659840981404737</v>
      </c>
      <c r="Q15" s="49"/>
      <c r="R15" s="33"/>
      <c r="S15" s="33"/>
      <c r="T15" s="33"/>
      <c r="U15" s="33"/>
      <c r="V15" s="33"/>
      <c r="W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</row>
    <row r="16" spans="1:77" x14ac:dyDescent="0.3">
      <c r="A16" s="33"/>
      <c r="B16" s="54" t="s">
        <v>55</v>
      </c>
      <c r="C16" s="55">
        <v>9767</v>
      </c>
      <c r="D16" s="55">
        <v>10619</v>
      </c>
      <c r="E16" s="34"/>
      <c r="F16" s="47">
        <f t="shared" si="13"/>
        <v>4.5068615779322058E-2</v>
      </c>
      <c r="G16" s="47">
        <f t="shared" si="14"/>
        <v>3.4381384385755311E-2</v>
      </c>
      <c r="H16" s="33"/>
      <c r="I16" s="45">
        <f t="shared" si="15"/>
        <v>852</v>
      </c>
      <c r="J16" s="47">
        <f t="shared" si="16"/>
        <v>8.7232517661513256E-2</v>
      </c>
      <c r="K16" s="33"/>
      <c r="L16" s="33"/>
      <c r="M16" s="34"/>
      <c r="N16" s="33" t="s">
        <v>152</v>
      </c>
      <c r="O16" s="48">
        <f t="shared" ref="O16:P16" si="21">C22/C10</f>
        <v>0.355150105669223</v>
      </c>
      <c r="P16" s="48">
        <f t="shared" si="21"/>
        <v>0.62956559465646134</v>
      </c>
      <c r="Q16" s="49"/>
      <c r="R16" s="33"/>
      <c r="S16" s="33"/>
      <c r="T16" s="33"/>
      <c r="U16" s="33"/>
      <c r="V16" s="33"/>
      <c r="W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</row>
    <row r="17" spans="1:77" x14ac:dyDescent="0.3">
      <c r="A17" s="33"/>
      <c r="B17" s="35" t="s">
        <v>56</v>
      </c>
      <c r="C17" s="50">
        <f t="shared" ref="C17:D17" si="22">SUM(C12:C16)</f>
        <v>135139</v>
      </c>
      <c r="D17" s="50">
        <f t="shared" si="22"/>
        <v>187386</v>
      </c>
      <c r="E17" s="34"/>
      <c r="F17" s="47">
        <f t="shared" si="13"/>
        <v>0.62358223280452574</v>
      </c>
      <c r="G17" s="47">
        <f t="shared" si="14"/>
        <v>0.6067040299942692</v>
      </c>
      <c r="H17" s="33"/>
      <c r="I17" s="45">
        <f t="shared" si="15"/>
        <v>52247</v>
      </c>
      <c r="J17" s="47">
        <f t="shared" si="16"/>
        <v>0.38661674276115704</v>
      </c>
      <c r="K17" s="33"/>
      <c r="L17" s="33"/>
      <c r="M17" s="34"/>
      <c r="N17" s="33" t="s">
        <v>153</v>
      </c>
      <c r="O17" s="47">
        <f t="shared" ref="O17:P17" si="23">C20/C10</f>
        <v>0.36263923881244403</v>
      </c>
      <c r="P17" s="47">
        <f t="shared" si="23"/>
        <v>0.45078498602922368</v>
      </c>
      <c r="Q17" s="40"/>
      <c r="R17" s="33"/>
      <c r="S17" s="33"/>
      <c r="T17" s="33"/>
      <c r="U17" s="33"/>
      <c r="V17" s="33"/>
      <c r="W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</row>
    <row r="18" spans="1:77" x14ac:dyDescent="0.3">
      <c r="A18" s="33"/>
      <c r="B18" s="33" t="s">
        <v>57</v>
      </c>
      <c r="C18" s="39">
        <v>2000</v>
      </c>
      <c r="D18" s="39">
        <v>2810</v>
      </c>
      <c r="E18" s="34"/>
      <c r="F18" s="47">
        <f t="shared" si="13"/>
        <v>9.2287531031682302E-3</v>
      </c>
      <c r="G18" s="47">
        <f t="shared" si="14"/>
        <v>9.0980026484577103E-3</v>
      </c>
      <c r="H18" s="33"/>
      <c r="I18" s="45">
        <f t="shared" si="15"/>
        <v>810</v>
      </c>
      <c r="J18" s="47">
        <f t="shared" si="16"/>
        <v>0.40500000000000003</v>
      </c>
      <c r="K18" s="33"/>
      <c r="L18" s="33"/>
      <c r="M18" s="34"/>
      <c r="N18" s="33" t="str">
        <f t="shared" ref="N18:P18" si="24">B102</f>
        <v>Total del patrimonio (déficit) de los accionistas</v>
      </c>
      <c r="O18" s="40">
        <f t="shared" si="24"/>
        <v>-180855</v>
      </c>
      <c r="P18" s="40">
        <f t="shared" si="24"/>
        <v>15338</v>
      </c>
      <c r="Q18" s="40"/>
      <c r="R18" s="33"/>
      <c r="S18" s="33"/>
      <c r="T18" s="33"/>
      <c r="U18" s="33"/>
      <c r="V18" s="33"/>
      <c r="W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</row>
    <row r="19" spans="1:77" x14ac:dyDescent="0.3">
      <c r="A19" s="33"/>
      <c r="B19" s="54" t="s">
        <v>58</v>
      </c>
      <c r="C19" s="55">
        <v>986</v>
      </c>
      <c r="D19" s="55">
        <v>-20566</v>
      </c>
      <c r="E19" s="34"/>
      <c r="F19" s="47">
        <f t="shared" si="13"/>
        <v>4.5497752798619381E-3</v>
      </c>
      <c r="G19" s="47">
        <f t="shared" si="14"/>
        <v>-6.6587018671950632E-2</v>
      </c>
      <c r="H19" s="33"/>
      <c r="I19" s="46"/>
      <c r="J19" s="51"/>
      <c r="K19" s="33"/>
      <c r="L19" s="33"/>
      <c r="M19" s="34"/>
      <c r="N19" s="33" t="s">
        <v>154</v>
      </c>
      <c r="O19" s="47">
        <f t="shared" ref="O19:P19" si="25">(C22/C75)</f>
        <v>0.33296705198311066</v>
      </c>
      <c r="P19" s="47">
        <f t="shared" si="25"/>
        <v>0.44679301296397567</v>
      </c>
      <c r="Q19" s="46"/>
      <c r="R19" s="33"/>
      <c r="S19" s="33"/>
      <c r="T19" s="33"/>
      <c r="U19" s="33"/>
      <c r="V19" s="33"/>
      <c r="W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</row>
    <row r="20" spans="1:77" x14ac:dyDescent="0.3">
      <c r="A20" s="33"/>
      <c r="B20" s="35" t="s">
        <v>59</v>
      </c>
      <c r="C20" s="50">
        <f t="shared" ref="C20:D20" si="26">+C10-C17-C18-C19</f>
        <v>78589</v>
      </c>
      <c r="D20" s="50">
        <f t="shared" si="26"/>
        <v>139229</v>
      </c>
      <c r="E20" s="34"/>
      <c r="F20" s="47">
        <f t="shared" si="13"/>
        <v>0.36263923881244403</v>
      </c>
      <c r="G20" s="47">
        <f t="shared" si="14"/>
        <v>0.45078498602922368</v>
      </c>
      <c r="H20" s="33"/>
      <c r="I20" s="45">
        <f>(D20-C20)</f>
        <v>60640</v>
      </c>
      <c r="J20" s="47">
        <f>((D20-C20)/C20)</f>
        <v>0.77160925829314531</v>
      </c>
      <c r="K20" s="33"/>
      <c r="L20" s="33"/>
      <c r="M20" s="34"/>
      <c r="N20" s="33" t="s">
        <v>155</v>
      </c>
      <c r="O20" s="56">
        <f>'BS pronostico'!C51</f>
        <v>104588</v>
      </c>
      <c r="P20" s="56">
        <f>'BS pronostico'!D51</f>
        <v>167700</v>
      </c>
      <c r="Q20" s="46"/>
      <c r="R20" s="33"/>
      <c r="S20" s="33"/>
      <c r="T20" s="33"/>
      <c r="U20" s="33"/>
      <c r="V20" s="33"/>
      <c r="W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</row>
    <row r="21" spans="1:77" x14ac:dyDescent="0.3">
      <c r="A21" s="33"/>
      <c r="B21" s="33" t="s">
        <v>60</v>
      </c>
      <c r="C21" s="39">
        <v>1623</v>
      </c>
      <c r="D21" s="39">
        <v>-55218</v>
      </c>
      <c r="E21" s="34"/>
      <c r="F21" s="47">
        <f t="shared" si="13"/>
        <v>7.4891331432210195E-3</v>
      </c>
      <c r="G21" s="47">
        <f t="shared" si="14"/>
        <v>-0.17878060862723766</v>
      </c>
      <c r="H21" s="33"/>
      <c r="I21" s="46"/>
      <c r="J21" s="51"/>
      <c r="K21" s="33"/>
      <c r="L21" s="33"/>
      <c r="M21" s="34"/>
      <c r="N21" s="57" t="s">
        <v>156</v>
      </c>
      <c r="O21" s="58">
        <f t="shared" ref="O21:P21" si="27">O20/O4</f>
        <v>0.48260841477707944</v>
      </c>
      <c r="P21" s="58">
        <f t="shared" si="27"/>
        <v>0.54296620788126626</v>
      </c>
      <c r="Q21" s="59"/>
      <c r="R21" s="33"/>
      <c r="S21" s="33"/>
      <c r="T21" s="33"/>
      <c r="U21" s="33"/>
      <c r="V21" s="33"/>
      <c r="W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</row>
    <row r="22" spans="1:77" x14ac:dyDescent="0.3">
      <c r="A22" s="33"/>
      <c r="B22" s="60" t="s">
        <v>61</v>
      </c>
      <c r="C22" s="50">
        <f t="shared" ref="C22:D22" si="28">+C20-C21</f>
        <v>76966</v>
      </c>
      <c r="D22" s="50">
        <f t="shared" si="28"/>
        <v>194447</v>
      </c>
      <c r="E22" s="34"/>
      <c r="F22" s="47">
        <f t="shared" si="13"/>
        <v>0.355150105669223</v>
      </c>
      <c r="G22" s="47">
        <f t="shared" si="14"/>
        <v>0.62956559465646134</v>
      </c>
      <c r="H22" s="33"/>
      <c r="I22" s="45">
        <f>(D22-C22)</f>
        <v>117481</v>
      </c>
      <c r="J22" s="47">
        <f>((D22-C22)/C22)</f>
        <v>1.5264012680924044</v>
      </c>
      <c r="K22" s="33"/>
      <c r="L22" s="33"/>
      <c r="M22" s="34"/>
      <c r="N22" s="33" t="s">
        <v>157</v>
      </c>
      <c r="O22" s="48">
        <f t="shared" ref="O22:P22" si="29">C22/O18</f>
        <v>-0.42556744353211134</v>
      </c>
      <c r="P22" s="47">
        <f t="shared" si="29"/>
        <v>12.677467727213457</v>
      </c>
      <c r="Q22" s="33"/>
      <c r="R22" s="33"/>
      <c r="S22" s="33"/>
      <c r="T22" s="33"/>
      <c r="U22" s="33"/>
      <c r="V22" s="33"/>
      <c r="W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</row>
    <row r="23" spans="1:77" x14ac:dyDescent="0.3">
      <c r="A23" s="33"/>
      <c r="B23" s="33"/>
      <c r="C23" s="40"/>
      <c r="D23" s="40"/>
      <c r="E23" s="34"/>
      <c r="F23" s="51"/>
      <c r="G23" s="51"/>
      <c r="H23" s="33"/>
      <c r="I23" s="46"/>
      <c r="J23" s="51"/>
      <c r="K23" s="33"/>
      <c r="L23" s="33"/>
      <c r="M23" s="34"/>
      <c r="N23" s="33" t="s">
        <v>158</v>
      </c>
      <c r="O23" s="47">
        <f t="shared" ref="O23:P23" si="30">J65/J63</f>
        <v>-0.53603838894576661</v>
      </c>
      <c r="P23" s="47">
        <f t="shared" si="30"/>
        <v>7.736412827245962</v>
      </c>
      <c r="Q23" s="34"/>
      <c r="R23" s="33"/>
      <c r="S23" s="33"/>
      <c r="T23" s="33"/>
      <c r="U23" s="33"/>
      <c r="V23" s="33"/>
      <c r="W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</row>
    <row r="24" spans="1:77" x14ac:dyDescent="0.3">
      <c r="A24" s="33"/>
      <c r="B24" s="35" t="s">
        <v>62</v>
      </c>
      <c r="C24" s="61"/>
      <c r="D24" s="61"/>
      <c r="E24" s="34"/>
      <c r="F24" s="51"/>
      <c r="G24" s="51"/>
      <c r="H24" s="33"/>
      <c r="I24" s="46"/>
      <c r="J24" s="51"/>
      <c r="K24" s="33"/>
      <c r="L24" s="33"/>
      <c r="M24" s="34"/>
      <c r="N24" s="33"/>
      <c r="O24" s="33"/>
      <c r="P24" s="33"/>
      <c r="Q24" s="46"/>
      <c r="R24" s="33"/>
      <c r="S24" s="33"/>
      <c r="T24" s="33"/>
      <c r="U24" s="33"/>
      <c r="V24" s="33"/>
      <c r="W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</row>
    <row r="25" spans="1:77" x14ac:dyDescent="0.3">
      <c r="A25" s="33"/>
      <c r="B25" s="33" t="s">
        <v>63</v>
      </c>
      <c r="C25" s="39">
        <v>2.06</v>
      </c>
      <c r="D25" s="39">
        <v>4.99</v>
      </c>
      <c r="E25" s="34"/>
      <c r="F25" s="47">
        <f t="shared" ref="F25:F26" si="31">C25/$C$10</f>
        <v>9.5056156962632785E-6</v>
      </c>
      <c r="G25" s="47">
        <f t="shared" ref="G25:G26" si="32">D25/$D$10</f>
        <v>1.615623957857793E-5</v>
      </c>
      <c r="H25" s="33"/>
      <c r="I25" s="45">
        <f t="shared" ref="I25:I26" si="33">(D25-C25)</f>
        <v>2.93</v>
      </c>
      <c r="J25" s="47">
        <f t="shared" ref="J25:J26" si="34">((D25-C25)/C25)</f>
        <v>1.4223300970873787</v>
      </c>
      <c r="K25" s="33"/>
      <c r="L25" s="33"/>
      <c r="M25" s="34"/>
      <c r="N25" s="33"/>
      <c r="O25" s="33"/>
      <c r="P25" s="33"/>
      <c r="Q25" s="33"/>
      <c r="R25" s="33"/>
      <c r="S25" s="33"/>
      <c r="T25" s="33"/>
      <c r="U25" s="33"/>
      <c r="V25" s="33"/>
      <c r="W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</row>
    <row r="26" spans="1:77" x14ac:dyDescent="0.3">
      <c r="A26" s="33"/>
      <c r="B26" s="33" t="s">
        <v>64</v>
      </c>
      <c r="C26" s="39">
        <v>0.54</v>
      </c>
      <c r="D26" s="39">
        <v>1.31</v>
      </c>
      <c r="E26" s="34"/>
      <c r="F26" s="47">
        <f t="shared" si="31"/>
        <v>2.4917633378554227E-6</v>
      </c>
      <c r="G26" s="47">
        <f t="shared" si="32"/>
        <v>4.2414176047970111E-6</v>
      </c>
      <c r="H26" s="33"/>
      <c r="I26" s="45">
        <f t="shared" si="33"/>
        <v>0.77</v>
      </c>
      <c r="J26" s="47">
        <f t="shared" si="34"/>
        <v>1.4259259259259258</v>
      </c>
      <c r="K26" s="33"/>
      <c r="L26" s="33"/>
      <c r="M26" s="34"/>
      <c r="N26" s="33"/>
      <c r="O26" s="33"/>
      <c r="P26" s="33"/>
      <c r="Q26" s="46"/>
      <c r="R26" s="33"/>
      <c r="S26" s="33"/>
      <c r="T26" s="33"/>
      <c r="U26" s="33"/>
      <c r="V26" s="33"/>
      <c r="W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</row>
    <row r="27" spans="1:77" x14ac:dyDescent="0.3">
      <c r="A27" s="33"/>
      <c r="B27" s="35" t="s">
        <v>65</v>
      </c>
      <c r="C27" s="62"/>
      <c r="D27" s="62"/>
      <c r="E27" s="34"/>
      <c r="F27" s="51"/>
      <c r="G27" s="51"/>
      <c r="H27" s="33"/>
      <c r="I27" s="33"/>
      <c r="J27" s="33"/>
      <c r="K27" s="33"/>
      <c r="L27" s="33"/>
      <c r="M27" s="34"/>
      <c r="N27" s="63"/>
      <c r="O27" s="233" t="s">
        <v>159</v>
      </c>
      <c r="P27" s="234"/>
      <c r="Q27" s="64"/>
      <c r="R27" s="33"/>
      <c r="S27" s="33"/>
      <c r="T27" s="33"/>
      <c r="U27" s="33"/>
      <c r="V27" s="33"/>
      <c r="W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</row>
    <row r="28" spans="1:77" x14ac:dyDescent="0.3">
      <c r="A28" s="33"/>
      <c r="B28" s="33" t="s">
        <v>63</v>
      </c>
      <c r="C28" s="65">
        <v>37297221</v>
      </c>
      <c r="D28" s="65">
        <v>38990556</v>
      </c>
      <c r="E28" s="34"/>
      <c r="F28" s="51"/>
      <c r="G28" s="51"/>
      <c r="H28" s="33"/>
      <c r="I28" s="33"/>
      <c r="J28" s="33"/>
      <c r="K28" s="33"/>
      <c r="L28" s="33"/>
      <c r="M28" s="34"/>
      <c r="N28" s="66" t="s">
        <v>160</v>
      </c>
      <c r="O28" s="66">
        <v>2024</v>
      </c>
      <c r="P28" s="66">
        <v>2025</v>
      </c>
      <c r="Q28" s="33"/>
      <c r="R28" s="33"/>
      <c r="S28" s="33"/>
      <c r="T28" s="33"/>
      <c r="U28" s="33"/>
      <c r="V28" s="33"/>
      <c r="W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</row>
    <row r="29" spans="1:77" x14ac:dyDescent="0.3">
      <c r="A29" s="33"/>
      <c r="B29" s="33" t="s">
        <v>64</v>
      </c>
      <c r="C29" s="65">
        <v>143878296</v>
      </c>
      <c r="D29" s="65">
        <v>138660318</v>
      </c>
      <c r="E29" s="34"/>
      <c r="F29" s="51"/>
      <c r="G29" s="51"/>
      <c r="H29" s="33"/>
      <c r="I29" s="33"/>
      <c r="J29" s="33"/>
      <c r="K29" s="33"/>
      <c r="L29" s="33"/>
      <c r="M29" s="33"/>
      <c r="N29" s="67" t="s">
        <v>161</v>
      </c>
      <c r="O29" s="68">
        <f t="shared" ref="O29:P29" si="35">((C66)/C10)*365</f>
        <v>33.989797613444452</v>
      </c>
      <c r="P29" s="68">
        <f t="shared" si="35"/>
        <v>34.421386457898265</v>
      </c>
      <c r="Q29" s="33"/>
      <c r="R29" s="33"/>
      <c r="S29" s="33"/>
      <c r="T29" s="33"/>
      <c r="U29" s="33"/>
      <c r="V29" s="33"/>
      <c r="W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</row>
    <row r="30" spans="1:77" x14ac:dyDescent="0.3">
      <c r="A30" s="33"/>
      <c r="B30" s="33"/>
      <c r="C30" s="33"/>
      <c r="D30" s="33"/>
      <c r="E30" s="34"/>
      <c r="F30" s="51"/>
      <c r="G30" s="51"/>
      <c r="H30" s="33"/>
      <c r="I30" s="33"/>
      <c r="J30" s="33"/>
      <c r="K30" s="33"/>
      <c r="L30" s="33"/>
      <c r="M30" s="33"/>
      <c r="N30" s="67" t="s">
        <v>162</v>
      </c>
      <c r="O30" s="45">
        <f t="shared" ref="O30:P30" si="36">(C78/C12)*365</f>
        <v>50.690016595335834</v>
      </c>
      <c r="P30" s="45">
        <f t="shared" si="36"/>
        <v>76.232237437023642</v>
      </c>
      <c r="Q30" s="33"/>
      <c r="R30" s="33"/>
      <c r="S30" s="33"/>
      <c r="T30" s="33"/>
      <c r="U30" s="33"/>
      <c r="V30" s="33"/>
      <c r="W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</row>
    <row r="31" spans="1:77" x14ac:dyDescent="0.3">
      <c r="A31" s="33"/>
      <c r="B31" s="33"/>
      <c r="C31" s="33"/>
      <c r="D31" s="33"/>
      <c r="E31" s="34"/>
      <c r="F31" s="51"/>
      <c r="G31" s="51"/>
      <c r="H31" s="33"/>
      <c r="I31" s="33"/>
      <c r="J31" s="33"/>
      <c r="K31" s="33"/>
      <c r="L31" s="33"/>
      <c r="M31" s="33"/>
      <c r="N31" s="67" t="s">
        <v>163</v>
      </c>
      <c r="O31" s="69">
        <v>0</v>
      </c>
      <c r="P31" s="69">
        <v>0</v>
      </c>
      <c r="Q31" s="33"/>
      <c r="R31" s="33"/>
      <c r="S31" s="33"/>
      <c r="T31" s="33"/>
      <c r="U31" s="33"/>
      <c r="V31" s="33"/>
      <c r="W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</row>
    <row r="32" spans="1:77" x14ac:dyDescent="0.3">
      <c r="A32" s="33"/>
      <c r="B32" s="60" t="s">
        <v>66</v>
      </c>
      <c r="C32" s="70">
        <f t="shared" ref="C32:D32" si="37">+C21/C20</f>
        <v>2.065174515517439E-2</v>
      </c>
      <c r="D32" s="71">
        <f t="shared" si="37"/>
        <v>-0.39659840981404737</v>
      </c>
      <c r="E32" s="34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</row>
    <row r="33" spans="1:77" x14ac:dyDescent="0.3">
      <c r="A33" s="33"/>
      <c r="B33" s="33"/>
      <c r="C33" s="33"/>
      <c r="D33" s="33"/>
      <c r="E33" s="34"/>
      <c r="F33" s="33"/>
      <c r="G33" s="33"/>
      <c r="H33" s="33"/>
      <c r="I33" s="33"/>
      <c r="J33" s="33"/>
      <c r="K33" s="33"/>
      <c r="L33" s="33"/>
      <c r="M33" s="34"/>
      <c r="N33" s="33"/>
      <c r="O33" s="33"/>
      <c r="P33" s="33"/>
      <c r="Q33" s="33"/>
      <c r="R33" s="33"/>
      <c r="S33" s="33"/>
      <c r="T33" s="33"/>
      <c r="U33" s="33"/>
      <c r="V33" s="33"/>
      <c r="W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</row>
    <row r="34" spans="1:77" x14ac:dyDescent="0.3">
      <c r="A34" s="33"/>
      <c r="B34" s="33"/>
      <c r="C34" s="33"/>
      <c r="D34" s="33"/>
      <c r="E34" s="34"/>
      <c r="F34" s="33"/>
      <c r="G34" s="33"/>
      <c r="H34" s="33"/>
      <c r="I34" s="33"/>
      <c r="J34" s="33"/>
      <c r="K34" s="33"/>
      <c r="L34" s="33"/>
      <c r="M34" s="33"/>
      <c r="N34" s="63"/>
      <c r="O34" s="233" t="s">
        <v>159</v>
      </c>
      <c r="P34" s="234"/>
      <c r="Q34" s="64"/>
      <c r="R34" s="33"/>
      <c r="S34" s="33"/>
      <c r="T34" s="33"/>
      <c r="U34" s="33"/>
      <c r="V34" s="33"/>
      <c r="W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</row>
    <row r="35" spans="1:77" x14ac:dyDescent="0.3">
      <c r="A35" s="33"/>
      <c r="B35" s="33"/>
      <c r="C35" s="33"/>
      <c r="D35" s="33"/>
      <c r="E35" s="34"/>
      <c r="F35" s="33"/>
      <c r="G35" s="33"/>
      <c r="H35" s="33"/>
      <c r="I35" s="33"/>
      <c r="J35" s="33"/>
      <c r="K35" s="33"/>
      <c r="L35" s="33"/>
      <c r="M35" s="33"/>
      <c r="N35" s="66" t="s">
        <v>160</v>
      </c>
      <c r="O35" s="66">
        <v>2024</v>
      </c>
      <c r="P35" s="66">
        <v>2025</v>
      </c>
      <c r="Q35" s="33"/>
      <c r="R35" s="33"/>
      <c r="S35" s="33"/>
      <c r="T35" s="33"/>
      <c r="U35" s="33"/>
      <c r="V35" s="33"/>
      <c r="W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</row>
    <row r="36" spans="1:77" x14ac:dyDescent="0.3">
      <c r="A36" s="33"/>
      <c r="B36" s="33"/>
      <c r="C36" s="33"/>
      <c r="D36" s="33"/>
      <c r="E36" s="34"/>
      <c r="F36" s="33"/>
      <c r="G36" s="33"/>
      <c r="H36" s="33"/>
      <c r="I36" s="33"/>
      <c r="J36" s="33"/>
      <c r="K36" s="33"/>
      <c r="L36" s="33"/>
      <c r="M36" s="33"/>
      <c r="N36" s="72" t="s">
        <v>164</v>
      </c>
      <c r="O36" s="33"/>
      <c r="P36" s="33"/>
      <c r="Q36" s="33"/>
      <c r="R36" s="33"/>
      <c r="S36" s="33"/>
      <c r="T36" s="33"/>
      <c r="U36" s="33"/>
      <c r="V36" s="33"/>
      <c r="W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</row>
    <row r="37" spans="1:77" x14ac:dyDescent="0.3">
      <c r="A37" s="33"/>
      <c r="B37" s="33"/>
      <c r="C37" s="33"/>
      <c r="D37" s="33"/>
      <c r="E37" s="34"/>
      <c r="F37" s="33"/>
      <c r="G37" s="33"/>
      <c r="H37" s="33"/>
      <c r="I37" s="33"/>
      <c r="J37" s="33"/>
      <c r="K37" s="33"/>
      <c r="L37" s="33"/>
      <c r="M37" s="33"/>
      <c r="N37" s="33" t="s">
        <v>165</v>
      </c>
      <c r="O37" s="73">
        <f t="shared" ref="O37:P37" si="38">C69/C85</f>
        <v>1.4339920779053639</v>
      </c>
      <c r="P37" s="73">
        <f t="shared" si="38"/>
        <v>2.0000230916217823</v>
      </c>
      <c r="Q37" s="33"/>
      <c r="R37" s="33"/>
      <c r="S37" s="33"/>
      <c r="T37" s="33"/>
      <c r="U37" s="33"/>
      <c r="V37" s="33"/>
      <c r="W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</row>
    <row r="38" spans="1:77" x14ac:dyDescent="0.3">
      <c r="A38" s="33"/>
      <c r="B38" s="33"/>
      <c r="C38" s="33"/>
      <c r="D38" s="33"/>
      <c r="E38" s="34"/>
      <c r="F38" s="33"/>
      <c r="G38" s="33"/>
      <c r="H38" s="33"/>
      <c r="I38" s="33"/>
      <c r="J38" s="33"/>
      <c r="K38" s="33"/>
      <c r="L38" s="33"/>
      <c r="M38" s="33"/>
      <c r="N38" s="33" t="s">
        <v>166</v>
      </c>
      <c r="O38" s="73">
        <f t="shared" ref="O38:P38" si="39">(C63+C65)/C85</f>
        <v>1.1167221975947721</v>
      </c>
      <c r="P38" s="73">
        <f t="shared" si="39"/>
        <v>1.5089104795552553</v>
      </c>
      <c r="Q38" s="33"/>
      <c r="R38" s="33"/>
      <c r="S38" s="33"/>
      <c r="T38" s="33"/>
      <c r="U38" s="33"/>
      <c r="V38" s="33"/>
      <c r="W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</row>
    <row r="39" spans="1:77" x14ac:dyDescent="0.3">
      <c r="A39" s="33"/>
      <c r="B39" s="33"/>
      <c r="C39" s="33"/>
      <c r="D39" s="33"/>
      <c r="E39" s="34"/>
      <c r="F39" s="33"/>
      <c r="G39" s="33"/>
      <c r="H39" s="33"/>
      <c r="I39" s="33"/>
      <c r="J39" s="33"/>
      <c r="K39" s="33"/>
      <c r="L39" s="33"/>
      <c r="M39" s="33"/>
      <c r="N39" s="33" t="s">
        <v>167</v>
      </c>
      <c r="O39" s="73">
        <f t="shared" ref="O39:P39" si="40">C63/C85</f>
        <v>0.62004690337618507</v>
      </c>
      <c r="P39" s="73">
        <f t="shared" si="40"/>
        <v>0.82471727195580269</v>
      </c>
      <c r="Q39" s="33"/>
      <c r="R39" s="33"/>
      <c r="S39" s="33"/>
      <c r="T39" s="33"/>
      <c r="U39" s="33"/>
      <c r="V39" s="33"/>
      <c r="W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</row>
    <row r="40" spans="1:77" x14ac:dyDescent="0.3">
      <c r="A40" s="33"/>
      <c r="B40" s="33"/>
      <c r="C40" s="33"/>
      <c r="D40" s="33"/>
      <c r="E40" s="34"/>
      <c r="F40" s="33"/>
      <c r="G40" s="33"/>
      <c r="H40" s="33"/>
      <c r="I40" s="33"/>
      <c r="J40" s="33"/>
      <c r="K40" s="33"/>
      <c r="L40" s="33"/>
      <c r="M40" s="33"/>
      <c r="N40" s="72" t="s">
        <v>168</v>
      </c>
      <c r="O40" s="34"/>
      <c r="P40" s="34"/>
      <c r="Q40" s="33"/>
      <c r="R40" s="33"/>
      <c r="S40" s="33"/>
      <c r="T40" s="33"/>
      <c r="U40" s="33"/>
      <c r="V40" s="33"/>
      <c r="W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</row>
    <row r="41" spans="1:77" x14ac:dyDescent="0.3">
      <c r="A41" s="33"/>
      <c r="B41" s="33"/>
      <c r="C41" s="33"/>
      <c r="D41" s="33"/>
      <c r="E41" s="34"/>
      <c r="F41" s="33"/>
      <c r="G41" s="33"/>
      <c r="H41" s="33"/>
      <c r="I41" s="33"/>
      <c r="J41" s="33"/>
      <c r="K41" s="33"/>
      <c r="L41" s="33"/>
      <c r="M41" s="34"/>
      <c r="N41" s="33" t="s">
        <v>169</v>
      </c>
      <c r="O41" s="74">
        <f>'P&amp;L'!C22/'P&amp;L'!C10</f>
        <v>0.355150105669223</v>
      </c>
      <c r="P41" s="74">
        <f>'P&amp;L'!D22/'P&amp;L'!D10</f>
        <v>0.62956559465646134</v>
      </c>
      <c r="Q41" s="33"/>
      <c r="R41" s="33"/>
      <c r="S41" s="33"/>
      <c r="T41" s="33"/>
      <c r="U41" s="33"/>
      <c r="V41" s="33"/>
      <c r="W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</row>
    <row r="42" spans="1:77" x14ac:dyDescent="0.3">
      <c r="A42" s="33"/>
      <c r="B42" s="33"/>
      <c r="C42" s="33"/>
      <c r="D42" s="33"/>
      <c r="E42" s="34"/>
      <c r="F42" s="33"/>
      <c r="G42" s="33"/>
      <c r="H42" s="33"/>
      <c r="I42" s="33"/>
      <c r="J42" s="33"/>
      <c r="K42" s="33"/>
      <c r="L42" s="33"/>
      <c r="M42" s="33"/>
      <c r="N42" s="33" t="s">
        <v>170</v>
      </c>
      <c r="O42" s="74">
        <f t="shared" ref="O42:P42" si="41">O19</f>
        <v>0.33296705198311066</v>
      </c>
      <c r="P42" s="74">
        <f t="shared" si="41"/>
        <v>0.44679301296397567</v>
      </c>
      <c r="Q42" s="33"/>
      <c r="R42" s="33"/>
      <c r="S42" s="33"/>
      <c r="T42" s="33"/>
      <c r="U42" s="33"/>
      <c r="V42" s="33"/>
      <c r="W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</row>
    <row r="43" spans="1:77" x14ac:dyDescent="0.3">
      <c r="A43" s="33"/>
      <c r="B43" s="33"/>
      <c r="C43" s="33"/>
      <c r="D43" s="33"/>
      <c r="E43" s="34"/>
      <c r="F43" s="33"/>
      <c r="G43" s="33"/>
      <c r="H43" s="33"/>
      <c r="I43" s="33"/>
      <c r="J43" s="33"/>
      <c r="K43" s="33"/>
      <c r="L43" s="33"/>
      <c r="M43" s="33"/>
      <c r="N43" s="33" t="s">
        <v>171</v>
      </c>
      <c r="O43" s="74">
        <f t="shared" ref="O43:P43" si="42">(C10-C12)/C10</f>
        <v>0.89434000572182693</v>
      </c>
      <c r="P43" s="74">
        <f t="shared" si="42"/>
        <v>0.8997471338053934</v>
      </c>
      <c r="Q43" s="33"/>
      <c r="R43" s="33"/>
      <c r="S43" s="33"/>
      <c r="T43" s="33"/>
      <c r="U43" s="33"/>
      <c r="V43" s="33"/>
      <c r="W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</row>
    <row r="44" spans="1:77" x14ac:dyDescent="0.3">
      <c r="A44" s="33"/>
      <c r="B44" s="33"/>
      <c r="C44" s="33"/>
      <c r="D44" s="33"/>
      <c r="E44" s="34"/>
      <c r="F44" s="33"/>
      <c r="G44" s="33"/>
      <c r="H44" s="33"/>
      <c r="I44" s="33"/>
      <c r="J44" s="33"/>
      <c r="K44" s="33"/>
      <c r="L44" s="33"/>
      <c r="M44" s="33"/>
      <c r="N44" s="57" t="s">
        <v>172</v>
      </c>
      <c r="O44" s="58">
        <f t="shared" ref="O44:P44" si="43">C20/C10</f>
        <v>0.36263923881244403</v>
      </c>
      <c r="P44" s="58">
        <f t="shared" si="43"/>
        <v>0.45078498602922368</v>
      </c>
      <c r="Q44" s="33"/>
      <c r="R44" s="33"/>
      <c r="S44" s="33"/>
      <c r="T44" s="33"/>
      <c r="U44" s="33"/>
      <c r="V44" s="33"/>
      <c r="W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</row>
    <row r="45" spans="1:77" x14ac:dyDescent="0.3">
      <c r="A45" s="33"/>
      <c r="B45" s="33"/>
      <c r="C45" s="33"/>
      <c r="D45" s="33"/>
      <c r="E45" s="34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</row>
    <row r="46" spans="1:77" x14ac:dyDescent="0.3">
      <c r="A46" s="33"/>
      <c r="B46" s="33"/>
      <c r="C46" s="33"/>
      <c r="D46" s="33"/>
      <c r="E46" s="34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</row>
    <row r="47" spans="1:77" x14ac:dyDescent="0.3">
      <c r="A47" s="33"/>
      <c r="B47" s="33"/>
      <c r="C47" s="33"/>
      <c r="D47" s="33"/>
      <c r="E47" s="34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</row>
    <row r="48" spans="1:77" x14ac:dyDescent="0.3">
      <c r="A48" s="33"/>
      <c r="B48" s="33"/>
      <c r="C48" s="33"/>
      <c r="D48" s="33"/>
      <c r="E48" s="34"/>
      <c r="F48" s="33"/>
      <c r="G48" s="33"/>
      <c r="H48" s="33"/>
      <c r="I48" s="33"/>
      <c r="J48" s="33"/>
      <c r="K48" s="33"/>
      <c r="L48" s="33"/>
      <c r="M48" s="33"/>
      <c r="N48" s="33"/>
      <c r="O48" s="75"/>
      <c r="P48" s="33"/>
      <c r="Q48" s="33"/>
      <c r="R48" s="33"/>
      <c r="S48" s="33"/>
      <c r="T48" s="33"/>
      <c r="U48" s="33"/>
      <c r="V48" s="33"/>
      <c r="W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</row>
    <row r="49" spans="1:77" x14ac:dyDescent="0.3">
      <c r="A49" s="33"/>
      <c r="B49" s="33"/>
      <c r="C49" s="33"/>
      <c r="D49" s="33"/>
      <c r="E49" s="34"/>
      <c r="F49" s="33"/>
      <c r="G49" s="33"/>
      <c r="H49" s="33"/>
      <c r="I49" s="33"/>
      <c r="J49" s="33"/>
      <c r="K49" s="33"/>
      <c r="L49" s="33"/>
      <c r="M49" s="33"/>
      <c r="N49" s="33"/>
      <c r="O49" s="75"/>
      <c r="P49" s="33"/>
      <c r="Q49" s="33"/>
      <c r="R49" s="33"/>
      <c r="S49" s="33"/>
      <c r="T49" s="33"/>
      <c r="U49" s="33"/>
      <c r="V49" s="33"/>
      <c r="W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</row>
    <row r="50" spans="1:77" x14ac:dyDescent="0.3">
      <c r="A50" s="33"/>
      <c r="B50" s="33"/>
      <c r="C50" s="33"/>
      <c r="D50" s="33"/>
      <c r="E50" s="34"/>
      <c r="F50" s="33"/>
      <c r="G50" s="33"/>
      <c r="H50" s="33"/>
      <c r="I50" s="33"/>
      <c r="J50" s="33"/>
      <c r="K50" s="33"/>
      <c r="L50" s="33"/>
      <c r="M50" s="33"/>
      <c r="N50" s="33"/>
      <c r="O50" s="75"/>
      <c r="P50" s="33"/>
      <c r="Q50" s="33"/>
      <c r="R50" s="33"/>
      <c r="S50" s="33"/>
      <c r="T50" s="33"/>
      <c r="U50" s="33"/>
      <c r="V50" s="33"/>
      <c r="W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</row>
    <row r="51" spans="1:77" x14ac:dyDescent="0.3">
      <c r="A51" s="33"/>
      <c r="B51" s="33"/>
      <c r="C51" s="33"/>
      <c r="D51" s="33"/>
      <c r="E51" s="34"/>
      <c r="F51" s="33"/>
      <c r="G51" s="33"/>
      <c r="H51" s="33"/>
      <c r="I51" s="33"/>
      <c r="J51" s="33"/>
      <c r="K51" s="33"/>
      <c r="L51" s="33"/>
      <c r="M51" s="33"/>
      <c r="N51" s="33"/>
      <c r="O51" s="75"/>
      <c r="P51" s="33"/>
      <c r="Q51" s="33"/>
      <c r="R51" s="33"/>
      <c r="S51" s="33"/>
      <c r="T51" s="33"/>
      <c r="U51" s="33"/>
      <c r="V51" s="33"/>
      <c r="W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</row>
    <row r="52" spans="1:77" x14ac:dyDescent="0.3">
      <c r="A52" s="33"/>
      <c r="B52" s="33"/>
      <c r="C52" s="33"/>
      <c r="D52" s="33"/>
      <c r="E52" s="34"/>
      <c r="F52" s="33"/>
      <c r="G52" s="33"/>
      <c r="H52" s="33"/>
      <c r="I52" s="33"/>
      <c r="J52" s="33"/>
      <c r="K52" s="33"/>
      <c r="L52" s="33"/>
      <c r="M52" s="33"/>
      <c r="N52" s="227" t="s">
        <v>173</v>
      </c>
      <c r="O52" s="228"/>
      <c r="P52" s="228"/>
      <c r="Q52" s="228"/>
      <c r="R52" s="228"/>
      <c r="S52" s="228"/>
      <c r="T52" s="229"/>
      <c r="U52" s="33"/>
      <c r="V52" s="33"/>
      <c r="W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</row>
    <row r="53" spans="1:77" x14ac:dyDescent="0.3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66" t="s">
        <v>160</v>
      </c>
      <c r="O53" s="76" t="s">
        <v>174</v>
      </c>
      <c r="P53" s="77" t="s">
        <v>175</v>
      </c>
      <c r="Q53" s="77" t="s">
        <v>176</v>
      </c>
      <c r="R53" s="77" t="s">
        <v>177</v>
      </c>
      <c r="S53" s="77" t="s">
        <v>178</v>
      </c>
      <c r="T53" s="77" t="s">
        <v>179</v>
      </c>
      <c r="U53" s="33"/>
      <c r="V53" s="33"/>
      <c r="W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</row>
    <row r="54" spans="1:77" x14ac:dyDescent="0.3">
      <c r="A54" s="33"/>
      <c r="B54" s="33"/>
      <c r="C54" s="33"/>
      <c r="D54" s="33"/>
      <c r="E54" s="34"/>
      <c r="F54" s="33"/>
      <c r="G54" s="33"/>
      <c r="H54" s="33"/>
      <c r="I54" s="33"/>
      <c r="J54" s="33"/>
      <c r="K54" s="33"/>
      <c r="L54" s="33"/>
      <c r="M54" s="33"/>
      <c r="N54" s="35" t="s">
        <v>164</v>
      </c>
      <c r="O54" s="33"/>
      <c r="P54" s="33"/>
      <c r="Q54" s="33"/>
      <c r="R54" s="33"/>
      <c r="S54" s="33"/>
      <c r="T54" s="33"/>
      <c r="U54" s="33"/>
      <c r="V54" s="33"/>
      <c r="W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</row>
    <row r="55" spans="1:77" x14ac:dyDescent="0.3">
      <c r="A55" s="33"/>
      <c r="B55" s="33"/>
      <c r="C55" s="33"/>
      <c r="D55" s="33"/>
      <c r="E55" s="34"/>
      <c r="F55" s="33"/>
      <c r="G55" s="33"/>
      <c r="H55" s="33"/>
      <c r="I55" s="33"/>
      <c r="J55" s="33"/>
      <c r="K55" s="33"/>
      <c r="L55" s="33"/>
      <c r="M55" s="33"/>
      <c r="N55" s="33" t="s">
        <v>165</v>
      </c>
      <c r="O55" s="68">
        <f t="shared" ref="O55:O56" si="44">AVERAGE(Q55:T55)</f>
        <v>0.97250000000000003</v>
      </c>
      <c r="P55" s="68">
        <f t="shared" ref="P55:P56" si="45">P37</f>
        <v>2.0000230916217823</v>
      </c>
      <c r="Q55" s="68">
        <v>1.1499999999999999</v>
      </c>
      <c r="R55" s="68">
        <v>1.05</v>
      </c>
      <c r="S55" s="68">
        <v>1.1000000000000001</v>
      </c>
      <c r="T55" s="68">
        <v>0.59</v>
      </c>
      <c r="U55" s="33"/>
      <c r="V55" s="33"/>
      <c r="W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</row>
    <row r="56" spans="1:77" x14ac:dyDescent="0.3">
      <c r="A56" s="33"/>
      <c r="B56" s="33"/>
      <c r="C56" s="33"/>
      <c r="D56" s="33"/>
      <c r="E56" s="34"/>
      <c r="F56" s="33"/>
      <c r="G56" s="230"/>
      <c r="H56" s="229"/>
      <c r="I56" s="33"/>
      <c r="J56" s="33"/>
      <c r="K56" s="33"/>
      <c r="L56" s="33"/>
      <c r="M56" s="33"/>
      <c r="N56" s="33" t="s">
        <v>166</v>
      </c>
      <c r="O56" s="68">
        <f t="shared" si="44"/>
        <v>0.82250000000000001</v>
      </c>
      <c r="P56" s="68">
        <f t="shared" si="45"/>
        <v>1.5089104795552553</v>
      </c>
      <c r="Q56" s="68">
        <v>0.49</v>
      </c>
      <c r="R56" s="68">
        <v>1.1100000000000001</v>
      </c>
      <c r="S56" s="68">
        <v>1.1000000000000001</v>
      </c>
      <c r="T56" s="68">
        <v>0.59</v>
      </c>
      <c r="U56" s="33"/>
      <c r="V56" s="33"/>
      <c r="W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</row>
    <row r="57" spans="1:77" x14ac:dyDescent="0.3">
      <c r="A57" s="33"/>
      <c r="B57" s="35" t="s">
        <v>0</v>
      </c>
      <c r="C57" s="33"/>
      <c r="D57" s="33"/>
      <c r="E57" s="34"/>
      <c r="F57" s="33"/>
      <c r="G57" s="33"/>
      <c r="H57" s="33"/>
      <c r="I57" s="33"/>
      <c r="J57" s="33"/>
      <c r="K57" s="33"/>
      <c r="L57" s="33"/>
      <c r="M57" s="33"/>
      <c r="N57" s="35" t="s">
        <v>168</v>
      </c>
      <c r="O57" s="33"/>
      <c r="P57" s="33"/>
      <c r="Q57" s="33"/>
      <c r="R57" s="33"/>
      <c r="S57" s="33"/>
      <c r="T57" s="33"/>
      <c r="U57" s="33"/>
      <c r="V57" s="33"/>
      <c r="W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</row>
    <row r="58" spans="1:77" x14ac:dyDescent="0.3">
      <c r="A58" s="33"/>
      <c r="B58" s="33" t="s">
        <v>1</v>
      </c>
      <c r="C58" s="33"/>
      <c r="D58" s="33"/>
      <c r="E58" s="34"/>
      <c r="F58" s="231" t="s">
        <v>136</v>
      </c>
      <c r="G58" s="226"/>
      <c r="H58" s="33"/>
      <c r="I58" s="33"/>
      <c r="J58" s="33"/>
      <c r="K58" s="33"/>
      <c r="L58" s="33"/>
      <c r="M58" s="33"/>
      <c r="N58" s="33" t="s">
        <v>180</v>
      </c>
      <c r="O58" s="47">
        <f t="shared" ref="O58:O61" si="46">AVERAGE(Q58:T58)</f>
        <v>0.37045000000000006</v>
      </c>
      <c r="P58" s="47">
        <f>J10</f>
        <v>0.42519172734571831</v>
      </c>
      <c r="Q58" s="47">
        <v>0.30620000000000003</v>
      </c>
      <c r="R58" s="47">
        <v>0.74590000000000001</v>
      </c>
      <c r="S58" s="47">
        <v>0.21299999999999999</v>
      </c>
      <c r="T58" s="47">
        <v>0.2167</v>
      </c>
      <c r="U58" s="33"/>
      <c r="V58" s="33"/>
      <c r="W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</row>
    <row r="59" spans="1:77" x14ac:dyDescent="0.3">
      <c r="A59" s="33"/>
      <c r="B59" s="33"/>
      <c r="C59" s="33"/>
      <c r="D59" s="33"/>
      <c r="E59" s="34"/>
      <c r="F59" s="33"/>
      <c r="G59" s="33"/>
      <c r="H59" s="33"/>
      <c r="I59" s="33"/>
      <c r="J59" s="33"/>
      <c r="K59" s="33"/>
      <c r="L59" s="33"/>
      <c r="M59" s="33"/>
      <c r="N59" s="33" t="s">
        <v>171</v>
      </c>
      <c r="O59" s="47">
        <f t="shared" si="46"/>
        <v>0.90997499999999998</v>
      </c>
      <c r="P59" s="47">
        <f t="shared" ref="P59:P60" si="47">P43</f>
        <v>0.8997471338053934</v>
      </c>
      <c r="Q59" s="47">
        <v>0.82509999999999994</v>
      </c>
      <c r="R59" s="47">
        <v>0.92249999999999999</v>
      </c>
      <c r="S59" s="47">
        <v>0.91890000000000005</v>
      </c>
      <c r="T59" s="47">
        <v>0.97340000000000004</v>
      </c>
      <c r="U59" s="33"/>
      <c r="V59" s="33"/>
      <c r="W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</row>
    <row r="60" spans="1:77" x14ac:dyDescent="0.3">
      <c r="A60" s="33"/>
      <c r="B60" s="41" t="s">
        <v>2</v>
      </c>
      <c r="C60" s="42">
        <v>2024</v>
      </c>
      <c r="D60" s="42">
        <v>2025</v>
      </c>
      <c r="E60" s="34"/>
      <c r="F60" s="43" t="s">
        <v>138</v>
      </c>
      <c r="G60" s="43" t="s">
        <v>139</v>
      </c>
      <c r="H60" s="33"/>
      <c r="I60" s="33"/>
      <c r="J60" s="42">
        <v>2024</v>
      </c>
      <c r="K60" s="42">
        <v>2025</v>
      </c>
      <c r="L60" s="33"/>
      <c r="M60" s="33"/>
      <c r="N60" s="33" t="s">
        <v>172</v>
      </c>
      <c r="O60" s="47">
        <f t="shared" si="46"/>
        <v>0.45052500000000006</v>
      </c>
      <c r="P60" s="47">
        <f t="shared" si="47"/>
        <v>0.45078498602922368</v>
      </c>
      <c r="Q60" s="47">
        <v>0.12189999999999999</v>
      </c>
      <c r="R60" s="47">
        <v>0.47410000000000002</v>
      </c>
      <c r="S60" s="47">
        <v>0.74350000000000005</v>
      </c>
      <c r="T60" s="47">
        <v>0.46260000000000001</v>
      </c>
      <c r="U60" s="33"/>
      <c r="V60" s="33"/>
      <c r="W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</row>
    <row r="61" spans="1:77" x14ac:dyDescent="0.3">
      <c r="A61" s="33"/>
      <c r="B61" s="33" t="s">
        <v>181</v>
      </c>
      <c r="C61" s="33"/>
      <c r="D61" s="33"/>
      <c r="E61" s="34"/>
      <c r="F61" s="33"/>
      <c r="G61" s="33"/>
      <c r="H61" s="33"/>
      <c r="I61" s="33"/>
      <c r="J61" s="33"/>
      <c r="K61" s="33"/>
      <c r="L61" s="33"/>
      <c r="M61" s="33"/>
      <c r="N61" s="57" t="s">
        <v>182</v>
      </c>
      <c r="O61" s="78">
        <f t="shared" si="46"/>
        <v>0.30717500000000003</v>
      </c>
      <c r="P61" s="78">
        <f>P16</f>
        <v>0.62956559465646134</v>
      </c>
      <c r="Q61" s="78">
        <v>0.1946</v>
      </c>
      <c r="R61" s="78">
        <v>0.52190000000000003</v>
      </c>
      <c r="S61" s="78">
        <v>0.15290000000000001</v>
      </c>
      <c r="T61" s="78">
        <v>0.35930000000000001</v>
      </c>
      <c r="U61" s="33"/>
      <c r="V61" s="33"/>
      <c r="W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</row>
    <row r="62" spans="1:77" x14ac:dyDescent="0.3">
      <c r="A62" s="33"/>
      <c r="B62" s="43" t="s">
        <v>183</v>
      </c>
      <c r="C62" s="54"/>
      <c r="D62" s="54"/>
      <c r="E62" s="34"/>
      <c r="F62" s="33"/>
      <c r="G62" s="33"/>
      <c r="H62" s="33"/>
      <c r="I62" s="35" t="s">
        <v>184</v>
      </c>
      <c r="J62" s="45">
        <f t="shared" ref="J62:K62" si="48">C72</f>
        <v>13479</v>
      </c>
      <c r="K62" s="45">
        <f t="shared" si="48"/>
        <v>14723</v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</row>
    <row r="63" spans="1:77" x14ac:dyDescent="0.3">
      <c r="A63" s="33"/>
      <c r="B63" s="33" t="s">
        <v>185</v>
      </c>
      <c r="C63" s="39">
        <v>86721</v>
      </c>
      <c r="D63" s="39">
        <v>142860</v>
      </c>
      <c r="E63" s="34"/>
      <c r="F63" s="33"/>
      <c r="G63" s="33"/>
      <c r="H63" s="33"/>
      <c r="I63" s="33" t="s">
        <v>186</v>
      </c>
      <c r="J63" s="45">
        <f t="shared" ref="J63:K63" si="49">C86+C87+C102</f>
        <v>-143583</v>
      </c>
      <c r="K63" s="45">
        <f t="shared" si="49"/>
        <v>25134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</row>
    <row r="64" spans="1:77" x14ac:dyDescent="0.3">
      <c r="A64" s="33"/>
      <c r="B64" s="33" t="s">
        <v>187</v>
      </c>
      <c r="C64" s="39">
        <v>6461</v>
      </c>
      <c r="D64" s="39">
        <v>9083</v>
      </c>
      <c r="E64" s="34"/>
      <c r="F64" s="33"/>
      <c r="G64" s="33"/>
      <c r="H64" s="33"/>
      <c r="I64" s="33" t="s">
        <v>188</v>
      </c>
      <c r="J64" s="39">
        <f t="shared" ref="J64:K64" si="50">C102</f>
        <v>-180855</v>
      </c>
      <c r="K64" s="39">
        <f t="shared" si="50"/>
        <v>15338</v>
      </c>
      <c r="L64" s="33"/>
      <c r="M64" s="33"/>
      <c r="N64" s="33"/>
      <c r="O64" s="33"/>
      <c r="P64" s="33"/>
      <c r="Q64" s="33"/>
      <c r="R64" s="33"/>
      <c r="S64" s="33"/>
      <c r="T64" s="33"/>
      <c r="U64" s="49"/>
      <c r="V64" s="49"/>
      <c r="W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</row>
    <row r="65" spans="1:77" x14ac:dyDescent="0.3">
      <c r="A65" s="33"/>
      <c r="B65" s="33" t="s">
        <v>189</v>
      </c>
      <c r="C65" s="39">
        <v>69466</v>
      </c>
      <c r="D65" s="39">
        <v>118518</v>
      </c>
      <c r="E65" s="34"/>
      <c r="F65" s="45">
        <f t="shared" ref="F65:F75" si="51">D65-C65</f>
        <v>49052</v>
      </c>
      <c r="G65" s="47">
        <f t="shared" ref="G65:G69" si="52">((D65-C65)/C65)</f>
        <v>0.70612961736676938</v>
      </c>
      <c r="H65" s="33"/>
      <c r="I65" s="33" t="s">
        <v>190</v>
      </c>
      <c r="J65" s="45">
        <f>C20*(1-'P&amp;L'!C32)</f>
        <v>76966</v>
      </c>
      <c r="K65" s="45">
        <f>D20*(1-'P&amp;L'!D32)</f>
        <v>194447</v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</row>
    <row r="66" spans="1:77" x14ac:dyDescent="0.3">
      <c r="A66" s="33"/>
      <c r="B66" s="33" t="s">
        <v>191</v>
      </c>
      <c r="C66" s="39">
        <v>20181</v>
      </c>
      <c r="D66" s="39">
        <v>29127</v>
      </c>
      <c r="E66" s="34"/>
      <c r="F66" s="45">
        <f t="shared" si="51"/>
        <v>8946</v>
      </c>
      <c r="G66" s="47">
        <f t="shared" si="52"/>
        <v>0.44328824141519252</v>
      </c>
      <c r="H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</row>
    <row r="67" spans="1:77" x14ac:dyDescent="0.3">
      <c r="A67" s="33"/>
      <c r="B67" s="33" t="s">
        <v>192</v>
      </c>
      <c r="C67" s="39">
        <v>9024</v>
      </c>
      <c r="D67" s="39">
        <v>28057</v>
      </c>
      <c r="E67" s="34"/>
      <c r="F67" s="45">
        <f t="shared" si="51"/>
        <v>19033</v>
      </c>
      <c r="G67" s="47">
        <f t="shared" si="52"/>
        <v>2.1091533687943262</v>
      </c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</row>
    <row r="68" spans="1:77" x14ac:dyDescent="0.3">
      <c r="A68" s="33"/>
      <c r="B68" s="54" t="s">
        <v>193</v>
      </c>
      <c r="C68" s="39">
        <v>8708</v>
      </c>
      <c r="D68" s="39">
        <v>18805</v>
      </c>
      <c r="E68" s="34"/>
      <c r="F68" s="45">
        <f t="shared" si="51"/>
        <v>10097</v>
      </c>
      <c r="G68" s="47">
        <f t="shared" si="52"/>
        <v>1.1595084979329353</v>
      </c>
      <c r="H68" s="33"/>
      <c r="I68" s="33"/>
      <c r="J68" s="33"/>
      <c r="K68" s="33"/>
      <c r="L68" s="33"/>
      <c r="M68" s="33"/>
      <c r="N68" s="79">
        <v>0.42519172734571831</v>
      </c>
      <c r="O68" s="33"/>
      <c r="P68" s="33"/>
      <c r="Q68" s="33"/>
      <c r="R68" s="33"/>
      <c r="S68" s="33"/>
      <c r="T68" s="33"/>
      <c r="U68" s="33"/>
      <c r="V68" s="33"/>
      <c r="W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</row>
    <row r="69" spans="1:77" x14ac:dyDescent="0.3">
      <c r="A69" s="33"/>
      <c r="B69" s="35" t="s">
        <v>194</v>
      </c>
      <c r="C69" s="80">
        <f t="shared" ref="C69:D69" si="53">SUM(C63:C68)</f>
        <v>200561</v>
      </c>
      <c r="D69" s="80">
        <f t="shared" si="53"/>
        <v>346450</v>
      </c>
      <c r="E69" s="34"/>
      <c r="F69" s="45">
        <f t="shared" si="51"/>
        <v>145889</v>
      </c>
      <c r="G69" s="47">
        <f t="shared" si="52"/>
        <v>0.72740463001281408</v>
      </c>
      <c r="H69" s="33"/>
      <c r="I69" s="33"/>
      <c r="J69" s="33"/>
      <c r="K69" s="33"/>
      <c r="L69" s="33"/>
      <c r="M69" s="33"/>
      <c r="N69" s="79">
        <v>0.8997471338053934</v>
      </c>
      <c r="O69" s="33"/>
      <c r="P69" s="33"/>
      <c r="Q69" s="33"/>
      <c r="R69" s="33"/>
      <c r="S69" s="33"/>
      <c r="T69" s="33"/>
      <c r="U69" s="33"/>
      <c r="V69" s="33"/>
      <c r="W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</row>
    <row r="70" spans="1:77" x14ac:dyDescent="0.3">
      <c r="A70" s="33"/>
      <c r="B70" s="33" t="s">
        <v>195</v>
      </c>
      <c r="C70" s="39">
        <v>0</v>
      </c>
      <c r="D70" s="39">
        <v>60194</v>
      </c>
      <c r="E70" s="34"/>
      <c r="F70" s="45">
        <f t="shared" si="51"/>
        <v>60194</v>
      </c>
      <c r="G70" s="51"/>
      <c r="H70" s="33"/>
      <c r="I70" s="33"/>
      <c r="J70" s="33"/>
      <c r="K70" s="33"/>
      <c r="L70" s="33"/>
      <c r="M70" s="33"/>
      <c r="N70" s="79">
        <v>0.45078498602922368</v>
      </c>
      <c r="O70" s="33"/>
      <c r="P70" s="33"/>
      <c r="Q70" s="33"/>
      <c r="R70" s="33"/>
      <c r="S70" s="33"/>
      <c r="T70" s="33"/>
      <c r="U70" s="33"/>
      <c r="V70" s="33"/>
      <c r="W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</row>
    <row r="71" spans="1:77" x14ac:dyDescent="0.3">
      <c r="A71" s="33"/>
      <c r="B71" s="33" t="s">
        <v>196</v>
      </c>
      <c r="C71" s="39">
        <v>14295</v>
      </c>
      <c r="D71" s="39">
        <v>11229</v>
      </c>
      <c r="E71" s="34"/>
      <c r="F71" s="45">
        <f t="shared" si="51"/>
        <v>-3066</v>
      </c>
      <c r="G71" s="47">
        <f t="shared" ref="G71:G75" si="54">((D71-C71)/C71)</f>
        <v>-0.21448058761804828</v>
      </c>
      <c r="H71" s="33"/>
      <c r="I71" s="33"/>
      <c r="J71" s="33"/>
      <c r="K71" s="33"/>
      <c r="L71" s="46"/>
      <c r="M71" s="33"/>
      <c r="N71" s="79">
        <v>0.62956559465646134</v>
      </c>
      <c r="O71" s="33"/>
      <c r="P71" s="33"/>
      <c r="Q71" s="33"/>
      <c r="R71" s="33"/>
      <c r="S71" s="33"/>
      <c r="T71" s="33"/>
      <c r="U71" s="33"/>
      <c r="V71" s="33"/>
      <c r="W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</row>
    <row r="72" spans="1:77" x14ac:dyDescent="0.3">
      <c r="A72" s="33"/>
      <c r="B72" s="33" t="s">
        <v>197</v>
      </c>
      <c r="C72" s="39">
        <v>13479</v>
      </c>
      <c r="D72" s="39">
        <v>14723</v>
      </c>
      <c r="E72" s="34"/>
      <c r="F72" s="45">
        <f t="shared" si="51"/>
        <v>1244</v>
      </c>
      <c r="G72" s="47">
        <f t="shared" si="54"/>
        <v>9.2291713035091621E-2</v>
      </c>
      <c r="H72" s="33"/>
      <c r="I72" s="33"/>
      <c r="J72" s="33"/>
      <c r="K72" s="33"/>
      <c r="L72" s="33"/>
      <c r="M72" s="33"/>
      <c r="N72" s="81" t="s">
        <v>2</v>
      </c>
      <c r="O72" s="76" t="s">
        <v>175</v>
      </c>
      <c r="P72" s="76" t="s">
        <v>198</v>
      </c>
      <c r="Q72" s="76" t="s">
        <v>176</v>
      </c>
      <c r="R72" s="76" t="s">
        <v>177</v>
      </c>
      <c r="S72" s="76" t="s">
        <v>178</v>
      </c>
      <c r="T72" s="76" t="s">
        <v>179</v>
      </c>
      <c r="U72" s="76" t="s">
        <v>174</v>
      </c>
      <c r="V72" s="33"/>
      <c r="W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</row>
    <row r="73" spans="1:77" x14ac:dyDescent="0.3">
      <c r="A73" s="33"/>
      <c r="B73" s="54" t="s">
        <v>199</v>
      </c>
      <c r="C73" s="82">
        <v>2817</v>
      </c>
      <c r="D73" s="82">
        <v>2610</v>
      </c>
      <c r="E73" s="34"/>
      <c r="F73" s="45">
        <f t="shared" si="51"/>
        <v>-207</v>
      </c>
      <c r="G73" s="47">
        <f t="shared" si="54"/>
        <v>-7.3482428115015971E-2</v>
      </c>
      <c r="H73" s="33"/>
      <c r="I73" s="33"/>
      <c r="J73" s="33"/>
      <c r="K73" s="33"/>
      <c r="L73" s="33"/>
      <c r="M73" s="33"/>
      <c r="N73" s="83" t="s">
        <v>200</v>
      </c>
      <c r="O73" s="39">
        <f>P4</f>
        <v>308859</v>
      </c>
      <c r="P73" s="39" t="s">
        <v>201</v>
      </c>
      <c r="Q73" s="39" t="s">
        <v>202</v>
      </c>
      <c r="R73" s="39" t="s">
        <v>203</v>
      </c>
      <c r="S73" s="39" t="s">
        <v>204</v>
      </c>
      <c r="T73" s="39" t="s">
        <v>205</v>
      </c>
      <c r="U73" s="39">
        <v>0</v>
      </c>
      <c r="V73" s="33"/>
      <c r="W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</row>
    <row r="74" spans="1:77" x14ac:dyDescent="0.3">
      <c r="A74" s="33"/>
      <c r="B74" s="44" t="s">
        <v>199</v>
      </c>
      <c r="C74" s="84">
        <f t="shared" ref="C74:D74" si="55">SUM(C70:C73)</f>
        <v>30591</v>
      </c>
      <c r="D74" s="84">
        <f t="shared" si="55"/>
        <v>88756</v>
      </c>
      <c r="E74" s="34"/>
      <c r="F74" s="45">
        <f t="shared" si="51"/>
        <v>58165</v>
      </c>
      <c r="G74" s="47">
        <f t="shared" si="54"/>
        <v>1.9013762217645713</v>
      </c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</row>
    <row r="75" spans="1:77" x14ac:dyDescent="0.3">
      <c r="A75" s="33"/>
      <c r="B75" s="36" t="s">
        <v>206</v>
      </c>
      <c r="C75" s="84">
        <f t="shared" ref="C75:D75" si="56">+C69+C74</f>
        <v>231152</v>
      </c>
      <c r="D75" s="84">
        <f t="shared" si="56"/>
        <v>435206</v>
      </c>
      <c r="E75" s="34"/>
      <c r="F75" s="45">
        <f t="shared" si="51"/>
        <v>204054</v>
      </c>
      <c r="G75" s="47">
        <f t="shared" si="54"/>
        <v>0.882769779192912</v>
      </c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</row>
    <row r="76" spans="1:77" x14ac:dyDescent="0.3">
      <c r="A76" s="33"/>
      <c r="B76" s="43" t="s">
        <v>207</v>
      </c>
      <c r="C76" s="54"/>
      <c r="D76" s="54"/>
      <c r="E76" s="34"/>
      <c r="F76" s="46"/>
      <c r="G76" s="51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</row>
    <row r="77" spans="1:77" x14ac:dyDescent="0.3">
      <c r="A77" s="33"/>
      <c r="B77" s="85" t="s">
        <v>208</v>
      </c>
      <c r="C77" s="54"/>
      <c r="D77" s="54"/>
      <c r="E77" s="34"/>
      <c r="F77" s="46"/>
      <c r="G77" s="51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</row>
    <row r="78" spans="1:77" x14ac:dyDescent="0.3">
      <c r="A78" s="33"/>
      <c r="B78" s="33" t="s">
        <v>209</v>
      </c>
      <c r="C78" s="39">
        <v>3180</v>
      </c>
      <c r="D78" s="39">
        <v>6467</v>
      </c>
      <c r="E78" s="34"/>
      <c r="F78" s="45">
        <f t="shared" ref="F78:F82" si="57">D78-C78</f>
        <v>3287</v>
      </c>
      <c r="G78" s="47">
        <f t="shared" ref="G78:G90" si="58">((D78-C78)/C78)</f>
        <v>1.0336477987421384</v>
      </c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</row>
    <row r="79" spans="1:77" x14ac:dyDescent="0.3">
      <c r="A79" s="33"/>
      <c r="B79" s="33" t="s">
        <v>210</v>
      </c>
      <c r="C79" s="39">
        <v>5570</v>
      </c>
      <c r="D79" s="39">
        <v>7517</v>
      </c>
      <c r="E79" s="34"/>
      <c r="F79" s="45">
        <f t="shared" si="57"/>
        <v>1947</v>
      </c>
      <c r="G79" s="47">
        <f t="shared" si="58"/>
        <v>0.34955116696588867</v>
      </c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</row>
    <row r="80" spans="1:77" x14ac:dyDescent="0.3">
      <c r="A80" s="33"/>
      <c r="B80" s="33" t="s">
        <v>211</v>
      </c>
      <c r="C80" s="39">
        <v>2325</v>
      </c>
      <c r="D80" s="39">
        <v>9452</v>
      </c>
      <c r="E80" s="34"/>
      <c r="F80" s="45">
        <f t="shared" si="57"/>
        <v>7127</v>
      </c>
      <c r="G80" s="47">
        <f t="shared" si="58"/>
        <v>3.0653763440860216</v>
      </c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</row>
    <row r="81" spans="1:77" x14ac:dyDescent="0.3">
      <c r="A81" s="33"/>
      <c r="B81" s="33" t="s">
        <v>212</v>
      </c>
      <c r="C81" s="39">
        <v>69413</v>
      </c>
      <c r="D81" s="39">
        <v>118174</v>
      </c>
      <c r="E81" s="34"/>
      <c r="F81" s="45">
        <f t="shared" si="57"/>
        <v>48761</v>
      </c>
      <c r="G81" s="47">
        <f t="shared" si="58"/>
        <v>0.70247648135075558</v>
      </c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</row>
    <row r="82" spans="1:77" x14ac:dyDescent="0.3">
      <c r="A82" s="33"/>
      <c r="B82" s="33" t="s">
        <v>213</v>
      </c>
      <c r="C82" s="39">
        <v>3397</v>
      </c>
      <c r="D82" s="39">
        <v>3556</v>
      </c>
      <c r="E82" s="34"/>
      <c r="F82" s="45">
        <f t="shared" si="57"/>
        <v>159</v>
      </c>
      <c r="G82" s="47">
        <f t="shared" si="58"/>
        <v>4.6806005298793051E-2</v>
      </c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</row>
    <row r="83" spans="1:77" x14ac:dyDescent="0.3">
      <c r="A83" s="33"/>
      <c r="B83" s="33" t="s">
        <v>214</v>
      </c>
      <c r="C83" s="39">
        <v>46953</v>
      </c>
      <c r="D83" s="39">
        <v>0</v>
      </c>
      <c r="E83" s="34"/>
      <c r="F83" s="46"/>
      <c r="G83" s="47">
        <f t="shared" si="58"/>
        <v>-1</v>
      </c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</row>
    <row r="84" spans="1:77" x14ac:dyDescent="0.3">
      <c r="A84" s="33"/>
      <c r="B84" s="54" t="s">
        <v>215</v>
      </c>
      <c r="C84" s="39">
        <v>9024</v>
      </c>
      <c r="D84" s="39">
        <v>28057</v>
      </c>
      <c r="E84" s="34"/>
      <c r="F84" s="45">
        <f t="shared" ref="F84:F90" si="59">D84-C84</f>
        <v>19033</v>
      </c>
      <c r="G84" s="47">
        <f t="shared" si="58"/>
        <v>2.1091533687943262</v>
      </c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</row>
    <row r="85" spans="1:77" x14ac:dyDescent="0.3">
      <c r="A85" s="33"/>
      <c r="B85" s="35" t="s">
        <v>216</v>
      </c>
      <c r="C85" s="80">
        <f t="shared" ref="C85:D85" si="60">SUM(C78:C84)</f>
        <v>139862</v>
      </c>
      <c r="D85" s="80">
        <f t="shared" si="60"/>
        <v>173223</v>
      </c>
      <c r="E85" s="34"/>
      <c r="F85" s="45">
        <f t="shared" si="59"/>
        <v>33361</v>
      </c>
      <c r="G85" s="47">
        <f t="shared" si="58"/>
        <v>0.2385279775778982</v>
      </c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</row>
    <row r="86" spans="1:77" x14ac:dyDescent="0.3">
      <c r="A86" s="33"/>
      <c r="B86" s="33" t="s">
        <v>217</v>
      </c>
      <c r="C86" s="82">
        <v>13351</v>
      </c>
      <c r="D86" s="82">
        <v>9796</v>
      </c>
      <c r="E86" s="34"/>
      <c r="F86" s="45">
        <f t="shared" si="59"/>
        <v>-3555</v>
      </c>
      <c r="G86" s="47">
        <f t="shared" si="58"/>
        <v>-0.26627218934911245</v>
      </c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</row>
    <row r="87" spans="1:77" x14ac:dyDescent="0.3">
      <c r="A87" s="33"/>
      <c r="B87" s="33" t="s">
        <v>218</v>
      </c>
      <c r="C87" s="82">
        <v>23921</v>
      </c>
      <c r="D87" s="82">
        <v>0</v>
      </c>
      <c r="E87" s="34"/>
      <c r="F87" s="45">
        <f t="shared" si="59"/>
        <v>-23921</v>
      </c>
      <c r="G87" s="47">
        <f t="shared" si="58"/>
        <v>-1</v>
      </c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</row>
    <row r="88" spans="1:77" x14ac:dyDescent="0.3">
      <c r="A88" s="33"/>
      <c r="B88" s="54" t="s">
        <v>219</v>
      </c>
      <c r="C88" s="82">
        <v>7675</v>
      </c>
      <c r="D88" s="82">
        <v>9651</v>
      </c>
      <c r="E88" s="34"/>
      <c r="F88" s="45">
        <f t="shared" si="59"/>
        <v>1976</v>
      </c>
      <c r="G88" s="47">
        <f t="shared" si="58"/>
        <v>0.25745928338762214</v>
      </c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</row>
    <row r="89" spans="1:77" x14ac:dyDescent="0.3">
      <c r="A89" s="33"/>
      <c r="B89" s="37" t="s">
        <v>220</v>
      </c>
      <c r="C89" s="86">
        <f t="shared" ref="C89:D89" si="61">SUM(C86:C88)</f>
        <v>44947</v>
      </c>
      <c r="D89" s="86">
        <f t="shared" si="61"/>
        <v>19447</v>
      </c>
      <c r="E89" s="34"/>
      <c r="F89" s="45">
        <f t="shared" si="59"/>
        <v>-25500</v>
      </c>
      <c r="G89" s="47">
        <f t="shared" si="58"/>
        <v>-0.56733486105858011</v>
      </c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</row>
    <row r="90" spans="1:77" x14ac:dyDescent="0.3">
      <c r="A90" s="33"/>
      <c r="B90" s="33" t="s">
        <v>221</v>
      </c>
      <c r="C90" s="84">
        <f t="shared" ref="C90:D90" si="62">+C85+C89</f>
        <v>184809</v>
      </c>
      <c r="D90" s="84">
        <f t="shared" si="62"/>
        <v>192670</v>
      </c>
      <c r="E90" s="34"/>
      <c r="F90" s="45">
        <f t="shared" si="59"/>
        <v>7861</v>
      </c>
      <c r="G90" s="47">
        <f t="shared" si="58"/>
        <v>4.2535807238824948E-2</v>
      </c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</row>
    <row r="91" spans="1:77" x14ac:dyDescent="0.3">
      <c r="A91" s="33"/>
      <c r="B91" s="33"/>
      <c r="C91" s="33"/>
      <c r="D91" s="33"/>
      <c r="E91" s="34"/>
      <c r="F91" s="46"/>
      <c r="G91" s="51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</row>
    <row r="92" spans="1:77" x14ac:dyDescent="0.3">
      <c r="A92" s="33"/>
      <c r="B92" s="35" t="s">
        <v>32</v>
      </c>
      <c r="C92" s="33"/>
      <c r="D92" s="33"/>
      <c r="E92" s="34"/>
      <c r="F92" s="46"/>
      <c r="G92" s="51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</row>
    <row r="93" spans="1:77" x14ac:dyDescent="0.3">
      <c r="A93" s="33"/>
      <c r="B93" s="33" t="s">
        <v>33</v>
      </c>
      <c r="C93" s="33"/>
      <c r="D93" s="33"/>
      <c r="E93" s="34"/>
      <c r="F93" s="46"/>
      <c r="G93" s="51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</row>
    <row r="94" spans="1:77" x14ac:dyDescent="0.3">
      <c r="A94" s="33"/>
      <c r="B94" s="33" t="s">
        <v>34</v>
      </c>
      <c r="C94" s="33"/>
      <c r="D94" s="33"/>
      <c r="E94" s="34"/>
      <c r="F94" s="46"/>
      <c r="G94" s="51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</row>
    <row r="95" spans="1:77" x14ac:dyDescent="0.3">
      <c r="A95" s="33"/>
      <c r="B95" s="54" t="s">
        <v>35</v>
      </c>
      <c r="C95" s="39">
        <v>227198</v>
      </c>
      <c r="D95" s="39">
        <v>227198</v>
      </c>
      <c r="E95" s="34"/>
      <c r="F95" s="46"/>
      <c r="G95" s="51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</row>
    <row r="96" spans="1:77" x14ac:dyDescent="0.3">
      <c r="A96" s="33"/>
      <c r="B96" s="37" t="s">
        <v>222</v>
      </c>
      <c r="C96" s="52"/>
      <c r="D96" s="52"/>
      <c r="E96" s="34"/>
      <c r="F96" s="46"/>
      <c r="G96" s="51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</row>
    <row r="97" spans="1:77" x14ac:dyDescent="0.3">
      <c r="A97" s="33"/>
      <c r="B97" s="33" t="s">
        <v>37</v>
      </c>
      <c r="C97" s="40"/>
      <c r="D97" s="40"/>
      <c r="E97" s="34"/>
      <c r="F97" s="46"/>
      <c r="G97" s="51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</row>
    <row r="98" spans="1:77" x14ac:dyDescent="0.3">
      <c r="A98" s="33"/>
      <c r="B98" s="33" t="s">
        <v>38</v>
      </c>
      <c r="C98" s="39">
        <v>4</v>
      </c>
      <c r="D98" s="39">
        <v>4</v>
      </c>
      <c r="E98" s="34"/>
      <c r="F98" s="46"/>
      <c r="G98" s="51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</row>
    <row r="99" spans="1:77" x14ac:dyDescent="0.3">
      <c r="A99" s="33"/>
      <c r="B99" s="33" t="s">
        <v>39</v>
      </c>
      <c r="C99" s="39">
        <v>0</v>
      </c>
      <c r="D99" s="39">
        <v>-12593</v>
      </c>
      <c r="E99" s="34"/>
      <c r="F99" s="46"/>
      <c r="G99" s="51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</row>
    <row r="100" spans="1:77" x14ac:dyDescent="0.3">
      <c r="A100" s="33"/>
      <c r="B100" s="33" t="s">
        <v>40</v>
      </c>
      <c r="C100" s="39">
        <v>113523</v>
      </c>
      <c r="D100" s="39">
        <v>127862</v>
      </c>
      <c r="E100" s="34"/>
      <c r="F100" s="45">
        <f t="shared" ref="F100:F103" si="63">D100-C100</f>
        <v>14339</v>
      </c>
      <c r="G100" s="47">
        <f t="shared" ref="G100:G103" si="64">((D100-C100)/C100)</f>
        <v>0.12630920606396942</v>
      </c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</row>
    <row r="101" spans="1:77" x14ac:dyDescent="0.3">
      <c r="A101" s="33"/>
      <c r="B101" s="54" t="s">
        <v>41</v>
      </c>
      <c r="C101" s="39">
        <v>-294382</v>
      </c>
      <c r="D101" s="39">
        <v>-99935</v>
      </c>
      <c r="E101" s="33"/>
      <c r="F101" s="45">
        <f t="shared" si="63"/>
        <v>194447</v>
      </c>
      <c r="G101" s="47">
        <f t="shared" si="64"/>
        <v>-0.66052611912413128</v>
      </c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</row>
    <row r="102" spans="1:77" x14ac:dyDescent="0.3">
      <c r="A102" s="33"/>
      <c r="B102" s="54" t="s">
        <v>222</v>
      </c>
      <c r="C102" s="87">
        <f t="shared" ref="C102:D102" si="65">SUM(C98:C101)</f>
        <v>-180855</v>
      </c>
      <c r="D102" s="50">
        <f t="shared" si="65"/>
        <v>15338</v>
      </c>
      <c r="E102" s="34"/>
      <c r="F102" s="45">
        <f t="shared" si="63"/>
        <v>196193</v>
      </c>
      <c r="G102" s="47">
        <f t="shared" si="64"/>
        <v>-1.0848082718199663</v>
      </c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</row>
    <row r="103" spans="1:77" x14ac:dyDescent="0.3">
      <c r="A103" s="33"/>
      <c r="B103" s="72" t="s">
        <v>223</v>
      </c>
      <c r="C103" s="80">
        <f t="shared" ref="C103:D103" si="66">+C90+C95+C102</f>
        <v>231152</v>
      </c>
      <c r="D103" s="80">
        <f t="shared" si="66"/>
        <v>435206</v>
      </c>
      <c r="E103" s="34"/>
      <c r="F103" s="45">
        <f t="shared" si="63"/>
        <v>204054</v>
      </c>
      <c r="G103" s="47">
        <f t="shared" si="64"/>
        <v>0.882769779192912</v>
      </c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</row>
    <row r="104" spans="1:77" x14ac:dyDescent="0.3">
      <c r="A104" s="33"/>
      <c r="B104" s="33"/>
      <c r="C104" s="33"/>
      <c r="D104" s="33"/>
      <c r="E104" s="34"/>
      <c r="F104" s="46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</row>
    <row r="105" spans="1:77" x14ac:dyDescent="0.3">
      <c r="A105" s="33"/>
      <c r="B105" s="33"/>
      <c r="C105" s="33"/>
      <c r="D105" s="33"/>
      <c r="E105" s="34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</row>
    <row r="106" spans="1:77" x14ac:dyDescent="0.3">
      <c r="A106" s="33"/>
      <c r="B106" s="33"/>
      <c r="C106" s="33"/>
      <c r="D106" s="33"/>
      <c r="E106" s="34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</row>
    <row r="107" spans="1:77" x14ac:dyDescent="0.3">
      <c r="A107" s="33"/>
      <c r="B107" s="33"/>
      <c r="C107" s="33"/>
      <c r="D107" s="33"/>
      <c r="E107" s="34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</row>
    <row r="108" spans="1:77" x14ac:dyDescent="0.3">
      <c r="A108" s="33"/>
      <c r="B108" s="33"/>
      <c r="C108" s="33"/>
      <c r="D108" s="33"/>
      <c r="E108" s="34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</row>
    <row r="109" spans="1:77" x14ac:dyDescent="0.3">
      <c r="A109" s="33"/>
      <c r="B109" s="33"/>
      <c r="C109" s="33"/>
      <c r="D109" s="33"/>
      <c r="E109" s="34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</row>
    <row r="110" spans="1:77" x14ac:dyDescent="0.3">
      <c r="A110" s="33"/>
      <c r="B110" s="33"/>
      <c r="C110" s="33"/>
      <c r="D110" s="33"/>
      <c r="E110" s="34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</row>
    <row r="111" spans="1:77" x14ac:dyDescent="0.3">
      <c r="A111" s="33"/>
      <c r="B111" s="33"/>
      <c r="C111" s="33"/>
      <c r="D111" s="33"/>
      <c r="E111" s="34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</row>
    <row r="112" spans="1:77" x14ac:dyDescent="0.3">
      <c r="A112" s="33"/>
      <c r="B112" s="33"/>
      <c r="C112" s="33"/>
      <c r="D112" s="33"/>
      <c r="E112" s="34"/>
      <c r="F112" s="33" t="s">
        <v>224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</row>
    <row r="113" spans="1:77" x14ac:dyDescent="0.3">
      <c r="A113" s="33"/>
      <c r="B113" s="33"/>
      <c r="C113" s="33"/>
      <c r="D113" s="33"/>
      <c r="E113" s="34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</row>
    <row r="114" spans="1:77" x14ac:dyDescent="0.3">
      <c r="A114" s="33"/>
      <c r="B114" s="33"/>
      <c r="C114" s="33"/>
      <c r="D114" s="33"/>
      <c r="E114" s="34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</row>
    <row r="115" spans="1:77" x14ac:dyDescent="0.3">
      <c r="A115" s="33"/>
      <c r="B115" s="33"/>
      <c r="C115" s="33"/>
      <c r="D115" s="33"/>
      <c r="E115" s="34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</row>
    <row r="116" spans="1:77" x14ac:dyDescent="0.3">
      <c r="A116" s="33"/>
      <c r="B116" s="33"/>
      <c r="C116" s="33"/>
      <c r="D116" s="33"/>
      <c r="E116" s="34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</row>
    <row r="117" spans="1:77" x14ac:dyDescent="0.3">
      <c r="A117" s="33"/>
      <c r="B117" s="33"/>
      <c r="C117" s="33"/>
      <c r="D117" s="33"/>
      <c r="E117" s="34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</row>
    <row r="118" spans="1:77" x14ac:dyDescent="0.3">
      <c r="A118" s="33"/>
      <c r="B118" s="33"/>
      <c r="C118" s="33"/>
      <c r="D118" s="33"/>
      <c r="E118" s="34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</row>
    <row r="119" spans="1:77" x14ac:dyDescent="0.3">
      <c r="A119" s="33"/>
      <c r="B119" s="33"/>
      <c r="C119" s="33"/>
      <c r="D119" s="33"/>
      <c r="E119" s="34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</row>
    <row r="120" spans="1:77" x14ac:dyDescent="0.3">
      <c r="A120" s="33"/>
      <c r="B120" s="33"/>
      <c r="C120" s="33"/>
      <c r="D120" s="33"/>
      <c r="E120" s="34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</row>
    <row r="121" spans="1:77" x14ac:dyDescent="0.3">
      <c r="A121" s="33"/>
      <c r="B121" s="33"/>
      <c r="C121" s="33"/>
      <c r="D121" s="33"/>
      <c r="E121" s="34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</row>
    <row r="122" spans="1:77" x14ac:dyDescent="0.3">
      <c r="A122" s="33"/>
      <c r="B122" s="33"/>
      <c r="C122" s="33"/>
      <c r="D122" s="33"/>
      <c r="E122" s="34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</row>
    <row r="123" spans="1:77" x14ac:dyDescent="0.3">
      <c r="A123" s="33"/>
      <c r="B123" s="33"/>
      <c r="C123" s="33"/>
      <c r="D123" s="33"/>
      <c r="E123" s="34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</row>
    <row r="124" spans="1:77" x14ac:dyDescent="0.3">
      <c r="A124" s="33"/>
      <c r="B124" s="33"/>
      <c r="C124" s="33"/>
      <c r="D124" s="33"/>
      <c r="E124" s="34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</row>
    <row r="125" spans="1:77" x14ac:dyDescent="0.3">
      <c r="A125" s="33"/>
      <c r="B125" s="33"/>
      <c r="C125" s="33"/>
      <c r="D125" s="33"/>
      <c r="E125" s="34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</row>
    <row r="126" spans="1:77" x14ac:dyDescent="0.3">
      <c r="A126" s="33"/>
      <c r="B126" s="33"/>
      <c r="C126" s="33"/>
      <c r="D126" s="33"/>
      <c r="E126" s="34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</row>
    <row r="127" spans="1:77" x14ac:dyDescent="0.3">
      <c r="A127" s="33"/>
      <c r="B127" s="33"/>
      <c r="C127" s="33"/>
      <c r="D127" s="33"/>
      <c r="E127" s="34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</row>
    <row r="128" spans="1:77" x14ac:dyDescent="0.3">
      <c r="A128" s="33"/>
      <c r="B128" s="33"/>
      <c r="C128" s="33"/>
      <c r="D128" s="33"/>
      <c r="E128" s="34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</row>
    <row r="129" spans="1:77" x14ac:dyDescent="0.3">
      <c r="A129" s="33"/>
      <c r="B129" s="33"/>
      <c r="C129" s="33"/>
      <c r="D129" s="33"/>
      <c r="E129" s="34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</row>
    <row r="130" spans="1:77" x14ac:dyDescent="0.3">
      <c r="A130" s="33"/>
      <c r="B130" s="33"/>
      <c r="C130" s="33"/>
      <c r="D130" s="33"/>
      <c r="E130" s="34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</row>
    <row r="131" spans="1:77" x14ac:dyDescent="0.3">
      <c r="A131" s="33"/>
      <c r="B131" s="33"/>
      <c r="C131" s="33"/>
      <c r="D131" s="33"/>
      <c r="E131" s="34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</row>
    <row r="132" spans="1:77" x14ac:dyDescent="0.3">
      <c r="A132" s="33"/>
      <c r="B132" s="33"/>
      <c r="C132" s="33"/>
      <c r="D132" s="33"/>
      <c r="E132" s="34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</row>
    <row r="133" spans="1:77" x14ac:dyDescent="0.3">
      <c r="A133" s="33"/>
      <c r="B133" s="33"/>
      <c r="C133" s="33"/>
      <c r="D133" s="33"/>
      <c r="E133" s="34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</row>
    <row r="134" spans="1:77" x14ac:dyDescent="0.3">
      <c r="A134" s="33"/>
      <c r="B134" s="33"/>
      <c r="C134" s="33"/>
      <c r="D134" s="33"/>
      <c r="E134" s="34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</row>
    <row r="135" spans="1:77" x14ac:dyDescent="0.3">
      <c r="A135" s="33"/>
      <c r="B135" s="33"/>
      <c r="C135" s="33"/>
      <c r="D135" s="33"/>
      <c r="E135" s="34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</row>
    <row r="136" spans="1:77" x14ac:dyDescent="0.3">
      <c r="A136" s="33"/>
      <c r="B136" s="33"/>
      <c r="C136" s="33"/>
      <c r="D136" s="33"/>
      <c r="E136" s="34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</row>
    <row r="137" spans="1:77" x14ac:dyDescent="0.3">
      <c r="A137" s="33"/>
      <c r="B137" s="33"/>
      <c r="C137" s="33"/>
      <c r="D137" s="33"/>
      <c r="E137" s="34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</row>
    <row r="138" spans="1:77" x14ac:dyDescent="0.3">
      <c r="A138" s="33"/>
      <c r="B138" s="33"/>
      <c r="C138" s="33"/>
      <c r="D138" s="33"/>
      <c r="E138" s="34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</row>
    <row r="139" spans="1:77" x14ac:dyDescent="0.3">
      <c r="A139" s="33"/>
      <c r="B139" s="33"/>
      <c r="C139" s="33"/>
      <c r="D139" s="33"/>
      <c r="E139" s="34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</row>
    <row r="140" spans="1:77" x14ac:dyDescent="0.3">
      <c r="A140" s="33"/>
      <c r="B140" s="33"/>
      <c r="C140" s="33"/>
      <c r="D140" s="33"/>
      <c r="E140" s="34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</row>
    <row r="141" spans="1:77" x14ac:dyDescent="0.3">
      <c r="A141" s="33"/>
      <c r="B141" s="33"/>
      <c r="C141" s="33"/>
      <c r="D141" s="33"/>
      <c r="E141" s="34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</row>
    <row r="142" spans="1:77" x14ac:dyDescent="0.3">
      <c r="A142" s="33"/>
      <c r="B142" s="33"/>
      <c r="C142" s="33"/>
      <c r="D142" s="33"/>
      <c r="E142" s="34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</row>
    <row r="143" spans="1:77" x14ac:dyDescent="0.3">
      <c r="A143" s="33"/>
      <c r="B143" s="33"/>
      <c r="C143" s="33"/>
      <c r="D143" s="33"/>
      <c r="E143" s="34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</row>
    <row r="144" spans="1:77" x14ac:dyDescent="0.3">
      <c r="A144" s="33"/>
      <c r="B144" s="33"/>
      <c r="C144" s="33"/>
      <c r="D144" s="33"/>
      <c r="E144" s="34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</row>
    <row r="145" spans="1:77" x14ac:dyDescent="0.3">
      <c r="A145" s="33"/>
      <c r="B145" s="33"/>
      <c r="C145" s="33"/>
      <c r="D145" s="33"/>
      <c r="E145" s="34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</row>
    <row r="146" spans="1:77" x14ac:dyDescent="0.3">
      <c r="A146" s="33"/>
      <c r="B146" s="33"/>
      <c r="C146" s="33"/>
      <c r="D146" s="33"/>
      <c r="E146" s="34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</row>
    <row r="147" spans="1:77" x14ac:dyDescent="0.3">
      <c r="A147" s="33"/>
      <c r="B147" s="33"/>
      <c r="C147" s="33"/>
      <c r="D147" s="33"/>
      <c r="E147" s="34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</row>
    <row r="148" spans="1:77" x14ac:dyDescent="0.3">
      <c r="A148" s="33"/>
      <c r="B148" s="33"/>
      <c r="C148" s="33"/>
      <c r="D148" s="33"/>
      <c r="E148" s="34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</row>
    <row r="149" spans="1:77" x14ac:dyDescent="0.3">
      <c r="A149" s="33"/>
      <c r="B149" s="33"/>
      <c r="C149" s="33"/>
      <c r="D149" s="33"/>
      <c r="E149" s="34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</row>
    <row r="150" spans="1:77" x14ac:dyDescent="0.3">
      <c r="A150" s="33"/>
      <c r="B150" s="33"/>
      <c r="C150" s="33"/>
      <c r="D150" s="33"/>
      <c r="E150" s="34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</row>
    <row r="151" spans="1:77" x14ac:dyDescent="0.3">
      <c r="A151" s="33"/>
      <c r="B151" s="33"/>
      <c r="C151" s="33"/>
      <c r="D151" s="33"/>
      <c r="E151" s="34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</row>
    <row r="152" spans="1:77" x14ac:dyDescent="0.3">
      <c r="A152" s="33"/>
      <c r="B152" s="33"/>
      <c r="C152" s="33"/>
      <c r="D152" s="33"/>
      <c r="E152" s="34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</row>
    <row r="153" spans="1:77" x14ac:dyDescent="0.3">
      <c r="A153" s="33"/>
      <c r="B153" s="33"/>
      <c r="C153" s="33"/>
      <c r="D153" s="33"/>
      <c r="E153" s="34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</row>
    <row r="154" spans="1:77" x14ac:dyDescent="0.3">
      <c r="A154" s="33"/>
      <c r="B154" s="33"/>
      <c r="C154" s="33"/>
      <c r="D154" s="33"/>
      <c r="E154" s="34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</row>
    <row r="155" spans="1:77" x14ac:dyDescent="0.3">
      <c r="A155" s="33"/>
      <c r="B155" s="33"/>
      <c r="C155" s="33"/>
      <c r="D155" s="33"/>
      <c r="E155" s="34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</row>
    <row r="156" spans="1:77" x14ac:dyDescent="0.3">
      <c r="A156" s="33"/>
      <c r="B156" s="33"/>
      <c r="C156" s="33"/>
      <c r="D156" s="33"/>
      <c r="E156" s="34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</row>
    <row r="157" spans="1:77" x14ac:dyDescent="0.3">
      <c r="A157" s="33"/>
      <c r="B157" s="33"/>
      <c r="C157" s="33"/>
      <c r="D157" s="33"/>
      <c r="E157" s="34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</row>
    <row r="158" spans="1:77" x14ac:dyDescent="0.3">
      <c r="A158" s="33"/>
      <c r="B158" s="33"/>
      <c r="C158" s="33"/>
      <c r="D158" s="33"/>
      <c r="E158" s="34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</row>
    <row r="159" spans="1:77" x14ac:dyDescent="0.3">
      <c r="A159" s="33"/>
      <c r="B159" s="33"/>
      <c r="C159" s="33"/>
      <c r="D159" s="33"/>
      <c r="E159" s="34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</row>
    <row r="160" spans="1:77" x14ac:dyDescent="0.3">
      <c r="A160" s="33"/>
      <c r="B160" s="33"/>
      <c r="C160" s="33"/>
      <c r="D160" s="33"/>
      <c r="E160" s="34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</row>
    <row r="161" spans="1:77" x14ac:dyDescent="0.3">
      <c r="A161" s="33"/>
      <c r="B161" s="33"/>
      <c r="C161" s="33"/>
      <c r="D161" s="33"/>
      <c r="E161" s="34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</row>
    <row r="162" spans="1:77" x14ac:dyDescent="0.3">
      <c r="A162" s="33"/>
      <c r="B162" s="33"/>
      <c r="C162" s="33"/>
      <c r="D162" s="33"/>
      <c r="E162" s="34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</row>
    <row r="163" spans="1:77" x14ac:dyDescent="0.3">
      <c r="A163" s="33"/>
      <c r="B163" s="33"/>
      <c r="C163" s="33"/>
      <c r="D163" s="33"/>
      <c r="E163" s="34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</row>
    <row r="164" spans="1:77" x14ac:dyDescent="0.3">
      <c r="A164" s="33"/>
      <c r="B164" s="33"/>
      <c r="C164" s="33"/>
      <c r="D164" s="33"/>
      <c r="E164" s="34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</row>
    <row r="165" spans="1:77" x14ac:dyDescent="0.3">
      <c r="A165" s="33"/>
      <c r="B165" s="33"/>
      <c r="C165" s="33"/>
      <c r="D165" s="33"/>
      <c r="E165" s="34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</row>
    <row r="166" spans="1:77" x14ac:dyDescent="0.3">
      <c r="A166" s="33"/>
      <c r="B166" s="33"/>
      <c r="C166" s="33"/>
      <c r="D166" s="33"/>
      <c r="E166" s="34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</row>
    <row r="167" spans="1:77" x14ac:dyDescent="0.3">
      <c r="A167" s="33"/>
      <c r="B167" s="33"/>
      <c r="C167" s="33"/>
      <c r="D167" s="33"/>
      <c r="E167" s="34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</row>
    <row r="168" spans="1:77" x14ac:dyDescent="0.3">
      <c r="A168" s="33"/>
      <c r="B168" s="33"/>
      <c r="C168" s="33"/>
      <c r="D168" s="33"/>
      <c r="E168" s="34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</row>
    <row r="169" spans="1:77" x14ac:dyDescent="0.3">
      <c r="A169" s="33"/>
      <c r="B169" s="33"/>
      <c r="C169" s="33"/>
      <c r="D169" s="33"/>
      <c r="E169" s="34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</row>
    <row r="170" spans="1:77" x14ac:dyDescent="0.3">
      <c r="A170" s="33"/>
      <c r="B170" s="33"/>
      <c r="C170" s="33"/>
      <c r="D170" s="33"/>
      <c r="E170" s="34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</row>
    <row r="171" spans="1:77" x14ac:dyDescent="0.3">
      <c r="A171" s="33"/>
      <c r="B171" s="33"/>
      <c r="C171" s="33"/>
      <c r="D171" s="33"/>
      <c r="E171" s="34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</row>
    <row r="172" spans="1:77" x14ac:dyDescent="0.3">
      <c r="A172" s="33"/>
      <c r="B172" s="33"/>
      <c r="C172" s="33"/>
      <c r="D172" s="33"/>
      <c r="E172" s="34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</row>
    <row r="173" spans="1:77" x14ac:dyDescent="0.3">
      <c r="A173" s="33"/>
      <c r="B173" s="33"/>
      <c r="C173" s="33"/>
      <c r="D173" s="33"/>
      <c r="E173" s="34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</row>
    <row r="174" spans="1:77" x14ac:dyDescent="0.3">
      <c r="A174" s="33"/>
      <c r="B174" s="33"/>
      <c r="C174" s="33"/>
      <c r="D174" s="33"/>
      <c r="E174" s="34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</row>
    <row r="175" spans="1:77" x14ac:dyDescent="0.3">
      <c r="A175" s="33"/>
      <c r="B175" s="33"/>
      <c r="C175" s="33"/>
      <c r="D175" s="33"/>
      <c r="E175" s="34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</row>
    <row r="176" spans="1:77" x14ac:dyDescent="0.3">
      <c r="A176" s="33"/>
      <c r="B176" s="33"/>
      <c r="C176" s="33"/>
      <c r="D176" s="33"/>
      <c r="E176" s="34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</row>
    <row r="177" spans="1:77" x14ac:dyDescent="0.3">
      <c r="A177" s="33"/>
      <c r="B177" s="33"/>
      <c r="C177" s="33"/>
      <c r="D177" s="33"/>
      <c r="E177" s="34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</row>
    <row r="178" spans="1:77" x14ac:dyDescent="0.3">
      <c r="A178" s="33"/>
      <c r="B178" s="33"/>
      <c r="C178" s="33"/>
      <c r="D178" s="33"/>
      <c r="E178" s="34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</row>
    <row r="179" spans="1:77" x14ac:dyDescent="0.3">
      <c r="A179" s="33"/>
      <c r="B179" s="33"/>
      <c r="C179" s="33"/>
      <c r="D179" s="33"/>
      <c r="E179" s="34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</row>
    <row r="180" spans="1:77" x14ac:dyDescent="0.3">
      <c r="A180" s="33"/>
      <c r="B180" s="33"/>
      <c r="C180" s="33"/>
      <c r="D180" s="33"/>
      <c r="E180" s="34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</row>
    <row r="181" spans="1:77" x14ac:dyDescent="0.3">
      <c r="A181" s="33"/>
      <c r="B181" s="33"/>
      <c r="C181" s="33"/>
      <c r="D181" s="33"/>
      <c r="E181" s="34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</row>
    <row r="182" spans="1:77" x14ac:dyDescent="0.3">
      <c r="A182" s="33"/>
      <c r="B182" s="33"/>
      <c r="C182" s="33"/>
      <c r="D182" s="33"/>
      <c r="E182" s="34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</row>
    <row r="183" spans="1:77" x14ac:dyDescent="0.3">
      <c r="A183" s="33"/>
      <c r="B183" s="33"/>
      <c r="C183" s="33"/>
      <c r="D183" s="33"/>
      <c r="E183" s="34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</row>
    <row r="184" spans="1:77" x14ac:dyDescent="0.3">
      <c r="A184" s="33"/>
      <c r="B184" s="33"/>
      <c r="C184" s="33"/>
      <c r="D184" s="33"/>
      <c r="E184" s="34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</row>
    <row r="185" spans="1:77" x14ac:dyDescent="0.3">
      <c r="A185" s="33"/>
      <c r="B185" s="33"/>
      <c r="C185" s="33"/>
      <c r="D185" s="33"/>
      <c r="E185" s="34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</row>
    <row r="186" spans="1:77" x14ac:dyDescent="0.3">
      <c r="A186" s="33"/>
      <c r="B186" s="33"/>
      <c r="C186" s="33"/>
      <c r="D186" s="33"/>
      <c r="E186" s="34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</row>
    <row r="187" spans="1:77" x14ac:dyDescent="0.3">
      <c r="A187" s="33"/>
      <c r="B187" s="33"/>
      <c r="C187" s="33"/>
      <c r="D187" s="33"/>
      <c r="E187" s="34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</row>
    <row r="188" spans="1:77" x14ac:dyDescent="0.3">
      <c r="A188" s="33"/>
      <c r="B188" s="33"/>
      <c r="C188" s="33"/>
      <c r="D188" s="33"/>
      <c r="E188" s="34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</row>
    <row r="189" spans="1:77" x14ac:dyDescent="0.3">
      <c r="A189" s="33"/>
      <c r="B189" s="33"/>
      <c r="C189" s="33"/>
      <c r="D189" s="33"/>
      <c r="E189" s="34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</row>
    <row r="190" spans="1:77" x14ac:dyDescent="0.3">
      <c r="A190" s="33"/>
      <c r="B190" s="33"/>
      <c r="C190" s="33"/>
      <c r="D190" s="33"/>
      <c r="E190" s="34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</row>
    <row r="191" spans="1:77" x14ac:dyDescent="0.3">
      <c r="A191" s="33"/>
      <c r="B191" s="33"/>
      <c r="C191" s="33"/>
      <c r="D191" s="33"/>
      <c r="E191" s="34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</row>
    <row r="192" spans="1:77" x14ac:dyDescent="0.3">
      <c r="A192" s="33"/>
      <c r="B192" s="33"/>
      <c r="C192" s="33"/>
      <c r="D192" s="33"/>
      <c r="E192" s="34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</row>
    <row r="193" spans="1:77" x14ac:dyDescent="0.3">
      <c r="A193" s="33"/>
      <c r="B193" s="33"/>
      <c r="C193" s="33"/>
      <c r="D193" s="33"/>
      <c r="E193" s="34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</row>
    <row r="194" spans="1:77" x14ac:dyDescent="0.3">
      <c r="A194" s="33"/>
      <c r="B194" s="33"/>
      <c r="C194" s="33"/>
      <c r="D194" s="33"/>
      <c r="E194" s="34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</row>
    <row r="195" spans="1:77" x14ac:dyDescent="0.3">
      <c r="A195" s="33"/>
      <c r="B195" s="33"/>
      <c r="C195" s="33"/>
      <c r="D195" s="33"/>
      <c r="E195" s="34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</row>
    <row r="196" spans="1:77" x14ac:dyDescent="0.3">
      <c r="A196" s="33"/>
      <c r="B196" s="33"/>
      <c r="C196" s="33"/>
      <c r="D196" s="33"/>
      <c r="E196" s="34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</row>
    <row r="197" spans="1:77" x14ac:dyDescent="0.3">
      <c r="A197" s="33"/>
      <c r="B197" s="33"/>
      <c r="C197" s="33"/>
      <c r="D197" s="33"/>
      <c r="E197" s="34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</row>
    <row r="198" spans="1:77" x14ac:dyDescent="0.3">
      <c r="A198" s="33"/>
      <c r="B198" s="33"/>
      <c r="C198" s="33"/>
      <c r="D198" s="33"/>
      <c r="E198" s="34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</row>
    <row r="199" spans="1:77" x14ac:dyDescent="0.3">
      <c r="A199" s="33"/>
      <c r="B199" s="33"/>
      <c r="C199" s="33"/>
      <c r="D199" s="33"/>
      <c r="E199" s="34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</row>
    <row r="200" spans="1:77" x14ac:dyDescent="0.3">
      <c r="A200" s="33"/>
      <c r="B200" s="33"/>
      <c r="C200" s="33"/>
      <c r="D200" s="33"/>
      <c r="E200" s="34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</row>
    <row r="201" spans="1:77" x14ac:dyDescent="0.3">
      <c r="A201" s="33"/>
      <c r="B201" s="33"/>
      <c r="C201" s="33"/>
      <c r="D201" s="33"/>
      <c r="E201" s="34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</row>
    <row r="202" spans="1:77" x14ac:dyDescent="0.3">
      <c r="A202" s="33"/>
      <c r="B202" s="33"/>
      <c r="C202" s="33"/>
      <c r="D202" s="33"/>
      <c r="E202" s="34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</row>
    <row r="203" spans="1:77" x14ac:dyDescent="0.3">
      <c r="A203" s="33"/>
      <c r="B203" s="33"/>
      <c r="C203" s="33"/>
      <c r="D203" s="33"/>
      <c r="E203" s="34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</row>
    <row r="204" spans="1:77" x14ac:dyDescent="0.3">
      <c r="A204" s="33"/>
      <c r="B204" s="33"/>
      <c r="C204" s="33"/>
      <c r="D204" s="33"/>
      <c r="E204" s="34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</row>
    <row r="205" spans="1:77" x14ac:dyDescent="0.3">
      <c r="A205" s="33"/>
      <c r="B205" s="33"/>
      <c r="C205" s="33"/>
      <c r="D205" s="33"/>
      <c r="E205" s="34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</row>
    <row r="206" spans="1:77" x14ac:dyDescent="0.3">
      <c r="A206" s="33"/>
      <c r="B206" s="33"/>
      <c r="C206" s="33"/>
      <c r="D206" s="33"/>
      <c r="E206" s="34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</row>
    <row r="207" spans="1:77" x14ac:dyDescent="0.3">
      <c r="A207" s="33"/>
      <c r="B207" s="33"/>
      <c r="C207" s="33"/>
      <c r="D207" s="33"/>
      <c r="E207" s="34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</row>
    <row r="208" spans="1:77" x14ac:dyDescent="0.3">
      <c r="A208" s="33"/>
      <c r="B208" s="33"/>
      <c r="C208" s="33"/>
      <c r="D208" s="33"/>
      <c r="E208" s="34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</row>
    <row r="209" spans="1:77" x14ac:dyDescent="0.3">
      <c r="A209" s="33"/>
      <c r="B209" s="33"/>
      <c r="C209" s="33"/>
      <c r="D209" s="33"/>
      <c r="E209" s="34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</row>
    <row r="210" spans="1:77" x14ac:dyDescent="0.3">
      <c r="A210" s="33"/>
      <c r="B210" s="33"/>
      <c r="C210" s="33"/>
      <c r="D210" s="33"/>
      <c r="E210" s="34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</row>
    <row r="211" spans="1:77" x14ac:dyDescent="0.3">
      <c r="A211" s="33"/>
      <c r="B211" s="33"/>
      <c r="C211" s="33"/>
      <c r="D211" s="33"/>
      <c r="E211" s="34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</row>
    <row r="212" spans="1:77" x14ac:dyDescent="0.3">
      <c r="A212" s="33"/>
      <c r="B212" s="33"/>
      <c r="C212" s="33"/>
      <c r="D212" s="33"/>
      <c r="E212" s="34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</row>
    <row r="213" spans="1:77" x14ac:dyDescent="0.3">
      <c r="A213" s="33"/>
      <c r="B213" s="33"/>
      <c r="C213" s="33"/>
      <c r="D213" s="33"/>
      <c r="E213" s="34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</row>
    <row r="214" spans="1:77" x14ac:dyDescent="0.3">
      <c r="A214" s="33"/>
      <c r="B214" s="33"/>
      <c r="C214" s="33"/>
      <c r="D214" s="33"/>
      <c r="E214" s="34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</row>
    <row r="215" spans="1:77" x14ac:dyDescent="0.3">
      <c r="A215" s="33"/>
      <c r="B215" s="33"/>
      <c r="C215" s="33"/>
      <c r="D215" s="33"/>
      <c r="E215" s="34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</row>
    <row r="216" spans="1:77" x14ac:dyDescent="0.3">
      <c r="A216" s="33"/>
      <c r="B216" s="33"/>
      <c r="C216" s="33"/>
      <c r="D216" s="33"/>
      <c r="E216" s="34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</row>
    <row r="217" spans="1:77" x14ac:dyDescent="0.3">
      <c r="A217" s="33"/>
      <c r="B217" s="33"/>
      <c r="C217" s="33"/>
      <c r="D217" s="33"/>
      <c r="E217" s="34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</row>
    <row r="218" spans="1:77" x14ac:dyDescent="0.3">
      <c r="A218" s="33"/>
      <c r="B218" s="33"/>
      <c r="C218" s="33"/>
      <c r="D218" s="33"/>
      <c r="E218" s="34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</row>
    <row r="219" spans="1:77" x14ac:dyDescent="0.3">
      <c r="A219" s="33"/>
      <c r="B219" s="33"/>
      <c r="C219" s="33"/>
      <c r="D219" s="33"/>
      <c r="E219" s="34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</row>
    <row r="220" spans="1:77" x14ac:dyDescent="0.3">
      <c r="A220" s="33"/>
      <c r="B220" s="33"/>
      <c r="C220" s="33"/>
      <c r="D220" s="33"/>
      <c r="E220" s="34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</row>
    <row r="221" spans="1:77" x14ac:dyDescent="0.3">
      <c r="A221" s="33"/>
      <c r="B221" s="33"/>
      <c r="C221" s="33"/>
      <c r="D221" s="33"/>
      <c r="E221" s="34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</row>
    <row r="222" spans="1:77" x14ac:dyDescent="0.3">
      <c r="A222" s="33"/>
      <c r="B222" s="33"/>
      <c r="C222" s="33"/>
      <c r="D222" s="33"/>
      <c r="E222" s="34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</row>
    <row r="223" spans="1:77" x14ac:dyDescent="0.3">
      <c r="A223" s="33"/>
      <c r="B223" s="33"/>
      <c r="C223" s="33"/>
      <c r="D223" s="33"/>
      <c r="E223" s="34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</row>
    <row r="224" spans="1:77" x14ac:dyDescent="0.3">
      <c r="A224" s="33"/>
      <c r="B224" s="33"/>
      <c r="C224" s="33"/>
      <c r="D224" s="33"/>
      <c r="E224" s="34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</row>
    <row r="225" spans="1:77" x14ac:dyDescent="0.3">
      <c r="A225" s="33"/>
      <c r="B225" s="33"/>
      <c r="C225" s="33"/>
      <c r="D225" s="33"/>
      <c r="E225" s="34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</row>
    <row r="226" spans="1:77" x14ac:dyDescent="0.3">
      <c r="A226" s="33"/>
      <c r="B226" s="33"/>
      <c r="C226" s="33"/>
      <c r="D226" s="33"/>
      <c r="E226" s="34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</row>
    <row r="227" spans="1:77" x14ac:dyDescent="0.3">
      <c r="A227" s="33"/>
      <c r="B227" s="33"/>
      <c r="C227" s="33"/>
      <c r="D227" s="33"/>
      <c r="E227" s="34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</row>
    <row r="228" spans="1:77" x14ac:dyDescent="0.3">
      <c r="A228" s="33"/>
      <c r="B228" s="33"/>
      <c r="C228" s="33"/>
      <c r="D228" s="33"/>
      <c r="E228" s="34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</row>
    <row r="229" spans="1:77" x14ac:dyDescent="0.3">
      <c r="A229" s="33"/>
      <c r="B229" s="33"/>
      <c r="C229" s="33"/>
      <c r="D229" s="33"/>
      <c r="E229" s="34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</row>
    <row r="230" spans="1:77" x14ac:dyDescent="0.3">
      <c r="A230" s="33"/>
      <c r="B230" s="33"/>
      <c r="C230" s="33"/>
      <c r="D230" s="33"/>
      <c r="E230" s="34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</row>
    <row r="231" spans="1:77" x14ac:dyDescent="0.3">
      <c r="A231" s="33"/>
      <c r="B231" s="33"/>
      <c r="C231" s="33"/>
      <c r="D231" s="33"/>
      <c r="E231" s="34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</row>
    <row r="232" spans="1:77" x14ac:dyDescent="0.3">
      <c r="A232" s="33"/>
      <c r="B232" s="33"/>
      <c r="C232" s="33"/>
      <c r="D232" s="33"/>
      <c r="E232" s="34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</row>
    <row r="233" spans="1:77" x14ac:dyDescent="0.3">
      <c r="A233" s="33"/>
      <c r="B233" s="33"/>
      <c r="C233" s="33"/>
      <c r="D233" s="33"/>
      <c r="E233" s="34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</row>
    <row r="234" spans="1:77" x14ac:dyDescent="0.3">
      <c r="A234" s="33"/>
      <c r="B234" s="33"/>
      <c r="C234" s="33"/>
      <c r="D234" s="33"/>
      <c r="E234" s="34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</row>
    <row r="235" spans="1:77" x14ac:dyDescent="0.3">
      <c r="A235" s="33"/>
      <c r="B235" s="33"/>
      <c r="C235" s="33"/>
      <c r="D235" s="33"/>
      <c r="E235" s="34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</row>
    <row r="236" spans="1:77" x14ac:dyDescent="0.3">
      <c r="A236" s="33"/>
      <c r="B236" s="33"/>
      <c r="C236" s="33"/>
      <c r="D236" s="33"/>
      <c r="E236" s="34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</row>
    <row r="237" spans="1:77" x14ac:dyDescent="0.3">
      <c r="A237" s="33"/>
      <c r="B237" s="33"/>
      <c r="C237" s="33"/>
      <c r="D237" s="33"/>
      <c r="E237" s="34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</row>
    <row r="238" spans="1:77" x14ac:dyDescent="0.3">
      <c r="A238" s="33"/>
      <c r="B238" s="33"/>
      <c r="C238" s="33"/>
      <c r="D238" s="33"/>
      <c r="E238" s="34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</row>
    <row r="239" spans="1:77" x14ac:dyDescent="0.3">
      <c r="A239" s="33"/>
      <c r="B239" s="33"/>
      <c r="C239" s="33"/>
      <c r="D239" s="33"/>
      <c r="E239" s="34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</row>
    <row r="240" spans="1:77" x14ac:dyDescent="0.3">
      <c r="A240" s="33"/>
      <c r="B240" s="33"/>
      <c r="C240" s="33"/>
      <c r="D240" s="33"/>
      <c r="E240" s="34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</row>
    <row r="241" spans="1:77" x14ac:dyDescent="0.3">
      <c r="A241" s="33"/>
      <c r="B241" s="33"/>
      <c r="C241" s="33"/>
      <c r="D241" s="33"/>
      <c r="E241" s="34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</row>
    <row r="242" spans="1:77" x14ac:dyDescent="0.3">
      <c r="A242" s="33"/>
      <c r="B242" s="33"/>
      <c r="C242" s="33"/>
      <c r="D242" s="33"/>
      <c r="E242" s="34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</row>
    <row r="243" spans="1:77" x14ac:dyDescent="0.3">
      <c r="A243" s="33"/>
      <c r="B243" s="33"/>
      <c r="C243" s="33"/>
      <c r="D243" s="33"/>
      <c r="E243" s="34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</row>
    <row r="244" spans="1:77" x14ac:dyDescent="0.3">
      <c r="A244" s="33"/>
      <c r="B244" s="33"/>
      <c r="C244" s="33"/>
      <c r="D244" s="33"/>
      <c r="E244" s="34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</row>
    <row r="245" spans="1:77" x14ac:dyDescent="0.3">
      <c r="A245" s="33"/>
      <c r="B245" s="33"/>
      <c r="C245" s="33"/>
      <c r="D245" s="33"/>
      <c r="E245" s="34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</row>
    <row r="246" spans="1:77" x14ac:dyDescent="0.3">
      <c r="A246" s="33"/>
      <c r="B246" s="33"/>
      <c r="C246" s="33"/>
      <c r="D246" s="33"/>
      <c r="E246" s="34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</row>
    <row r="247" spans="1:77" x14ac:dyDescent="0.3">
      <c r="A247" s="33"/>
      <c r="B247" s="33"/>
      <c r="C247" s="33"/>
      <c r="D247" s="33"/>
      <c r="E247" s="34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</row>
    <row r="248" spans="1:77" x14ac:dyDescent="0.3">
      <c r="A248" s="33"/>
      <c r="B248" s="33"/>
      <c r="C248" s="33"/>
      <c r="D248" s="33"/>
      <c r="E248" s="34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</row>
    <row r="249" spans="1:77" x14ac:dyDescent="0.3">
      <c r="A249" s="33"/>
      <c r="B249" s="33"/>
      <c r="C249" s="33"/>
      <c r="D249" s="33"/>
      <c r="E249" s="34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</row>
    <row r="250" spans="1:77" x14ac:dyDescent="0.3">
      <c r="A250" s="33"/>
      <c r="B250" s="33"/>
      <c r="C250" s="33"/>
      <c r="D250" s="33"/>
      <c r="E250" s="34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</row>
    <row r="251" spans="1:77" x14ac:dyDescent="0.3">
      <c r="A251" s="33"/>
      <c r="B251" s="33"/>
      <c r="C251" s="33"/>
      <c r="D251" s="33"/>
      <c r="E251" s="34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</row>
    <row r="252" spans="1:77" x14ac:dyDescent="0.3">
      <c r="A252" s="33"/>
      <c r="B252" s="33"/>
      <c r="C252" s="33"/>
      <c r="D252" s="33"/>
      <c r="E252" s="34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</row>
    <row r="253" spans="1:77" x14ac:dyDescent="0.3">
      <c r="A253" s="33"/>
      <c r="B253" s="33"/>
      <c r="C253" s="33"/>
      <c r="D253" s="33"/>
      <c r="E253" s="34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</row>
    <row r="254" spans="1:77" x14ac:dyDescent="0.3">
      <c r="A254" s="33"/>
      <c r="B254" s="33"/>
      <c r="C254" s="33"/>
      <c r="D254" s="33"/>
      <c r="E254" s="34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</row>
    <row r="255" spans="1:77" x14ac:dyDescent="0.3">
      <c r="A255" s="33"/>
      <c r="B255" s="33"/>
      <c r="C255" s="33"/>
      <c r="D255" s="33"/>
      <c r="E255" s="34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</row>
    <row r="256" spans="1:77" x14ac:dyDescent="0.3">
      <c r="A256" s="33"/>
      <c r="B256" s="33"/>
      <c r="C256" s="33"/>
      <c r="D256" s="33"/>
      <c r="E256" s="34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</row>
    <row r="257" spans="1:77" x14ac:dyDescent="0.3">
      <c r="A257" s="33"/>
      <c r="B257" s="33"/>
      <c r="C257" s="33"/>
      <c r="D257" s="33"/>
      <c r="E257" s="34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</row>
    <row r="258" spans="1:77" x14ac:dyDescent="0.3">
      <c r="A258" s="33"/>
      <c r="B258" s="33"/>
      <c r="C258" s="33"/>
      <c r="D258" s="33"/>
      <c r="E258" s="34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</row>
    <row r="259" spans="1:77" x14ac:dyDescent="0.3">
      <c r="A259" s="33"/>
      <c r="B259" s="33"/>
      <c r="C259" s="33"/>
      <c r="D259" s="33"/>
      <c r="E259" s="34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</row>
    <row r="260" spans="1:77" x14ac:dyDescent="0.3">
      <c r="A260" s="33"/>
      <c r="B260" s="33"/>
      <c r="C260" s="33"/>
      <c r="D260" s="33"/>
      <c r="E260" s="34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</row>
    <row r="261" spans="1:77" x14ac:dyDescent="0.3">
      <c r="A261" s="33"/>
      <c r="B261" s="33"/>
      <c r="C261" s="33"/>
      <c r="D261" s="33"/>
      <c r="E261" s="34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</row>
    <row r="262" spans="1:77" x14ac:dyDescent="0.3">
      <c r="A262" s="33"/>
      <c r="B262" s="33"/>
      <c r="C262" s="33"/>
      <c r="D262" s="33"/>
      <c r="E262" s="34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</row>
    <row r="263" spans="1:77" x14ac:dyDescent="0.3">
      <c r="A263" s="33"/>
      <c r="B263" s="33"/>
      <c r="C263" s="33"/>
      <c r="D263" s="33"/>
      <c r="E263" s="34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</row>
    <row r="264" spans="1:77" x14ac:dyDescent="0.3">
      <c r="A264" s="33"/>
      <c r="B264" s="33"/>
      <c r="C264" s="33"/>
      <c r="D264" s="33"/>
      <c r="E264" s="34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</row>
    <row r="265" spans="1:77" x14ac:dyDescent="0.3">
      <c r="A265" s="33"/>
      <c r="B265" s="33"/>
      <c r="C265" s="33"/>
      <c r="D265" s="33"/>
      <c r="E265" s="34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</row>
    <row r="266" spans="1:77" x14ac:dyDescent="0.3">
      <c r="A266" s="33"/>
      <c r="B266" s="33"/>
      <c r="C266" s="33"/>
      <c r="D266" s="33"/>
      <c r="E266" s="34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</row>
    <row r="267" spans="1:77" x14ac:dyDescent="0.3">
      <c r="A267" s="33"/>
      <c r="B267" s="33"/>
      <c r="C267" s="33"/>
      <c r="D267" s="33"/>
      <c r="E267" s="34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</row>
    <row r="268" spans="1:77" x14ac:dyDescent="0.3">
      <c r="A268" s="33"/>
      <c r="B268" s="33"/>
      <c r="C268" s="33"/>
      <c r="D268" s="33"/>
      <c r="E268" s="34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</row>
    <row r="269" spans="1:77" x14ac:dyDescent="0.3">
      <c r="A269" s="33"/>
      <c r="B269" s="33"/>
      <c r="C269" s="33"/>
      <c r="D269" s="33"/>
      <c r="E269" s="34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</row>
    <row r="270" spans="1:77" x14ac:dyDescent="0.3">
      <c r="A270" s="33"/>
      <c r="B270" s="33"/>
      <c r="C270" s="33"/>
      <c r="D270" s="33"/>
      <c r="E270" s="34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</row>
    <row r="271" spans="1:77" x14ac:dyDescent="0.3">
      <c r="A271" s="33"/>
      <c r="B271" s="33"/>
      <c r="C271" s="33"/>
      <c r="D271" s="33"/>
      <c r="E271" s="34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</row>
    <row r="272" spans="1:77" x14ac:dyDescent="0.3">
      <c r="A272" s="33"/>
      <c r="B272" s="33"/>
      <c r="C272" s="33"/>
      <c r="D272" s="33"/>
      <c r="E272" s="34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</row>
    <row r="273" spans="1:77" x14ac:dyDescent="0.3">
      <c r="A273" s="33"/>
      <c r="B273" s="33"/>
      <c r="C273" s="33"/>
      <c r="D273" s="33"/>
      <c r="E273" s="34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</row>
    <row r="274" spans="1:77" x14ac:dyDescent="0.3">
      <c r="A274" s="33"/>
      <c r="B274" s="33"/>
      <c r="C274" s="33"/>
      <c r="D274" s="33"/>
      <c r="E274" s="34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</row>
    <row r="275" spans="1:77" x14ac:dyDescent="0.3">
      <c r="A275" s="33"/>
      <c r="B275" s="33"/>
      <c r="C275" s="33"/>
      <c r="D275" s="33"/>
      <c r="E275" s="34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</row>
    <row r="276" spans="1:77" x14ac:dyDescent="0.3">
      <c r="A276" s="33"/>
      <c r="B276" s="33"/>
      <c r="C276" s="33"/>
      <c r="D276" s="33"/>
      <c r="E276" s="34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</row>
    <row r="277" spans="1:77" x14ac:dyDescent="0.3">
      <c r="A277" s="33"/>
      <c r="B277" s="33"/>
      <c r="C277" s="33"/>
      <c r="D277" s="33"/>
      <c r="E277" s="34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</row>
    <row r="278" spans="1:77" x14ac:dyDescent="0.3">
      <c r="A278" s="33"/>
      <c r="B278" s="33"/>
      <c r="C278" s="33"/>
      <c r="D278" s="33"/>
      <c r="E278" s="34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</row>
    <row r="279" spans="1:77" x14ac:dyDescent="0.3">
      <c r="A279" s="33"/>
      <c r="B279" s="33"/>
      <c r="C279" s="33"/>
      <c r="D279" s="33"/>
      <c r="E279" s="34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</row>
    <row r="280" spans="1:77" x14ac:dyDescent="0.3">
      <c r="A280" s="33"/>
      <c r="B280" s="33"/>
      <c r="C280" s="33"/>
      <c r="D280" s="33"/>
      <c r="E280" s="34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</row>
    <row r="281" spans="1:77" x14ac:dyDescent="0.3">
      <c r="A281" s="33"/>
      <c r="B281" s="33"/>
      <c r="C281" s="33"/>
      <c r="D281" s="33"/>
      <c r="E281" s="34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</row>
    <row r="282" spans="1:77" x14ac:dyDescent="0.3">
      <c r="A282" s="33"/>
      <c r="B282" s="33"/>
      <c r="C282" s="33"/>
      <c r="D282" s="33"/>
      <c r="E282" s="34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</row>
    <row r="283" spans="1:77" x14ac:dyDescent="0.3">
      <c r="A283" s="33"/>
      <c r="B283" s="33"/>
      <c r="C283" s="33"/>
      <c r="D283" s="33"/>
      <c r="E283" s="34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</row>
    <row r="284" spans="1:77" x14ac:dyDescent="0.3">
      <c r="A284" s="33"/>
      <c r="B284" s="33"/>
      <c r="C284" s="33"/>
      <c r="D284" s="33"/>
      <c r="E284" s="34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</row>
    <row r="285" spans="1:77" x14ac:dyDescent="0.3">
      <c r="A285" s="33"/>
      <c r="B285" s="33"/>
      <c r="C285" s="33"/>
      <c r="D285" s="33"/>
      <c r="E285" s="34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</row>
    <row r="286" spans="1:77" x14ac:dyDescent="0.3">
      <c r="A286" s="33"/>
      <c r="B286" s="33"/>
      <c r="C286" s="33"/>
      <c r="D286" s="33"/>
      <c r="E286" s="34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</row>
    <row r="287" spans="1:77" x14ac:dyDescent="0.3">
      <c r="A287" s="33"/>
      <c r="B287" s="33"/>
      <c r="C287" s="33"/>
      <c r="D287" s="33"/>
      <c r="E287" s="34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</row>
    <row r="288" spans="1:77" x14ac:dyDescent="0.3">
      <c r="A288" s="33"/>
      <c r="B288" s="33"/>
      <c r="C288" s="33"/>
      <c r="D288" s="33"/>
      <c r="E288" s="34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</row>
    <row r="289" spans="1:77" x14ac:dyDescent="0.3">
      <c r="A289" s="33"/>
      <c r="B289" s="33"/>
      <c r="C289" s="33"/>
      <c r="D289" s="33"/>
      <c r="E289" s="34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</row>
    <row r="290" spans="1:77" x14ac:dyDescent="0.3">
      <c r="A290" s="33"/>
      <c r="B290" s="33"/>
      <c r="C290" s="33"/>
      <c r="D290" s="33"/>
      <c r="E290" s="34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</row>
    <row r="291" spans="1:77" x14ac:dyDescent="0.3">
      <c r="A291" s="33"/>
      <c r="B291" s="33"/>
      <c r="C291" s="33"/>
      <c r="D291" s="33"/>
      <c r="E291" s="34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</row>
    <row r="292" spans="1:77" x14ac:dyDescent="0.3">
      <c r="A292" s="33"/>
      <c r="B292" s="33"/>
      <c r="C292" s="33"/>
      <c r="D292" s="33"/>
      <c r="E292" s="34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</row>
    <row r="293" spans="1:77" x14ac:dyDescent="0.3">
      <c r="A293" s="33"/>
      <c r="B293" s="33"/>
      <c r="C293" s="33"/>
      <c r="D293" s="33"/>
      <c r="E293" s="34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</row>
    <row r="294" spans="1:77" x14ac:dyDescent="0.3">
      <c r="A294" s="33"/>
      <c r="B294" s="33"/>
      <c r="C294" s="33"/>
      <c r="D294" s="33"/>
      <c r="E294" s="34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</row>
    <row r="295" spans="1:77" x14ac:dyDescent="0.3">
      <c r="A295" s="33"/>
      <c r="B295" s="33"/>
      <c r="C295" s="33"/>
      <c r="D295" s="33"/>
      <c r="E295" s="34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</row>
    <row r="296" spans="1:77" x14ac:dyDescent="0.3">
      <c r="A296" s="33"/>
      <c r="B296" s="33"/>
      <c r="C296" s="33"/>
      <c r="D296" s="33"/>
      <c r="E296" s="34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</row>
    <row r="297" spans="1:77" x14ac:dyDescent="0.3">
      <c r="A297" s="33"/>
      <c r="B297" s="33"/>
      <c r="C297" s="33"/>
      <c r="D297" s="33"/>
      <c r="E297" s="34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</row>
    <row r="298" spans="1:77" x14ac:dyDescent="0.3">
      <c r="A298" s="33"/>
      <c r="B298" s="33"/>
      <c r="C298" s="33"/>
      <c r="D298" s="33"/>
      <c r="E298" s="34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</row>
    <row r="299" spans="1:77" x14ac:dyDescent="0.3">
      <c r="A299" s="33"/>
      <c r="B299" s="33"/>
      <c r="C299" s="33"/>
      <c r="D299" s="33"/>
      <c r="E299" s="34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</row>
    <row r="300" spans="1:77" x14ac:dyDescent="0.3">
      <c r="A300" s="33"/>
      <c r="B300" s="33"/>
      <c r="C300" s="33"/>
      <c r="D300" s="33"/>
      <c r="E300" s="34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</row>
    <row r="301" spans="1:77" x14ac:dyDescent="0.3">
      <c r="A301" s="33"/>
      <c r="B301" s="33"/>
      <c r="C301" s="33"/>
      <c r="D301" s="33"/>
      <c r="E301" s="34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</row>
    <row r="302" spans="1:77" x14ac:dyDescent="0.3">
      <c r="A302" s="33"/>
      <c r="B302" s="33"/>
      <c r="C302" s="33"/>
      <c r="D302" s="33"/>
      <c r="E302" s="34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</row>
    <row r="303" spans="1:77" x14ac:dyDescent="0.3">
      <c r="A303" s="33"/>
      <c r="B303" s="33"/>
      <c r="C303" s="33"/>
      <c r="D303" s="33"/>
      <c r="E303" s="34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</row>
    <row r="304" spans="1:77" x14ac:dyDescent="0.3">
      <c r="A304" s="33"/>
      <c r="B304" s="33"/>
      <c r="C304" s="33"/>
      <c r="D304" s="33"/>
      <c r="E304" s="34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</row>
    <row r="305" spans="1:77" x14ac:dyDescent="0.3">
      <c r="A305" s="33"/>
      <c r="B305" s="33"/>
      <c r="C305" s="33"/>
      <c r="D305" s="33"/>
      <c r="E305" s="34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</row>
    <row r="306" spans="1:77" x14ac:dyDescent="0.3">
      <c r="A306" s="33"/>
      <c r="B306" s="33"/>
      <c r="C306" s="33"/>
      <c r="D306" s="33"/>
      <c r="E306" s="34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</row>
    <row r="307" spans="1:77" x14ac:dyDescent="0.3">
      <c r="A307" s="33"/>
      <c r="B307" s="33"/>
      <c r="C307" s="33"/>
      <c r="D307" s="33"/>
      <c r="E307" s="34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</row>
    <row r="308" spans="1:77" x14ac:dyDescent="0.3">
      <c r="A308" s="33"/>
      <c r="B308" s="33"/>
      <c r="C308" s="33"/>
      <c r="D308" s="33"/>
      <c r="E308" s="34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</row>
    <row r="309" spans="1:77" x14ac:dyDescent="0.3">
      <c r="A309" s="33"/>
      <c r="B309" s="33"/>
      <c r="C309" s="33"/>
      <c r="D309" s="33"/>
      <c r="E309" s="34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</row>
    <row r="310" spans="1:77" x14ac:dyDescent="0.3">
      <c r="A310" s="33"/>
      <c r="B310" s="33"/>
      <c r="C310" s="33"/>
      <c r="D310" s="33"/>
      <c r="E310" s="34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</row>
    <row r="311" spans="1:77" x14ac:dyDescent="0.3">
      <c r="A311" s="33"/>
      <c r="B311" s="33"/>
      <c r="C311" s="33"/>
      <c r="D311" s="33"/>
      <c r="E311" s="34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</row>
    <row r="312" spans="1:77" x14ac:dyDescent="0.3">
      <c r="A312" s="33"/>
      <c r="B312" s="33"/>
      <c r="C312" s="33"/>
      <c r="D312" s="33"/>
      <c r="E312" s="34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</row>
    <row r="313" spans="1:77" x14ac:dyDescent="0.3">
      <c r="A313" s="33"/>
      <c r="B313" s="33"/>
      <c r="C313" s="33"/>
      <c r="D313" s="33"/>
      <c r="E313" s="34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</row>
    <row r="314" spans="1:77" x14ac:dyDescent="0.3">
      <c r="A314" s="33"/>
      <c r="B314" s="33"/>
      <c r="C314" s="33"/>
      <c r="D314" s="33"/>
      <c r="E314" s="34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</row>
    <row r="315" spans="1:77" x14ac:dyDescent="0.3">
      <c r="A315" s="33"/>
      <c r="B315" s="33"/>
      <c r="C315" s="33"/>
      <c r="D315" s="33"/>
      <c r="E315" s="34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</row>
    <row r="316" spans="1:77" x14ac:dyDescent="0.3">
      <c r="A316" s="33"/>
      <c r="B316" s="33"/>
      <c r="C316" s="33"/>
      <c r="D316" s="33"/>
      <c r="E316" s="34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</row>
    <row r="317" spans="1:77" x14ac:dyDescent="0.3">
      <c r="A317" s="33"/>
      <c r="B317" s="33"/>
      <c r="C317" s="33"/>
      <c r="D317" s="33"/>
      <c r="E317" s="34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</row>
    <row r="318" spans="1:77" x14ac:dyDescent="0.3">
      <c r="A318" s="33"/>
      <c r="B318" s="33"/>
      <c r="C318" s="33"/>
      <c r="D318" s="33"/>
      <c r="E318" s="34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</row>
    <row r="319" spans="1:77" x14ac:dyDescent="0.3">
      <c r="A319" s="33"/>
      <c r="B319" s="33"/>
      <c r="C319" s="33"/>
      <c r="D319" s="33"/>
      <c r="E319" s="34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</row>
    <row r="320" spans="1:77" x14ac:dyDescent="0.3">
      <c r="A320" s="33"/>
      <c r="B320" s="33"/>
      <c r="C320" s="33"/>
      <c r="D320" s="33"/>
      <c r="E320" s="34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</row>
    <row r="321" spans="1:77" x14ac:dyDescent="0.3">
      <c r="A321" s="33"/>
      <c r="B321" s="33"/>
      <c r="C321" s="33"/>
      <c r="D321" s="33"/>
      <c r="E321" s="34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</row>
    <row r="322" spans="1:77" x14ac:dyDescent="0.3">
      <c r="A322" s="33"/>
      <c r="B322" s="33"/>
      <c r="C322" s="33"/>
      <c r="D322" s="33"/>
      <c r="E322" s="34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</row>
    <row r="323" spans="1:77" x14ac:dyDescent="0.3">
      <c r="A323" s="33"/>
      <c r="B323" s="33"/>
      <c r="C323" s="33"/>
      <c r="D323" s="33"/>
      <c r="E323" s="34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</row>
    <row r="324" spans="1:77" x14ac:dyDescent="0.3">
      <c r="A324" s="33"/>
      <c r="B324" s="33"/>
      <c r="C324" s="33"/>
      <c r="D324" s="33"/>
      <c r="E324" s="34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</row>
    <row r="325" spans="1:77" x14ac:dyDescent="0.3">
      <c r="A325" s="33"/>
      <c r="B325" s="33"/>
      <c r="C325" s="33"/>
      <c r="D325" s="33"/>
      <c r="E325" s="34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</row>
    <row r="326" spans="1:77" x14ac:dyDescent="0.3">
      <c r="A326" s="33"/>
      <c r="B326" s="33"/>
      <c r="C326" s="33"/>
      <c r="D326" s="33"/>
      <c r="E326" s="34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</row>
    <row r="327" spans="1:77" x14ac:dyDescent="0.3">
      <c r="A327" s="33"/>
      <c r="B327" s="33"/>
      <c r="C327" s="33"/>
      <c r="D327" s="33"/>
      <c r="E327" s="34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</row>
    <row r="328" spans="1:77" x14ac:dyDescent="0.3">
      <c r="A328" s="33"/>
      <c r="B328" s="33"/>
      <c r="C328" s="33"/>
      <c r="D328" s="33"/>
      <c r="E328" s="34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</row>
    <row r="329" spans="1:77" x14ac:dyDescent="0.3">
      <c r="A329" s="33"/>
      <c r="B329" s="33"/>
      <c r="C329" s="33"/>
      <c r="D329" s="33"/>
      <c r="E329" s="34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</row>
    <row r="330" spans="1:77" x14ac:dyDescent="0.3">
      <c r="A330" s="33"/>
      <c r="B330" s="33"/>
      <c r="C330" s="33"/>
      <c r="D330" s="33"/>
      <c r="E330" s="34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</row>
    <row r="331" spans="1:77" x14ac:dyDescent="0.3">
      <c r="A331" s="33"/>
      <c r="B331" s="33"/>
      <c r="C331" s="33"/>
      <c r="D331" s="33"/>
      <c r="E331" s="34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</row>
    <row r="332" spans="1:77" x14ac:dyDescent="0.3">
      <c r="A332" s="33"/>
      <c r="B332" s="33"/>
      <c r="C332" s="33"/>
      <c r="D332" s="33"/>
      <c r="E332" s="34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</row>
    <row r="333" spans="1:77" x14ac:dyDescent="0.3">
      <c r="A333" s="33"/>
      <c r="B333" s="33"/>
      <c r="C333" s="33"/>
      <c r="D333" s="33"/>
      <c r="E333" s="34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</row>
    <row r="334" spans="1:77" x14ac:dyDescent="0.3">
      <c r="A334" s="33"/>
      <c r="B334" s="33"/>
      <c r="C334" s="33"/>
      <c r="D334" s="33"/>
      <c r="E334" s="34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</row>
    <row r="335" spans="1:77" x14ac:dyDescent="0.3">
      <c r="A335" s="33"/>
      <c r="B335" s="33"/>
      <c r="C335" s="33"/>
      <c r="D335" s="33"/>
      <c r="E335" s="34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</row>
    <row r="336" spans="1:77" x14ac:dyDescent="0.3">
      <c r="A336" s="33"/>
      <c r="B336" s="33"/>
      <c r="C336" s="33"/>
      <c r="D336" s="33"/>
      <c r="E336" s="34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</row>
    <row r="337" spans="1:77" x14ac:dyDescent="0.3">
      <c r="A337" s="33"/>
      <c r="B337" s="33"/>
      <c r="C337" s="33"/>
      <c r="D337" s="33"/>
      <c r="E337" s="34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</row>
    <row r="338" spans="1:77" x14ac:dyDescent="0.3">
      <c r="A338" s="33"/>
      <c r="B338" s="33"/>
      <c r="C338" s="33"/>
      <c r="D338" s="33"/>
      <c r="E338" s="34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</row>
    <row r="339" spans="1:77" x14ac:dyDescent="0.3">
      <c r="A339" s="33"/>
      <c r="B339" s="33"/>
      <c r="C339" s="33"/>
      <c r="D339" s="33"/>
      <c r="E339" s="34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</row>
    <row r="340" spans="1:77" x14ac:dyDescent="0.3">
      <c r="A340" s="33"/>
      <c r="B340" s="33"/>
      <c r="C340" s="33"/>
      <c r="D340" s="33"/>
      <c r="E340" s="34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</row>
    <row r="341" spans="1:77" x14ac:dyDescent="0.3">
      <c r="A341" s="33"/>
      <c r="B341" s="33"/>
      <c r="C341" s="33"/>
      <c r="D341" s="33"/>
      <c r="E341" s="34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</row>
    <row r="342" spans="1:77" x14ac:dyDescent="0.3">
      <c r="A342" s="33"/>
      <c r="B342" s="33"/>
      <c r="C342" s="33"/>
      <c r="D342" s="33"/>
      <c r="E342" s="34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</row>
    <row r="343" spans="1:77" x14ac:dyDescent="0.3">
      <c r="A343" s="33"/>
      <c r="B343" s="33"/>
      <c r="C343" s="33"/>
      <c r="D343" s="33"/>
      <c r="E343" s="34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</row>
    <row r="344" spans="1:77" x14ac:dyDescent="0.3">
      <c r="A344" s="33"/>
      <c r="B344" s="33"/>
      <c r="C344" s="33"/>
      <c r="D344" s="33"/>
      <c r="E344" s="34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</row>
    <row r="345" spans="1:77" x14ac:dyDescent="0.3">
      <c r="A345" s="33"/>
      <c r="B345" s="33"/>
      <c r="C345" s="33"/>
      <c r="D345" s="33"/>
      <c r="E345" s="34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</row>
    <row r="346" spans="1:77" x14ac:dyDescent="0.3">
      <c r="A346" s="33"/>
      <c r="B346" s="33"/>
      <c r="C346" s="33"/>
      <c r="D346" s="33"/>
      <c r="E346" s="34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</row>
    <row r="347" spans="1:77" x14ac:dyDescent="0.3">
      <c r="A347" s="33"/>
      <c r="B347" s="33"/>
      <c r="C347" s="33"/>
      <c r="D347" s="33"/>
      <c r="E347" s="34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</row>
    <row r="348" spans="1:77" x14ac:dyDescent="0.3">
      <c r="A348" s="33"/>
      <c r="B348" s="33"/>
      <c r="C348" s="33"/>
      <c r="D348" s="33"/>
      <c r="E348" s="34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</row>
    <row r="349" spans="1:77" x14ac:dyDescent="0.3">
      <c r="A349" s="33"/>
      <c r="B349" s="33"/>
      <c r="C349" s="33"/>
      <c r="D349" s="33"/>
      <c r="E349" s="34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</row>
    <row r="350" spans="1:77" x14ac:dyDescent="0.3">
      <c r="A350" s="33"/>
      <c r="B350" s="33"/>
      <c r="C350" s="33"/>
      <c r="D350" s="33"/>
      <c r="E350" s="34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</row>
    <row r="351" spans="1:77" x14ac:dyDescent="0.3">
      <c r="A351" s="33"/>
      <c r="B351" s="33"/>
      <c r="C351" s="33"/>
      <c r="D351" s="33"/>
      <c r="E351" s="34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</row>
    <row r="352" spans="1:77" x14ac:dyDescent="0.3">
      <c r="A352" s="33"/>
      <c r="B352" s="33"/>
      <c r="C352" s="33"/>
      <c r="D352" s="33"/>
      <c r="E352" s="34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</row>
    <row r="353" spans="1:77" x14ac:dyDescent="0.3">
      <c r="A353" s="33"/>
      <c r="B353" s="33"/>
      <c r="C353" s="33"/>
      <c r="D353" s="33"/>
      <c r="E353" s="34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</row>
    <row r="354" spans="1:77" x14ac:dyDescent="0.3">
      <c r="A354" s="33"/>
      <c r="B354" s="33"/>
      <c r="C354" s="33"/>
      <c r="D354" s="33"/>
      <c r="E354" s="34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</row>
    <row r="355" spans="1:77" x14ac:dyDescent="0.3">
      <c r="A355" s="33"/>
      <c r="B355" s="33"/>
      <c r="C355" s="33"/>
      <c r="D355" s="33"/>
      <c r="E355" s="34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</row>
    <row r="356" spans="1:77" x14ac:dyDescent="0.3">
      <c r="A356" s="33"/>
      <c r="B356" s="33"/>
      <c r="C356" s="33"/>
      <c r="D356" s="33"/>
      <c r="E356" s="34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</row>
    <row r="357" spans="1:77" x14ac:dyDescent="0.3">
      <c r="A357" s="33"/>
      <c r="B357" s="33"/>
      <c r="C357" s="33"/>
      <c r="D357" s="33"/>
      <c r="E357" s="34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</row>
    <row r="358" spans="1:77" x14ac:dyDescent="0.3">
      <c r="A358" s="33"/>
      <c r="B358" s="33"/>
      <c r="C358" s="33"/>
      <c r="D358" s="33"/>
      <c r="E358" s="34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</row>
    <row r="359" spans="1:77" x14ac:dyDescent="0.3">
      <c r="A359" s="33"/>
      <c r="B359" s="33"/>
      <c r="C359" s="33"/>
      <c r="D359" s="33"/>
      <c r="E359" s="34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</row>
    <row r="360" spans="1:77" x14ac:dyDescent="0.3">
      <c r="A360" s="33"/>
      <c r="B360" s="33"/>
      <c r="C360" s="33"/>
      <c r="D360" s="33"/>
      <c r="E360" s="34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</row>
    <row r="361" spans="1:77" x14ac:dyDescent="0.3">
      <c r="A361" s="33"/>
      <c r="B361" s="33"/>
      <c r="C361" s="33"/>
      <c r="D361" s="33"/>
      <c r="E361" s="34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</row>
    <row r="362" spans="1:77" x14ac:dyDescent="0.3">
      <c r="A362" s="33"/>
      <c r="B362" s="33"/>
      <c r="C362" s="33"/>
      <c r="D362" s="33"/>
      <c r="E362" s="34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</row>
    <row r="363" spans="1:77" x14ac:dyDescent="0.3">
      <c r="A363" s="33"/>
      <c r="B363" s="33"/>
      <c r="C363" s="33"/>
      <c r="D363" s="33"/>
      <c r="E363" s="34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</row>
    <row r="364" spans="1:77" x14ac:dyDescent="0.3">
      <c r="A364" s="33"/>
      <c r="B364" s="33"/>
      <c r="C364" s="33"/>
      <c r="D364" s="33"/>
      <c r="E364" s="34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</row>
    <row r="365" spans="1:77" x14ac:dyDescent="0.3">
      <c r="A365" s="33"/>
      <c r="B365" s="33"/>
      <c r="C365" s="33"/>
      <c r="D365" s="33"/>
      <c r="E365" s="34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</row>
    <row r="366" spans="1:77" x14ac:dyDescent="0.3">
      <c r="A366" s="33"/>
      <c r="B366" s="33"/>
      <c r="C366" s="33"/>
      <c r="D366" s="33"/>
      <c r="E366" s="34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</row>
    <row r="367" spans="1:77" x14ac:dyDescent="0.3">
      <c r="A367" s="33"/>
      <c r="B367" s="33"/>
      <c r="C367" s="33"/>
      <c r="D367" s="33"/>
      <c r="E367" s="34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</row>
    <row r="368" spans="1:77" x14ac:dyDescent="0.3">
      <c r="A368" s="33"/>
      <c r="B368" s="33"/>
      <c r="C368" s="33"/>
      <c r="D368" s="33"/>
      <c r="E368" s="34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</row>
    <row r="369" spans="1:77" x14ac:dyDescent="0.3">
      <c r="A369" s="33"/>
      <c r="B369" s="33"/>
      <c r="C369" s="33"/>
      <c r="D369" s="33"/>
      <c r="E369" s="34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</row>
    <row r="370" spans="1:77" x14ac:dyDescent="0.3">
      <c r="A370" s="33"/>
      <c r="B370" s="33"/>
      <c r="C370" s="33"/>
      <c r="D370" s="33"/>
      <c r="E370" s="34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</row>
    <row r="371" spans="1:77" x14ac:dyDescent="0.3">
      <c r="A371" s="33"/>
      <c r="B371" s="33"/>
      <c r="C371" s="33"/>
      <c r="D371" s="33"/>
      <c r="E371" s="34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</row>
    <row r="372" spans="1:77" x14ac:dyDescent="0.3">
      <c r="A372" s="33"/>
      <c r="B372" s="33"/>
      <c r="C372" s="33"/>
      <c r="D372" s="33"/>
      <c r="E372" s="34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</row>
    <row r="373" spans="1:77" x14ac:dyDescent="0.3">
      <c r="A373" s="33"/>
      <c r="B373" s="33"/>
      <c r="C373" s="33"/>
      <c r="D373" s="33"/>
      <c r="E373" s="34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</row>
    <row r="374" spans="1:77" x14ac:dyDescent="0.3">
      <c r="A374" s="33"/>
      <c r="B374" s="33"/>
      <c r="C374" s="33"/>
      <c r="D374" s="33"/>
      <c r="E374" s="34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</row>
    <row r="375" spans="1:77" x14ac:dyDescent="0.3">
      <c r="A375" s="33"/>
      <c r="B375" s="33"/>
      <c r="C375" s="33"/>
      <c r="D375" s="33"/>
      <c r="E375" s="34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</row>
    <row r="376" spans="1:77" x14ac:dyDescent="0.3">
      <c r="A376" s="33"/>
      <c r="B376" s="33"/>
      <c r="C376" s="33"/>
      <c r="D376" s="33"/>
      <c r="E376" s="34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</row>
    <row r="377" spans="1:77" x14ac:dyDescent="0.3">
      <c r="A377" s="33"/>
      <c r="B377" s="33"/>
      <c r="C377" s="33"/>
      <c r="D377" s="33"/>
      <c r="E377" s="34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</row>
    <row r="378" spans="1:77" x14ac:dyDescent="0.3">
      <c r="A378" s="33"/>
      <c r="B378" s="33"/>
      <c r="C378" s="33"/>
      <c r="D378" s="33"/>
      <c r="E378" s="34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</row>
    <row r="379" spans="1:77" x14ac:dyDescent="0.3">
      <c r="A379" s="33"/>
      <c r="B379" s="33"/>
      <c r="C379" s="33"/>
      <c r="D379" s="33"/>
      <c r="E379" s="34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</row>
    <row r="380" spans="1:77" x14ac:dyDescent="0.3">
      <c r="A380" s="33"/>
      <c r="B380" s="33"/>
      <c r="C380" s="33"/>
      <c r="D380" s="33"/>
      <c r="E380" s="34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</row>
    <row r="381" spans="1:77" x14ac:dyDescent="0.3">
      <c r="A381" s="33"/>
      <c r="B381" s="33"/>
      <c r="C381" s="33"/>
      <c r="D381" s="33"/>
      <c r="E381" s="34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</row>
    <row r="382" spans="1:77" x14ac:dyDescent="0.3">
      <c r="A382" s="33"/>
      <c r="B382" s="33"/>
      <c r="C382" s="33"/>
      <c r="D382" s="33"/>
      <c r="E382" s="34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</row>
    <row r="383" spans="1:77" x14ac:dyDescent="0.3">
      <c r="A383" s="33"/>
      <c r="B383" s="33"/>
      <c r="C383" s="33"/>
      <c r="D383" s="33"/>
      <c r="E383" s="34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</row>
    <row r="384" spans="1:77" x14ac:dyDescent="0.3">
      <c r="A384" s="33"/>
      <c r="B384" s="33"/>
      <c r="C384" s="33"/>
      <c r="D384" s="33"/>
      <c r="E384" s="34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</row>
    <row r="385" spans="1:77" x14ac:dyDescent="0.3">
      <c r="A385" s="33"/>
      <c r="B385" s="33"/>
      <c r="C385" s="33"/>
      <c r="D385" s="33"/>
      <c r="E385" s="34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</row>
    <row r="386" spans="1:77" x14ac:dyDescent="0.3">
      <c r="A386" s="33"/>
      <c r="B386" s="33"/>
      <c r="C386" s="33"/>
      <c r="D386" s="33"/>
      <c r="E386" s="34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</row>
    <row r="387" spans="1:77" x14ac:dyDescent="0.3">
      <c r="A387" s="33"/>
      <c r="B387" s="33"/>
      <c r="C387" s="33"/>
      <c r="D387" s="33"/>
      <c r="E387" s="34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</row>
    <row r="388" spans="1:77" x14ac:dyDescent="0.3">
      <c r="A388" s="33"/>
      <c r="B388" s="33"/>
      <c r="C388" s="33"/>
      <c r="D388" s="33"/>
      <c r="E388" s="34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</row>
    <row r="389" spans="1:77" x14ac:dyDescent="0.3">
      <c r="A389" s="33"/>
      <c r="B389" s="33"/>
      <c r="C389" s="33"/>
      <c r="D389" s="33"/>
      <c r="E389" s="34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</row>
    <row r="390" spans="1:77" x14ac:dyDescent="0.3">
      <c r="A390" s="33"/>
      <c r="B390" s="33"/>
      <c r="C390" s="33"/>
      <c r="D390" s="33"/>
      <c r="E390" s="34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</row>
    <row r="391" spans="1:77" x14ac:dyDescent="0.3">
      <c r="A391" s="33"/>
      <c r="B391" s="33"/>
      <c r="C391" s="33"/>
      <c r="D391" s="33"/>
      <c r="E391" s="34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</row>
    <row r="392" spans="1:77" x14ac:dyDescent="0.3">
      <c r="A392" s="33"/>
      <c r="B392" s="33"/>
      <c r="C392" s="33"/>
      <c r="D392" s="33"/>
      <c r="E392" s="34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</row>
    <row r="393" spans="1:77" x14ac:dyDescent="0.3">
      <c r="A393" s="33"/>
      <c r="B393" s="33"/>
      <c r="C393" s="33"/>
      <c r="D393" s="33"/>
      <c r="E393" s="34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</row>
    <row r="394" spans="1:77" x14ac:dyDescent="0.3">
      <c r="A394" s="33"/>
      <c r="B394" s="33"/>
      <c r="C394" s="33"/>
      <c r="D394" s="33"/>
      <c r="E394" s="34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</row>
    <row r="395" spans="1:77" x14ac:dyDescent="0.3">
      <c r="A395" s="33"/>
      <c r="B395" s="33"/>
      <c r="C395" s="33"/>
      <c r="D395" s="33"/>
      <c r="E395" s="34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</row>
    <row r="396" spans="1:77" x14ac:dyDescent="0.3">
      <c r="A396" s="33"/>
      <c r="B396" s="33"/>
      <c r="C396" s="33"/>
      <c r="D396" s="33"/>
      <c r="E396" s="34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</row>
    <row r="397" spans="1:77" x14ac:dyDescent="0.3">
      <c r="A397" s="33"/>
      <c r="B397" s="33"/>
      <c r="C397" s="33"/>
      <c r="D397" s="33"/>
      <c r="E397" s="34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</row>
    <row r="398" spans="1:77" x14ac:dyDescent="0.3">
      <c r="A398" s="33"/>
      <c r="B398" s="33"/>
      <c r="C398" s="33"/>
      <c r="D398" s="33"/>
      <c r="E398" s="34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</row>
    <row r="399" spans="1:77" x14ac:dyDescent="0.3">
      <c r="A399" s="33"/>
      <c r="B399" s="33"/>
      <c r="C399" s="33"/>
      <c r="D399" s="33"/>
      <c r="E399" s="34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</row>
    <row r="400" spans="1:77" x14ac:dyDescent="0.3">
      <c r="A400" s="33"/>
      <c r="B400" s="33"/>
      <c r="C400" s="33"/>
      <c r="D400" s="33"/>
      <c r="E400" s="34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</row>
    <row r="401" spans="1:77" x14ac:dyDescent="0.3">
      <c r="A401" s="33"/>
      <c r="B401" s="33"/>
      <c r="C401" s="33"/>
      <c r="D401" s="33"/>
      <c r="E401" s="34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</row>
    <row r="402" spans="1:77" x14ac:dyDescent="0.3">
      <c r="A402" s="33"/>
      <c r="B402" s="33"/>
      <c r="C402" s="33"/>
      <c r="D402" s="33"/>
      <c r="E402" s="34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</row>
    <row r="403" spans="1:77" x14ac:dyDescent="0.3">
      <c r="A403" s="33"/>
      <c r="B403" s="33"/>
      <c r="C403" s="33"/>
      <c r="D403" s="33"/>
      <c r="E403" s="34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</row>
    <row r="404" spans="1:77" x14ac:dyDescent="0.3">
      <c r="A404" s="33"/>
      <c r="B404" s="33"/>
      <c r="C404" s="33"/>
      <c r="D404" s="33"/>
      <c r="E404" s="34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</row>
    <row r="405" spans="1:77" x14ac:dyDescent="0.3">
      <c r="A405" s="33"/>
      <c r="B405" s="33"/>
      <c r="C405" s="33"/>
      <c r="D405" s="33"/>
      <c r="E405" s="34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</row>
    <row r="406" spans="1:77" x14ac:dyDescent="0.3">
      <c r="A406" s="33"/>
      <c r="B406" s="33"/>
      <c r="C406" s="33"/>
      <c r="D406" s="33"/>
      <c r="E406" s="34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</row>
    <row r="407" spans="1:77" x14ac:dyDescent="0.3">
      <c r="A407" s="33"/>
      <c r="B407" s="33"/>
      <c r="C407" s="33"/>
      <c r="D407" s="33"/>
      <c r="E407" s="34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</row>
    <row r="408" spans="1:77" x14ac:dyDescent="0.3">
      <c r="A408" s="33"/>
      <c r="B408" s="33"/>
      <c r="C408" s="33"/>
      <c r="D408" s="33"/>
      <c r="E408" s="34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</row>
    <row r="409" spans="1:77" x14ac:dyDescent="0.3">
      <c r="A409" s="33"/>
      <c r="B409" s="33"/>
      <c r="C409" s="33"/>
      <c r="D409" s="33"/>
      <c r="E409" s="34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</row>
    <row r="410" spans="1:77" x14ac:dyDescent="0.3">
      <c r="A410" s="33"/>
      <c r="B410" s="33"/>
      <c r="C410" s="33"/>
      <c r="D410" s="33"/>
      <c r="E410" s="34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</row>
    <row r="411" spans="1:77" x14ac:dyDescent="0.3">
      <c r="A411" s="33"/>
      <c r="B411" s="33"/>
      <c r="C411" s="33"/>
      <c r="D411" s="33"/>
      <c r="E411" s="34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</row>
    <row r="412" spans="1:77" x14ac:dyDescent="0.3">
      <c r="A412" s="33"/>
      <c r="B412" s="33"/>
      <c r="C412" s="33"/>
      <c r="D412" s="33"/>
      <c r="E412" s="34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</row>
    <row r="413" spans="1:77" x14ac:dyDescent="0.3">
      <c r="A413" s="33"/>
      <c r="B413" s="33"/>
      <c r="C413" s="33"/>
      <c r="D413" s="33"/>
      <c r="E413" s="34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</row>
    <row r="414" spans="1:77" x14ac:dyDescent="0.3">
      <c r="A414" s="33"/>
      <c r="B414" s="33"/>
      <c r="C414" s="33"/>
      <c r="D414" s="33"/>
      <c r="E414" s="34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</row>
    <row r="415" spans="1:77" x14ac:dyDescent="0.3">
      <c r="A415" s="33"/>
      <c r="B415" s="33"/>
      <c r="C415" s="33"/>
      <c r="D415" s="33"/>
      <c r="E415" s="34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</row>
    <row r="416" spans="1:77" x14ac:dyDescent="0.3">
      <c r="A416" s="33"/>
      <c r="B416" s="33"/>
      <c r="C416" s="33"/>
      <c r="D416" s="33"/>
      <c r="E416" s="34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</row>
    <row r="417" spans="1:77" x14ac:dyDescent="0.3">
      <c r="A417" s="33"/>
      <c r="B417" s="33"/>
      <c r="C417" s="33"/>
      <c r="D417" s="33"/>
      <c r="E417" s="34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</row>
    <row r="418" spans="1:77" x14ac:dyDescent="0.3">
      <c r="A418" s="33"/>
      <c r="B418" s="33"/>
      <c r="C418" s="33"/>
      <c r="D418" s="33"/>
      <c r="E418" s="34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</row>
    <row r="419" spans="1:77" x14ac:dyDescent="0.3">
      <c r="A419" s="33"/>
      <c r="B419" s="33"/>
      <c r="C419" s="33"/>
      <c r="D419" s="33"/>
      <c r="E419" s="34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</row>
    <row r="420" spans="1:77" x14ac:dyDescent="0.3">
      <c r="A420" s="33"/>
      <c r="B420" s="33"/>
      <c r="C420" s="33"/>
      <c r="D420" s="33"/>
      <c r="E420" s="34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</row>
    <row r="421" spans="1:77" x14ac:dyDescent="0.3">
      <c r="A421" s="33"/>
      <c r="B421" s="33"/>
      <c r="C421" s="33"/>
      <c r="D421" s="33"/>
      <c r="E421" s="34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</row>
    <row r="422" spans="1:77" x14ac:dyDescent="0.3">
      <c r="A422" s="33"/>
      <c r="B422" s="33"/>
      <c r="C422" s="33"/>
      <c r="D422" s="33"/>
      <c r="E422" s="34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</row>
    <row r="423" spans="1:77" x14ac:dyDescent="0.3">
      <c r="A423" s="33"/>
      <c r="B423" s="33"/>
      <c r="C423" s="33"/>
      <c r="D423" s="33"/>
      <c r="E423" s="34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</row>
    <row r="424" spans="1:77" x14ac:dyDescent="0.3">
      <c r="A424" s="33"/>
      <c r="B424" s="33"/>
      <c r="C424" s="33"/>
      <c r="D424" s="33"/>
      <c r="E424" s="34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</row>
    <row r="425" spans="1:77" x14ac:dyDescent="0.3">
      <c r="A425" s="33"/>
      <c r="B425" s="33"/>
      <c r="C425" s="33"/>
      <c r="D425" s="33"/>
      <c r="E425" s="34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</row>
    <row r="426" spans="1:77" x14ac:dyDescent="0.3">
      <c r="A426" s="33"/>
      <c r="B426" s="33"/>
      <c r="C426" s="33"/>
      <c r="D426" s="33"/>
      <c r="E426" s="34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</row>
    <row r="427" spans="1:77" x14ac:dyDescent="0.3">
      <c r="A427" s="33"/>
      <c r="B427" s="33"/>
      <c r="C427" s="33"/>
      <c r="D427" s="33"/>
      <c r="E427" s="34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</row>
    <row r="428" spans="1:77" x14ac:dyDescent="0.3">
      <c r="A428" s="33"/>
      <c r="B428" s="33"/>
      <c r="C428" s="33"/>
      <c r="D428" s="33"/>
      <c r="E428" s="34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</row>
    <row r="429" spans="1:77" x14ac:dyDescent="0.3">
      <c r="A429" s="33"/>
      <c r="B429" s="33"/>
      <c r="C429" s="33"/>
      <c r="D429" s="33"/>
      <c r="E429" s="34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</row>
    <row r="430" spans="1:77" x14ac:dyDescent="0.3">
      <c r="A430" s="33"/>
      <c r="B430" s="33"/>
      <c r="C430" s="33"/>
      <c r="D430" s="33"/>
      <c r="E430" s="34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</row>
    <row r="431" spans="1:77" x14ac:dyDescent="0.3">
      <c r="A431" s="33"/>
      <c r="B431" s="33"/>
      <c r="C431" s="33"/>
      <c r="D431" s="33"/>
      <c r="E431" s="34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</row>
    <row r="432" spans="1:77" x14ac:dyDescent="0.3">
      <c r="A432" s="33"/>
      <c r="B432" s="33"/>
      <c r="C432" s="33"/>
      <c r="D432" s="33"/>
      <c r="E432" s="34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</row>
    <row r="433" spans="1:77" x14ac:dyDescent="0.3">
      <c r="A433" s="33"/>
      <c r="B433" s="33"/>
      <c r="C433" s="33"/>
      <c r="D433" s="33"/>
      <c r="E433" s="34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</row>
    <row r="434" spans="1:77" x14ac:dyDescent="0.3">
      <c r="A434" s="33"/>
      <c r="B434" s="33"/>
      <c r="C434" s="33"/>
      <c r="D434" s="33"/>
      <c r="E434" s="34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</row>
    <row r="435" spans="1:77" x14ac:dyDescent="0.3">
      <c r="A435" s="33"/>
      <c r="B435" s="33"/>
      <c r="C435" s="33"/>
      <c r="D435" s="33"/>
      <c r="E435" s="34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</row>
    <row r="436" spans="1:77" x14ac:dyDescent="0.3">
      <c r="A436" s="33"/>
      <c r="B436" s="33"/>
      <c r="C436" s="33"/>
      <c r="D436" s="33"/>
      <c r="E436" s="34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</row>
    <row r="437" spans="1:77" x14ac:dyDescent="0.3">
      <c r="A437" s="33"/>
      <c r="B437" s="33"/>
      <c r="C437" s="33"/>
      <c r="D437" s="33"/>
      <c r="E437" s="34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</row>
    <row r="438" spans="1:77" x14ac:dyDescent="0.3">
      <c r="A438" s="33"/>
      <c r="B438" s="33"/>
      <c r="C438" s="33"/>
      <c r="D438" s="33"/>
      <c r="E438" s="34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</row>
    <row r="439" spans="1:77" x14ac:dyDescent="0.3">
      <c r="A439" s="33"/>
      <c r="B439" s="33"/>
      <c r="C439" s="33"/>
      <c r="D439" s="33"/>
      <c r="E439" s="34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</row>
    <row r="440" spans="1:77" x14ac:dyDescent="0.3">
      <c r="A440" s="33"/>
      <c r="B440" s="33"/>
      <c r="C440" s="33"/>
      <c r="D440" s="33"/>
      <c r="E440" s="34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</row>
    <row r="441" spans="1:77" x14ac:dyDescent="0.3">
      <c r="A441" s="33"/>
      <c r="B441" s="33"/>
      <c r="C441" s="33"/>
      <c r="D441" s="33"/>
      <c r="E441" s="34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</row>
    <row r="442" spans="1:77" x14ac:dyDescent="0.3">
      <c r="A442" s="33"/>
      <c r="B442" s="33"/>
      <c r="C442" s="33"/>
      <c r="D442" s="33"/>
      <c r="E442" s="34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</row>
    <row r="443" spans="1:77" x14ac:dyDescent="0.3">
      <c r="A443" s="33"/>
      <c r="B443" s="33"/>
      <c r="C443" s="33"/>
      <c r="D443" s="33"/>
      <c r="E443" s="34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</row>
    <row r="444" spans="1:77" x14ac:dyDescent="0.3">
      <c r="A444" s="33"/>
      <c r="B444" s="33"/>
      <c r="C444" s="33"/>
      <c r="D444" s="33"/>
      <c r="E444" s="34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</row>
    <row r="445" spans="1:77" x14ac:dyDescent="0.3">
      <c r="A445" s="33"/>
      <c r="B445" s="33"/>
      <c r="C445" s="33"/>
      <c r="D445" s="33"/>
      <c r="E445" s="34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</row>
    <row r="446" spans="1:77" x14ac:dyDescent="0.3">
      <c r="A446" s="33"/>
      <c r="B446" s="33"/>
      <c r="C446" s="33"/>
      <c r="D446" s="33"/>
      <c r="E446" s="34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</row>
    <row r="447" spans="1:77" x14ac:dyDescent="0.3">
      <c r="A447" s="33"/>
      <c r="B447" s="33"/>
      <c r="C447" s="33"/>
      <c r="D447" s="33"/>
      <c r="E447" s="34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</row>
    <row r="448" spans="1:77" x14ac:dyDescent="0.3">
      <c r="A448" s="33"/>
      <c r="B448" s="33"/>
      <c r="C448" s="33"/>
      <c r="D448" s="33"/>
      <c r="E448" s="34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</row>
    <row r="449" spans="1:77" x14ac:dyDescent="0.3">
      <c r="A449" s="33"/>
      <c r="B449" s="33"/>
      <c r="C449" s="33"/>
      <c r="D449" s="33"/>
      <c r="E449" s="34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</row>
    <row r="450" spans="1:77" x14ac:dyDescent="0.3">
      <c r="A450" s="33"/>
      <c r="B450" s="33"/>
      <c r="C450" s="33"/>
      <c r="D450" s="33"/>
      <c r="E450" s="34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</row>
    <row r="451" spans="1:77" x14ac:dyDescent="0.3">
      <c r="A451" s="33"/>
      <c r="B451" s="33"/>
      <c r="C451" s="33"/>
      <c r="D451" s="33"/>
      <c r="E451" s="34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</row>
    <row r="452" spans="1:77" x14ac:dyDescent="0.3">
      <c r="A452" s="33"/>
      <c r="B452" s="33"/>
      <c r="C452" s="33"/>
      <c r="D452" s="33"/>
      <c r="E452" s="34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</row>
    <row r="453" spans="1:77" x14ac:dyDescent="0.3">
      <c r="A453" s="33"/>
      <c r="B453" s="33"/>
      <c r="C453" s="33"/>
      <c r="D453" s="33"/>
      <c r="E453" s="34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</row>
    <row r="454" spans="1:77" x14ac:dyDescent="0.3">
      <c r="A454" s="33"/>
      <c r="B454" s="33"/>
      <c r="C454" s="33"/>
      <c r="D454" s="33"/>
      <c r="E454" s="34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</row>
    <row r="455" spans="1:77" x14ac:dyDescent="0.3">
      <c r="A455" s="33"/>
      <c r="B455" s="33"/>
      <c r="C455" s="33"/>
      <c r="D455" s="33"/>
      <c r="E455" s="34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</row>
    <row r="456" spans="1:77" x14ac:dyDescent="0.3">
      <c r="A456" s="33"/>
      <c r="B456" s="33"/>
      <c r="C456" s="33"/>
      <c r="D456" s="33"/>
      <c r="E456" s="34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</row>
    <row r="457" spans="1:77" x14ac:dyDescent="0.3">
      <c r="A457" s="33"/>
      <c r="B457" s="33"/>
      <c r="C457" s="33"/>
      <c r="D457" s="33"/>
      <c r="E457" s="34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</row>
    <row r="458" spans="1:77" x14ac:dyDescent="0.3">
      <c r="A458" s="33"/>
      <c r="B458" s="33"/>
      <c r="C458" s="33"/>
      <c r="D458" s="33"/>
      <c r="E458" s="34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</row>
    <row r="459" spans="1:77" x14ac:dyDescent="0.3">
      <c r="A459" s="33"/>
      <c r="B459" s="33"/>
      <c r="C459" s="33"/>
      <c r="D459" s="33"/>
      <c r="E459" s="34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</row>
    <row r="460" spans="1:77" x14ac:dyDescent="0.3">
      <c r="A460" s="33"/>
      <c r="B460" s="33"/>
      <c r="C460" s="33"/>
      <c r="D460" s="33"/>
      <c r="E460" s="34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</row>
    <row r="461" spans="1:77" x14ac:dyDescent="0.3">
      <c r="A461" s="33"/>
      <c r="B461" s="33"/>
      <c r="C461" s="33"/>
      <c r="D461" s="33"/>
      <c r="E461" s="34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</row>
    <row r="462" spans="1:77" x14ac:dyDescent="0.3">
      <c r="A462" s="33"/>
      <c r="B462" s="33"/>
      <c r="C462" s="33"/>
      <c r="D462" s="33"/>
      <c r="E462" s="34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</row>
    <row r="463" spans="1:77" x14ac:dyDescent="0.3">
      <c r="A463" s="33"/>
      <c r="B463" s="33"/>
      <c r="C463" s="33"/>
      <c r="D463" s="33"/>
      <c r="E463" s="34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</row>
    <row r="464" spans="1:77" x14ac:dyDescent="0.3">
      <c r="A464" s="33"/>
      <c r="B464" s="33"/>
      <c r="C464" s="33"/>
      <c r="D464" s="33"/>
      <c r="E464" s="34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</row>
    <row r="465" spans="1:77" x14ac:dyDescent="0.3">
      <c r="A465" s="33"/>
      <c r="B465" s="33"/>
      <c r="C465" s="33"/>
      <c r="D465" s="33"/>
      <c r="E465" s="34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</row>
    <row r="466" spans="1:77" x14ac:dyDescent="0.3">
      <c r="A466" s="33"/>
      <c r="B466" s="33"/>
      <c r="C466" s="33"/>
      <c r="D466" s="33"/>
      <c r="E466" s="34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</row>
    <row r="467" spans="1:77" x14ac:dyDescent="0.3">
      <c r="A467" s="33"/>
      <c r="B467" s="33"/>
      <c r="C467" s="33"/>
      <c r="D467" s="33"/>
      <c r="E467" s="34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</row>
    <row r="468" spans="1:77" x14ac:dyDescent="0.3">
      <c r="A468" s="33"/>
      <c r="B468" s="33"/>
      <c r="C468" s="33"/>
      <c r="D468" s="33"/>
      <c r="E468" s="34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</row>
    <row r="469" spans="1:77" x14ac:dyDescent="0.3">
      <c r="A469" s="33"/>
      <c r="B469" s="33"/>
      <c r="C469" s="33"/>
      <c r="D469" s="33"/>
      <c r="E469" s="34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</row>
    <row r="470" spans="1:77" x14ac:dyDescent="0.3">
      <c r="A470" s="33"/>
      <c r="B470" s="33"/>
      <c r="C470" s="33"/>
      <c r="D470" s="33"/>
      <c r="E470" s="34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</row>
    <row r="471" spans="1:77" x14ac:dyDescent="0.3">
      <c r="A471" s="33"/>
      <c r="B471" s="33"/>
      <c r="C471" s="33"/>
      <c r="D471" s="33"/>
      <c r="E471" s="34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</row>
    <row r="472" spans="1:77" x14ac:dyDescent="0.3">
      <c r="A472" s="33"/>
      <c r="B472" s="33"/>
      <c r="C472" s="33"/>
      <c r="D472" s="33"/>
      <c r="E472" s="34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</row>
    <row r="473" spans="1:77" x14ac:dyDescent="0.3">
      <c r="A473" s="33"/>
      <c r="B473" s="33"/>
      <c r="C473" s="33"/>
      <c r="D473" s="33"/>
      <c r="E473" s="34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</row>
    <row r="474" spans="1:77" x14ac:dyDescent="0.3">
      <c r="A474" s="33"/>
      <c r="B474" s="33"/>
      <c r="C474" s="33"/>
      <c r="D474" s="33"/>
      <c r="E474" s="34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</row>
    <row r="475" spans="1:77" x14ac:dyDescent="0.3">
      <c r="A475" s="33"/>
      <c r="B475" s="33"/>
      <c r="C475" s="33"/>
      <c r="D475" s="33"/>
      <c r="E475" s="34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</row>
    <row r="476" spans="1:77" x14ac:dyDescent="0.3">
      <c r="A476" s="33"/>
      <c r="B476" s="33"/>
      <c r="C476" s="33"/>
      <c r="D476" s="33"/>
      <c r="E476" s="34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</row>
    <row r="477" spans="1:77" x14ac:dyDescent="0.3">
      <c r="A477" s="33"/>
      <c r="B477" s="33"/>
      <c r="C477" s="33"/>
      <c r="D477" s="33"/>
      <c r="E477" s="34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</row>
    <row r="478" spans="1:77" x14ac:dyDescent="0.3">
      <c r="A478" s="33"/>
      <c r="B478" s="33"/>
      <c r="C478" s="33"/>
      <c r="D478" s="33"/>
      <c r="E478" s="34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</row>
    <row r="479" spans="1:77" x14ac:dyDescent="0.3">
      <c r="A479" s="33"/>
      <c r="B479" s="33"/>
      <c r="C479" s="33"/>
      <c r="D479" s="33"/>
      <c r="E479" s="34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</row>
    <row r="480" spans="1:77" x14ac:dyDescent="0.3">
      <c r="A480" s="33"/>
      <c r="B480" s="33"/>
      <c r="C480" s="33"/>
      <c r="D480" s="33"/>
      <c r="E480" s="34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</row>
    <row r="481" spans="1:77" x14ac:dyDescent="0.3">
      <c r="A481" s="33"/>
      <c r="B481" s="33"/>
      <c r="C481" s="33"/>
      <c r="D481" s="33"/>
      <c r="E481" s="34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</row>
    <row r="482" spans="1:77" x14ac:dyDescent="0.3">
      <c r="A482" s="33"/>
      <c r="B482" s="33"/>
      <c r="C482" s="33"/>
      <c r="D482" s="33"/>
      <c r="E482" s="34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</row>
    <row r="483" spans="1:77" x14ac:dyDescent="0.3">
      <c r="A483" s="33"/>
      <c r="B483" s="33"/>
      <c r="C483" s="33"/>
      <c r="D483" s="33"/>
      <c r="E483" s="34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</row>
    <row r="484" spans="1:77" x14ac:dyDescent="0.3">
      <c r="A484" s="33"/>
      <c r="B484" s="33"/>
      <c r="C484" s="33"/>
      <c r="D484" s="33"/>
      <c r="E484" s="34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</row>
    <row r="485" spans="1:77" x14ac:dyDescent="0.3">
      <c r="A485" s="33"/>
      <c r="B485" s="33"/>
      <c r="C485" s="33"/>
      <c r="D485" s="33"/>
      <c r="E485" s="34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</row>
    <row r="486" spans="1:77" x14ac:dyDescent="0.3">
      <c r="A486" s="33"/>
      <c r="B486" s="33"/>
      <c r="C486" s="33"/>
      <c r="D486" s="33"/>
      <c r="E486" s="34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</row>
    <row r="487" spans="1:77" x14ac:dyDescent="0.3">
      <c r="A487" s="33"/>
      <c r="B487" s="33"/>
      <c r="C487" s="33"/>
      <c r="D487" s="33"/>
      <c r="E487" s="34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</row>
    <row r="488" spans="1:77" x14ac:dyDescent="0.3">
      <c r="A488" s="33"/>
      <c r="B488" s="33"/>
      <c r="C488" s="33"/>
      <c r="D488" s="33"/>
      <c r="E488" s="34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</row>
    <row r="489" spans="1:77" x14ac:dyDescent="0.3">
      <c r="A489" s="33"/>
      <c r="B489" s="33"/>
      <c r="C489" s="33"/>
      <c r="D489" s="33"/>
      <c r="E489" s="34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</row>
    <row r="490" spans="1:77" x14ac:dyDescent="0.3">
      <c r="A490" s="33"/>
      <c r="B490" s="33"/>
      <c r="C490" s="33"/>
      <c r="D490" s="33"/>
      <c r="E490" s="34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</row>
    <row r="491" spans="1:77" x14ac:dyDescent="0.3">
      <c r="A491" s="33"/>
      <c r="B491" s="33"/>
      <c r="C491" s="33"/>
      <c r="D491" s="33"/>
      <c r="E491" s="34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</row>
    <row r="492" spans="1:77" x14ac:dyDescent="0.3">
      <c r="A492" s="33"/>
      <c r="B492" s="33"/>
      <c r="C492" s="33"/>
      <c r="D492" s="33"/>
      <c r="E492" s="34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</row>
    <row r="493" spans="1:77" x14ac:dyDescent="0.3">
      <c r="A493" s="33"/>
      <c r="B493" s="33"/>
      <c r="C493" s="33"/>
      <c r="D493" s="33"/>
      <c r="E493" s="34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</row>
    <row r="494" spans="1:77" x14ac:dyDescent="0.3">
      <c r="A494" s="33"/>
      <c r="B494" s="33"/>
      <c r="C494" s="33"/>
      <c r="D494" s="33"/>
      <c r="E494" s="34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</row>
    <row r="495" spans="1:77" x14ac:dyDescent="0.3">
      <c r="A495" s="33"/>
      <c r="B495" s="33"/>
      <c r="C495" s="33"/>
      <c r="D495" s="33"/>
      <c r="E495" s="34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</row>
    <row r="496" spans="1:77" x14ac:dyDescent="0.3">
      <c r="A496" s="33"/>
      <c r="B496" s="33"/>
      <c r="C496" s="33"/>
      <c r="D496" s="33"/>
      <c r="E496" s="34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</row>
    <row r="497" spans="1:77" x14ac:dyDescent="0.3">
      <c r="A497" s="33"/>
      <c r="B497" s="33"/>
      <c r="C497" s="33"/>
      <c r="D497" s="33"/>
      <c r="E497" s="34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</row>
    <row r="498" spans="1:77" x14ac:dyDescent="0.3">
      <c r="A498" s="33"/>
      <c r="B498" s="33"/>
      <c r="C498" s="33"/>
      <c r="D498" s="33"/>
      <c r="E498" s="34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</row>
    <row r="499" spans="1:77" x14ac:dyDescent="0.3">
      <c r="A499" s="33"/>
      <c r="B499" s="33"/>
      <c r="C499" s="33"/>
      <c r="D499" s="33"/>
      <c r="E499" s="34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</row>
    <row r="500" spans="1:77" x14ac:dyDescent="0.3">
      <c r="A500" s="33"/>
      <c r="B500" s="33"/>
      <c r="C500" s="33"/>
      <c r="D500" s="33"/>
      <c r="E500" s="34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</row>
    <row r="501" spans="1:77" x14ac:dyDescent="0.3">
      <c r="A501" s="33"/>
      <c r="B501" s="33"/>
      <c r="C501" s="33"/>
      <c r="D501" s="33"/>
      <c r="E501" s="34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</row>
    <row r="502" spans="1:77" x14ac:dyDescent="0.3">
      <c r="A502" s="33"/>
      <c r="B502" s="33"/>
      <c r="C502" s="33"/>
      <c r="D502" s="33"/>
      <c r="E502" s="34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</row>
    <row r="503" spans="1:77" x14ac:dyDescent="0.3">
      <c r="A503" s="33"/>
      <c r="B503" s="33"/>
      <c r="C503" s="33"/>
      <c r="D503" s="33"/>
      <c r="E503" s="34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</row>
    <row r="504" spans="1:77" x14ac:dyDescent="0.3">
      <c r="A504" s="33"/>
      <c r="B504" s="33"/>
      <c r="C504" s="33"/>
      <c r="D504" s="33"/>
      <c r="E504" s="34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</row>
    <row r="505" spans="1:77" x14ac:dyDescent="0.3">
      <c r="A505" s="33"/>
      <c r="B505" s="33"/>
      <c r="C505" s="33"/>
      <c r="D505" s="33"/>
      <c r="E505" s="34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</row>
    <row r="506" spans="1:77" x14ac:dyDescent="0.3">
      <c r="A506" s="33"/>
      <c r="B506" s="33"/>
      <c r="C506" s="33"/>
      <c r="D506" s="33"/>
      <c r="E506" s="34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</row>
    <row r="507" spans="1:77" x14ac:dyDescent="0.3">
      <c r="A507" s="33"/>
      <c r="B507" s="33"/>
      <c r="C507" s="33"/>
      <c r="D507" s="33"/>
      <c r="E507" s="34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</row>
    <row r="508" spans="1:77" x14ac:dyDescent="0.3">
      <c r="A508" s="33"/>
      <c r="B508" s="33"/>
      <c r="C508" s="33"/>
      <c r="D508" s="33"/>
      <c r="E508" s="34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</row>
    <row r="509" spans="1:77" x14ac:dyDescent="0.3">
      <c r="A509" s="33"/>
      <c r="B509" s="33"/>
      <c r="C509" s="33"/>
      <c r="D509" s="33"/>
      <c r="E509" s="34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</row>
    <row r="510" spans="1:77" x14ac:dyDescent="0.3">
      <c r="A510" s="33"/>
      <c r="B510" s="33"/>
      <c r="C510" s="33"/>
      <c r="D510" s="33"/>
      <c r="E510" s="34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</row>
    <row r="511" spans="1:77" x14ac:dyDescent="0.3">
      <c r="A511" s="33"/>
      <c r="B511" s="33"/>
      <c r="C511" s="33"/>
      <c r="D511" s="33"/>
      <c r="E511" s="34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</row>
    <row r="512" spans="1:77" x14ac:dyDescent="0.3">
      <c r="A512" s="33"/>
      <c r="B512" s="33"/>
      <c r="C512" s="33"/>
      <c r="D512" s="33"/>
      <c r="E512" s="34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</row>
    <row r="513" spans="1:77" x14ac:dyDescent="0.3">
      <c r="A513" s="33"/>
      <c r="B513" s="33"/>
      <c r="C513" s="33"/>
      <c r="D513" s="33"/>
      <c r="E513" s="34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</row>
    <row r="514" spans="1:77" x14ac:dyDescent="0.3">
      <c r="A514" s="33"/>
      <c r="B514" s="33"/>
      <c r="C514" s="33"/>
      <c r="D514" s="33"/>
      <c r="E514" s="34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</row>
    <row r="515" spans="1:77" x14ac:dyDescent="0.3">
      <c r="A515" s="33"/>
      <c r="B515" s="33"/>
      <c r="C515" s="33"/>
      <c r="D515" s="33"/>
      <c r="E515" s="34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</row>
    <row r="516" spans="1:77" x14ac:dyDescent="0.3">
      <c r="A516" s="33"/>
      <c r="B516" s="33"/>
      <c r="C516" s="33"/>
      <c r="D516" s="33"/>
      <c r="E516" s="34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</row>
    <row r="517" spans="1:77" x14ac:dyDescent="0.3">
      <c r="A517" s="33"/>
      <c r="B517" s="33"/>
      <c r="C517" s="33"/>
      <c r="D517" s="33"/>
      <c r="E517" s="34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</row>
    <row r="518" spans="1:77" x14ac:dyDescent="0.3">
      <c r="A518" s="33"/>
      <c r="B518" s="33"/>
      <c r="C518" s="33"/>
      <c r="D518" s="33"/>
      <c r="E518" s="34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</row>
    <row r="519" spans="1:77" x14ac:dyDescent="0.3">
      <c r="A519" s="33"/>
      <c r="B519" s="33"/>
      <c r="C519" s="33"/>
      <c r="D519" s="33"/>
      <c r="E519" s="34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</row>
    <row r="520" spans="1:77" x14ac:dyDescent="0.3">
      <c r="A520" s="33"/>
      <c r="B520" s="33"/>
      <c r="C520" s="33"/>
      <c r="D520" s="33"/>
      <c r="E520" s="34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</row>
    <row r="521" spans="1:77" x14ac:dyDescent="0.3">
      <c r="A521" s="33"/>
      <c r="B521" s="33"/>
      <c r="C521" s="33"/>
      <c r="D521" s="33"/>
      <c r="E521" s="34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</row>
    <row r="522" spans="1:77" x14ac:dyDescent="0.3">
      <c r="A522" s="33"/>
      <c r="B522" s="33"/>
      <c r="C522" s="33"/>
      <c r="D522" s="33"/>
      <c r="E522" s="34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</row>
    <row r="523" spans="1:77" x14ac:dyDescent="0.3">
      <c r="A523" s="33"/>
      <c r="B523" s="33"/>
      <c r="C523" s="33"/>
      <c r="D523" s="33"/>
      <c r="E523" s="34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</row>
    <row r="524" spans="1:77" x14ac:dyDescent="0.3">
      <c r="A524" s="33"/>
      <c r="B524" s="33"/>
      <c r="C524" s="33"/>
      <c r="D524" s="33"/>
      <c r="E524" s="34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</row>
    <row r="525" spans="1:77" x14ac:dyDescent="0.3">
      <c r="A525" s="33"/>
      <c r="B525" s="33"/>
      <c r="C525" s="33"/>
      <c r="D525" s="33"/>
      <c r="E525" s="34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</row>
    <row r="526" spans="1:77" x14ac:dyDescent="0.3">
      <c r="A526" s="33"/>
      <c r="B526" s="33"/>
      <c r="C526" s="33"/>
      <c r="D526" s="33"/>
      <c r="E526" s="34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</row>
    <row r="527" spans="1:77" x14ac:dyDescent="0.3">
      <c r="A527" s="33"/>
      <c r="B527" s="33"/>
      <c r="C527" s="33"/>
      <c r="D527" s="33"/>
      <c r="E527" s="34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</row>
    <row r="528" spans="1:77" x14ac:dyDescent="0.3">
      <c r="A528" s="33"/>
      <c r="B528" s="33"/>
      <c r="C528" s="33"/>
      <c r="D528" s="33"/>
      <c r="E528" s="34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</row>
    <row r="529" spans="1:77" x14ac:dyDescent="0.3">
      <c r="A529" s="33"/>
      <c r="B529" s="33"/>
      <c r="C529" s="33"/>
      <c r="D529" s="33"/>
      <c r="E529" s="34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</row>
    <row r="530" spans="1:77" x14ac:dyDescent="0.3">
      <c r="A530" s="33"/>
      <c r="B530" s="33"/>
      <c r="C530" s="33"/>
      <c r="D530" s="33"/>
      <c r="E530" s="34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</row>
    <row r="531" spans="1:77" x14ac:dyDescent="0.3">
      <c r="A531" s="33"/>
      <c r="B531" s="33"/>
      <c r="C531" s="33"/>
      <c r="D531" s="33"/>
      <c r="E531" s="34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</row>
    <row r="532" spans="1:77" x14ac:dyDescent="0.3">
      <c r="A532" s="33"/>
      <c r="B532" s="33"/>
      <c r="C532" s="33"/>
      <c r="D532" s="33"/>
      <c r="E532" s="34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</row>
    <row r="533" spans="1:77" x14ac:dyDescent="0.3">
      <c r="A533" s="33"/>
      <c r="B533" s="33"/>
      <c r="C533" s="33"/>
      <c r="D533" s="33"/>
      <c r="E533" s="34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</row>
    <row r="534" spans="1:77" x14ac:dyDescent="0.3">
      <c r="A534" s="33"/>
      <c r="B534" s="33"/>
      <c r="C534" s="33"/>
      <c r="D534" s="33"/>
      <c r="E534" s="34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</row>
    <row r="535" spans="1:77" x14ac:dyDescent="0.3">
      <c r="A535" s="33"/>
      <c r="B535" s="33"/>
      <c r="C535" s="33"/>
      <c r="D535" s="33"/>
      <c r="E535" s="34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</row>
    <row r="536" spans="1:77" x14ac:dyDescent="0.3">
      <c r="A536" s="33"/>
      <c r="B536" s="33"/>
      <c r="C536" s="33"/>
      <c r="D536" s="33"/>
      <c r="E536" s="34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</row>
    <row r="537" spans="1:77" x14ac:dyDescent="0.3">
      <c r="A537" s="33"/>
      <c r="B537" s="33"/>
      <c r="C537" s="33"/>
      <c r="D537" s="33"/>
      <c r="E537" s="34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</row>
    <row r="538" spans="1:77" x14ac:dyDescent="0.3">
      <c r="A538" s="33"/>
      <c r="B538" s="33"/>
      <c r="C538" s="33"/>
      <c r="D538" s="33"/>
      <c r="E538" s="34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</row>
    <row r="539" spans="1:77" x14ac:dyDescent="0.3">
      <c r="A539" s="33"/>
      <c r="B539" s="33"/>
      <c r="C539" s="33"/>
      <c r="D539" s="33"/>
      <c r="E539" s="34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</row>
    <row r="540" spans="1:77" x14ac:dyDescent="0.3">
      <c r="A540" s="33"/>
      <c r="B540" s="33"/>
      <c r="C540" s="33"/>
      <c r="D540" s="33"/>
      <c r="E540" s="34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</row>
    <row r="541" spans="1:77" x14ac:dyDescent="0.3">
      <c r="A541" s="33"/>
      <c r="B541" s="33"/>
      <c r="C541" s="33"/>
      <c r="D541" s="33"/>
      <c r="E541" s="34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</row>
    <row r="542" spans="1:77" x14ac:dyDescent="0.3">
      <c r="A542" s="33"/>
      <c r="B542" s="33"/>
      <c r="C542" s="33"/>
      <c r="D542" s="33"/>
      <c r="E542" s="34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</row>
    <row r="543" spans="1:77" x14ac:dyDescent="0.3">
      <c r="A543" s="33"/>
      <c r="B543" s="33"/>
      <c r="C543" s="33"/>
      <c r="D543" s="33"/>
      <c r="E543" s="34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</row>
    <row r="544" spans="1:77" x14ac:dyDescent="0.3">
      <c r="A544" s="33"/>
      <c r="B544" s="33"/>
      <c r="C544" s="33"/>
      <c r="D544" s="33"/>
      <c r="E544" s="34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</row>
    <row r="545" spans="1:77" x14ac:dyDescent="0.3">
      <c r="A545" s="33"/>
      <c r="B545" s="33"/>
      <c r="C545" s="33"/>
      <c r="D545" s="33"/>
      <c r="E545" s="34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</row>
    <row r="546" spans="1:77" x14ac:dyDescent="0.3">
      <c r="A546" s="33"/>
      <c r="B546" s="33"/>
      <c r="C546" s="33"/>
      <c r="D546" s="33"/>
      <c r="E546" s="34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</row>
    <row r="547" spans="1:77" x14ac:dyDescent="0.3">
      <c r="A547" s="33"/>
      <c r="B547" s="33"/>
      <c r="C547" s="33"/>
      <c r="D547" s="33"/>
      <c r="E547" s="34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</row>
    <row r="548" spans="1:77" x14ac:dyDescent="0.3">
      <c r="A548" s="33"/>
      <c r="B548" s="33"/>
      <c r="C548" s="33"/>
      <c r="D548" s="33"/>
      <c r="E548" s="34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</row>
    <row r="549" spans="1:77" x14ac:dyDescent="0.3">
      <c r="A549" s="33"/>
      <c r="B549" s="33"/>
      <c r="C549" s="33"/>
      <c r="D549" s="33"/>
      <c r="E549" s="34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</row>
    <row r="550" spans="1:77" x14ac:dyDescent="0.3">
      <c r="A550" s="33"/>
      <c r="B550" s="33"/>
      <c r="C550" s="33"/>
      <c r="D550" s="33"/>
      <c r="E550" s="34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</row>
    <row r="551" spans="1:77" x14ac:dyDescent="0.3">
      <c r="A551" s="33"/>
      <c r="B551" s="33"/>
      <c r="C551" s="33"/>
      <c r="D551" s="33"/>
      <c r="E551" s="34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</row>
    <row r="552" spans="1:77" x14ac:dyDescent="0.3">
      <c r="A552" s="33"/>
      <c r="B552" s="33"/>
      <c r="C552" s="33"/>
      <c r="D552" s="33"/>
      <c r="E552" s="34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</row>
    <row r="553" spans="1:77" x14ac:dyDescent="0.3">
      <c r="A553" s="33"/>
      <c r="B553" s="33"/>
      <c r="C553" s="33"/>
      <c r="D553" s="33"/>
      <c r="E553" s="34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</row>
    <row r="554" spans="1:77" x14ac:dyDescent="0.3">
      <c r="A554" s="33"/>
      <c r="B554" s="33"/>
      <c r="C554" s="33"/>
      <c r="D554" s="33"/>
      <c r="E554" s="34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</row>
    <row r="555" spans="1:77" x14ac:dyDescent="0.3">
      <c r="A555" s="33"/>
      <c r="B555" s="33"/>
      <c r="C555" s="33"/>
      <c r="D555" s="33"/>
      <c r="E555" s="34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</row>
    <row r="556" spans="1:77" x14ac:dyDescent="0.3">
      <c r="A556" s="33"/>
      <c r="B556" s="33"/>
      <c r="C556" s="33"/>
      <c r="D556" s="33"/>
      <c r="E556" s="34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</row>
    <row r="557" spans="1:77" x14ac:dyDescent="0.3">
      <c r="A557" s="33"/>
      <c r="B557" s="33"/>
      <c r="C557" s="33"/>
      <c r="D557" s="33"/>
      <c r="E557" s="34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</row>
    <row r="558" spans="1:77" x14ac:dyDescent="0.3">
      <c r="A558" s="33"/>
      <c r="B558" s="33"/>
      <c r="C558" s="33"/>
      <c r="D558" s="33"/>
      <c r="E558" s="34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</row>
    <row r="559" spans="1:77" x14ac:dyDescent="0.3">
      <c r="A559" s="33"/>
      <c r="B559" s="33"/>
      <c r="C559" s="33"/>
      <c r="D559" s="33"/>
      <c r="E559" s="34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</row>
    <row r="560" spans="1:77" x14ac:dyDescent="0.3">
      <c r="A560" s="33"/>
      <c r="B560" s="33"/>
      <c r="C560" s="33"/>
      <c r="D560" s="33"/>
      <c r="E560" s="34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</row>
    <row r="561" spans="1:77" x14ac:dyDescent="0.3">
      <c r="A561" s="33"/>
      <c r="B561" s="33"/>
      <c r="C561" s="33"/>
      <c r="D561" s="33"/>
      <c r="E561" s="34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</row>
    <row r="562" spans="1:77" x14ac:dyDescent="0.3">
      <c r="A562" s="33"/>
      <c r="B562" s="33"/>
      <c r="C562" s="33"/>
      <c r="D562" s="33"/>
      <c r="E562" s="34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</row>
    <row r="563" spans="1:77" x14ac:dyDescent="0.3">
      <c r="A563" s="33"/>
      <c r="B563" s="33"/>
      <c r="C563" s="33"/>
      <c r="D563" s="33"/>
      <c r="E563" s="34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</row>
    <row r="564" spans="1:77" x14ac:dyDescent="0.3">
      <c r="A564" s="33"/>
      <c r="B564" s="33"/>
      <c r="C564" s="33"/>
      <c r="D564" s="33"/>
      <c r="E564" s="34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</row>
    <row r="565" spans="1:77" x14ac:dyDescent="0.3">
      <c r="A565" s="33"/>
      <c r="B565" s="33"/>
      <c r="C565" s="33"/>
      <c r="D565" s="33"/>
      <c r="E565" s="34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</row>
    <row r="566" spans="1:77" x14ac:dyDescent="0.3">
      <c r="A566" s="33"/>
      <c r="B566" s="33"/>
      <c r="C566" s="33"/>
      <c r="D566" s="33"/>
      <c r="E566" s="34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</row>
    <row r="567" spans="1:77" x14ac:dyDescent="0.3">
      <c r="A567" s="33"/>
      <c r="B567" s="33"/>
      <c r="C567" s="33"/>
      <c r="D567" s="33"/>
      <c r="E567" s="34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</row>
    <row r="568" spans="1:77" x14ac:dyDescent="0.3">
      <c r="A568" s="33"/>
      <c r="B568" s="33"/>
      <c r="C568" s="33"/>
      <c r="D568" s="33"/>
      <c r="E568" s="34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</row>
    <row r="569" spans="1:77" x14ac:dyDescent="0.3">
      <c r="A569" s="33"/>
      <c r="B569" s="33"/>
      <c r="C569" s="33"/>
      <c r="D569" s="33"/>
      <c r="E569" s="34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</row>
    <row r="570" spans="1:77" x14ac:dyDescent="0.3">
      <c r="A570" s="33"/>
      <c r="B570" s="33"/>
      <c r="C570" s="33"/>
      <c r="D570" s="33"/>
      <c r="E570" s="34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</row>
    <row r="571" spans="1:77" x14ac:dyDescent="0.3">
      <c r="A571" s="33"/>
      <c r="B571" s="33"/>
      <c r="C571" s="33"/>
      <c r="D571" s="33"/>
      <c r="E571" s="34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</row>
    <row r="572" spans="1:77" x14ac:dyDescent="0.3">
      <c r="A572" s="33"/>
      <c r="B572" s="33"/>
      <c r="C572" s="33"/>
      <c r="D572" s="33"/>
      <c r="E572" s="34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</row>
    <row r="573" spans="1:77" x14ac:dyDescent="0.3">
      <c r="A573" s="33"/>
      <c r="B573" s="33"/>
      <c r="C573" s="33"/>
      <c r="D573" s="33"/>
      <c r="E573" s="34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</row>
    <row r="574" spans="1:77" x14ac:dyDescent="0.3">
      <c r="A574" s="33"/>
      <c r="B574" s="33"/>
      <c r="C574" s="33"/>
      <c r="D574" s="33"/>
      <c r="E574" s="34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</row>
    <row r="575" spans="1:77" x14ac:dyDescent="0.3">
      <c r="A575" s="33"/>
      <c r="B575" s="33"/>
      <c r="C575" s="33"/>
      <c r="D575" s="33"/>
      <c r="E575" s="34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</row>
    <row r="576" spans="1:77" x14ac:dyDescent="0.3">
      <c r="A576" s="33"/>
      <c r="B576" s="33"/>
      <c r="C576" s="33"/>
      <c r="D576" s="33"/>
      <c r="E576" s="34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</row>
    <row r="577" spans="1:77" x14ac:dyDescent="0.3">
      <c r="A577" s="33"/>
      <c r="B577" s="33"/>
      <c r="C577" s="33"/>
      <c r="D577" s="33"/>
      <c r="E577" s="34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</row>
    <row r="578" spans="1:77" x14ac:dyDescent="0.3">
      <c r="A578" s="33"/>
      <c r="B578" s="33"/>
      <c r="C578" s="33"/>
      <c r="D578" s="33"/>
      <c r="E578" s="34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</row>
    <row r="579" spans="1:77" x14ac:dyDescent="0.3">
      <c r="A579" s="33"/>
      <c r="B579" s="33"/>
      <c r="C579" s="33"/>
      <c r="D579" s="33"/>
      <c r="E579" s="34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</row>
    <row r="580" spans="1:77" x14ac:dyDescent="0.3">
      <c r="A580" s="33"/>
      <c r="B580" s="33"/>
      <c r="C580" s="33"/>
      <c r="D580" s="33"/>
      <c r="E580" s="34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</row>
    <row r="581" spans="1:77" x14ac:dyDescent="0.3">
      <c r="A581" s="33"/>
      <c r="B581" s="33"/>
      <c r="C581" s="33"/>
      <c r="D581" s="33"/>
      <c r="E581" s="34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</row>
    <row r="582" spans="1:77" x14ac:dyDescent="0.3">
      <c r="A582" s="33"/>
      <c r="B582" s="33"/>
      <c r="C582" s="33"/>
      <c r="D582" s="33"/>
      <c r="E582" s="34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</row>
    <row r="583" spans="1:77" x14ac:dyDescent="0.3">
      <c r="A583" s="33"/>
      <c r="B583" s="33"/>
      <c r="C583" s="33"/>
      <c r="D583" s="33"/>
      <c r="E583" s="34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</row>
    <row r="584" spans="1:77" x14ac:dyDescent="0.3">
      <c r="A584" s="33"/>
      <c r="B584" s="33"/>
      <c r="C584" s="33"/>
      <c r="D584" s="33"/>
      <c r="E584" s="34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</row>
    <row r="585" spans="1:77" x14ac:dyDescent="0.3">
      <c r="A585" s="33"/>
      <c r="B585" s="33"/>
      <c r="C585" s="33"/>
      <c r="D585" s="33"/>
      <c r="E585" s="34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</row>
    <row r="586" spans="1:77" x14ac:dyDescent="0.3">
      <c r="A586" s="33"/>
      <c r="B586" s="33"/>
      <c r="C586" s="33"/>
      <c r="D586" s="33"/>
      <c r="E586" s="34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</row>
    <row r="587" spans="1:77" x14ac:dyDescent="0.3">
      <c r="A587" s="33"/>
      <c r="B587" s="33"/>
      <c r="C587" s="33"/>
      <c r="D587" s="33"/>
      <c r="E587" s="34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</row>
    <row r="588" spans="1:77" x14ac:dyDescent="0.3">
      <c r="A588" s="33"/>
      <c r="B588" s="33"/>
      <c r="C588" s="33"/>
      <c r="D588" s="33"/>
      <c r="E588" s="34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</row>
    <row r="589" spans="1:77" x14ac:dyDescent="0.3">
      <c r="A589" s="33"/>
      <c r="B589" s="33"/>
      <c r="C589" s="33"/>
      <c r="D589" s="33"/>
      <c r="E589" s="34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</row>
    <row r="590" spans="1:77" x14ac:dyDescent="0.3">
      <c r="A590" s="33"/>
      <c r="B590" s="33"/>
      <c r="C590" s="33"/>
      <c r="D590" s="33"/>
      <c r="E590" s="34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</row>
    <row r="591" spans="1:77" x14ac:dyDescent="0.3">
      <c r="A591" s="33"/>
      <c r="B591" s="33"/>
      <c r="C591" s="33"/>
      <c r="D591" s="33"/>
      <c r="E591" s="34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</row>
    <row r="592" spans="1:77" x14ac:dyDescent="0.3">
      <c r="A592" s="33"/>
      <c r="B592" s="33"/>
      <c r="C592" s="33"/>
      <c r="D592" s="33"/>
      <c r="E592" s="34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</row>
    <row r="593" spans="1:77" x14ac:dyDescent="0.3">
      <c r="A593" s="33"/>
      <c r="B593" s="33"/>
      <c r="C593" s="33"/>
      <c r="D593" s="33"/>
      <c r="E593" s="34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</row>
    <row r="594" spans="1:77" x14ac:dyDescent="0.3">
      <c r="A594" s="33"/>
      <c r="B594" s="33"/>
      <c r="C594" s="33"/>
      <c r="D594" s="33"/>
      <c r="E594" s="34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</row>
    <row r="595" spans="1:77" x14ac:dyDescent="0.3">
      <c r="A595" s="33"/>
      <c r="B595" s="33"/>
      <c r="C595" s="33"/>
      <c r="D595" s="33"/>
      <c r="E595" s="34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</row>
    <row r="596" spans="1:77" x14ac:dyDescent="0.3">
      <c r="A596" s="33"/>
      <c r="B596" s="33"/>
      <c r="C596" s="33"/>
      <c r="D596" s="33"/>
      <c r="E596" s="34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</row>
    <row r="597" spans="1:77" x14ac:dyDescent="0.3">
      <c r="A597" s="33"/>
      <c r="B597" s="33"/>
      <c r="C597" s="33"/>
      <c r="D597" s="33"/>
      <c r="E597" s="34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</row>
    <row r="598" spans="1:77" x14ac:dyDescent="0.3">
      <c r="A598" s="33"/>
      <c r="B598" s="33"/>
      <c r="C598" s="33"/>
      <c r="D598" s="33"/>
      <c r="E598" s="34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</row>
    <row r="599" spans="1:77" x14ac:dyDescent="0.3">
      <c r="A599" s="33"/>
      <c r="B599" s="33"/>
      <c r="C599" s="33"/>
      <c r="D599" s="33"/>
      <c r="E599" s="34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</row>
    <row r="600" spans="1:77" x14ac:dyDescent="0.3">
      <c r="A600" s="33"/>
      <c r="B600" s="33"/>
      <c r="C600" s="33"/>
      <c r="D600" s="33"/>
      <c r="E600" s="34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</row>
    <row r="601" spans="1:77" x14ac:dyDescent="0.3">
      <c r="A601" s="33"/>
      <c r="B601" s="33"/>
      <c r="C601" s="33"/>
      <c r="D601" s="33"/>
      <c r="E601" s="34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</row>
    <row r="602" spans="1:77" x14ac:dyDescent="0.3">
      <c r="A602" s="33"/>
      <c r="B602" s="33"/>
      <c r="C602" s="33"/>
      <c r="D602" s="33"/>
      <c r="E602" s="34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</row>
    <row r="603" spans="1:77" x14ac:dyDescent="0.3">
      <c r="A603" s="33"/>
      <c r="B603" s="33"/>
      <c r="C603" s="33"/>
      <c r="D603" s="33"/>
      <c r="E603" s="34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</row>
    <row r="604" spans="1:77" x14ac:dyDescent="0.3">
      <c r="A604" s="33"/>
      <c r="B604" s="33"/>
      <c r="C604" s="33"/>
      <c r="D604" s="33"/>
      <c r="E604" s="34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</row>
    <row r="605" spans="1:77" x14ac:dyDescent="0.3">
      <c r="A605" s="33"/>
      <c r="B605" s="33"/>
      <c r="C605" s="33"/>
      <c r="D605" s="33"/>
      <c r="E605" s="34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</row>
    <row r="606" spans="1:77" x14ac:dyDescent="0.3">
      <c r="A606" s="33"/>
      <c r="B606" s="33"/>
      <c r="C606" s="33"/>
      <c r="D606" s="33"/>
      <c r="E606" s="34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</row>
    <row r="607" spans="1:77" x14ac:dyDescent="0.3">
      <c r="A607" s="33"/>
      <c r="B607" s="33"/>
      <c r="C607" s="33"/>
      <c r="D607" s="33"/>
      <c r="E607" s="34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</row>
    <row r="608" spans="1:77" x14ac:dyDescent="0.3">
      <c r="A608" s="33"/>
      <c r="B608" s="33"/>
      <c r="C608" s="33"/>
      <c r="D608" s="33"/>
      <c r="E608" s="34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</row>
    <row r="609" spans="1:77" x14ac:dyDescent="0.3">
      <c r="A609" s="33"/>
      <c r="B609" s="33"/>
      <c r="C609" s="33"/>
      <c r="D609" s="33"/>
      <c r="E609" s="34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</row>
    <row r="610" spans="1:77" x14ac:dyDescent="0.3">
      <c r="A610" s="33"/>
      <c r="B610" s="33"/>
      <c r="C610" s="33"/>
      <c r="D610" s="33"/>
      <c r="E610" s="34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</row>
    <row r="611" spans="1:77" x14ac:dyDescent="0.3">
      <c r="A611" s="33"/>
      <c r="B611" s="33"/>
      <c r="C611" s="33"/>
      <c r="D611" s="33"/>
      <c r="E611" s="34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</row>
    <row r="612" spans="1:77" x14ac:dyDescent="0.3">
      <c r="A612" s="33"/>
      <c r="B612" s="33"/>
      <c r="C612" s="33"/>
      <c r="D612" s="33"/>
      <c r="E612" s="34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</row>
    <row r="613" spans="1:77" x14ac:dyDescent="0.3">
      <c r="A613" s="33"/>
      <c r="B613" s="33"/>
      <c r="C613" s="33"/>
      <c r="D613" s="33"/>
      <c r="E613" s="34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</row>
    <row r="614" spans="1:77" x14ac:dyDescent="0.3">
      <c r="A614" s="33"/>
      <c r="B614" s="33"/>
      <c r="C614" s="33"/>
      <c r="D614" s="33"/>
      <c r="E614" s="34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</row>
    <row r="615" spans="1:77" x14ac:dyDescent="0.3">
      <c r="A615" s="33"/>
      <c r="B615" s="33"/>
      <c r="C615" s="33"/>
      <c r="D615" s="33"/>
      <c r="E615" s="34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</row>
    <row r="616" spans="1:77" x14ac:dyDescent="0.3">
      <c r="A616" s="33"/>
      <c r="B616" s="33"/>
      <c r="C616" s="33"/>
      <c r="D616" s="33"/>
      <c r="E616" s="34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</row>
    <row r="617" spans="1:77" x14ac:dyDescent="0.3">
      <c r="A617" s="33"/>
      <c r="B617" s="33"/>
      <c r="C617" s="33"/>
      <c r="D617" s="33"/>
      <c r="E617" s="34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</row>
    <row r="618" spans="1:77" x14ac:dyDescent="0.3">
      <c r="A618" s="33"/>
      <c r="B618" s="33"/>
      <c r="C618" s="33"/>
      <c r="D618" s="33"/>
      <c r="E618" s="34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</row>
    <row r="619" spans="1:77" x14ac:dyDescent="0.3">
      <c r="A619" s="33"/>
      <c r="B619" s="33"/>
      <c r="C619" s="33"/>
      <c r="D619" s="33"/>
      <c r="E619" s="34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</row>
    <row r="620" spans="1:77" x14ac:dyDescent="0.3">
      <c r="A620" s="33"/>
      <c r="B620" s="33"/>
      <c r="C620" s="33"/>
      <c r="D620" s="33"/>
      <c r="E620" s="34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</row>
    <row r="621" spans="1:77" x14ac:dyDescent="0.3">
      <c r="A621" s="33"/>
      <c r="B621" s="33"/>
      <c r="C621" s="33"/>
      <c r="D621" s="33"/>
      <c r="E621" s="34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</row>
    <row r="622" spans="1:77" x14ac:dyDescent="0.3">
      <c r="A622" s="33"/>
      <c r="B622" s="33"/>
      <c r="C622" s="33"/>
      <c r="D622" s="33"/>
      <c r="E622" s="34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</row>
    <row r="623" spans="1:77" x14ac:dyDescent="0.3">
      <c r="A623" s="33"/>
      <c r="B623" s="33"/>
      <c r="C623" s="33"/>
      <c r="D623" s="33"/>
      <c r="E623" s="34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</row>
    <row r="624" spans="1:77" x14ac:dyDescent="0.3">
      <c r="A624" s="33"/>
      <c r="B624" s="33"/>
      <c r="C624" s="33"/>
      <c r="D624" s="33"/>
      <c r="E624" s="34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</row>
    <row r="625" spans="1:77" x14ac:dyDescent="0.3">
      <c r="A625" s="33"/>
      <c r="B625" s="33"/>
      <c r="C625" s="33"/>
      <c r="D625" s="33"/>
      <c r="E625" s="34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</row>
    <row r="626" spans="1:77" x14ac:dyDescent="0.3">
      <c r="A626" s="33"/>
      <c r="B626" s="33"/>
      <c r="C626" s="33"/>
      <c r="D626" s="33"/>
      <c r="E626" s="34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</row>
    <row r="627" spans="1:77" x14ac:dyDescent="0.3">
      <c r="A627" s="33"/>
      <c r="B627" s="33"/>
      <c r="C627" s="33"/>
      <c r="D627" s="33"/>
      <c r="E627" s="34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</row>
    <row r="628" spans="1:77" x14ac:dyDescent="0.3">
      <c r="A628" s="33"/>
      <c r="B628" s="33"/>
      <c r="C628" s="33"/>
      <c r="D628" s="33"/>
      <c r="E628" s="34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</row>
    <row r="629" spans="1:77" x14ac:dyDescent="0.3">
      <c r="A629" s="33"/>
      <c r="B629" s="33"/>
      <c r="C629" s="33"/>
      <c r="D629" s="33"/>
      <c r="E629" s="34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</row>
    <row r="630" spans="1:77" x14ac:dyDescent="0.3">
      <c r="A630" s="33"/>
      <c r="B630" s="33"/>
      <c r="C630" s="33"/>
      <c r="D630" s="33"/>
      <c r="E630" s="34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</row>
    <row r="631" spans="1:77" x14ac:dyDescent="0.3">
      <c r="A631" s="33"/>
      <c r="B631" s="33"/>
      <c r="C631" s="33"/>
      <c r="D631" s="33"/>
      <c r="E631" s="34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</row>
    <row r="632" spans="1:77" x14ac:dyDescent="0.3">
      <c r="A632" s="33"/>
      <c r="B632" s="33"/>
      <c r="C632" s="33"/>
      <c r="D632" s="33"/>
      <c r="E632" s="34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</row>
    <row r="633" spans="1:77" x14ac:dyDescent="0.3">
      <c r="A633" s="33"/>
      <c r="B633" s="33"/>
      <c r="C633" s="33"/>
      <c r="D633" s="33"/>
      <c r="E633" s="34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</row>
    <row r="634" spans="1:77" x14ac:dyDescent="0.3">
      <c r="A634" s="33"/>
      <c r="B634" s="33"/>
      <c r="C634" s="33"/>
      <c r="D634" s="33"/>
      <c r="E634" s="34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</row>
    <row r="635" spans="1:77" x14ac:dyDescent="0.3">
      <c r="A635" s="33"/>
      <c r="B635" s="33"/>
      <c r="C635" s="33"/>
      <c r="D635" s="33"/>
      <c r="E635" s="34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</row>
    <row r="636" spans="1:77" x14ac:dyDescent="0.3">
      <c r="A636" s="33"/>
      <c r="B636" s="33"/>
      <c r="C636" s="33"/>
      <c r="D636" s="33"/>
      <c r="E636" s="34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</row>
    <row r="637" spans="1:77" x14ac:dyDescent="0.3">
      <c r="A637" s="33"/>
      <c r="B637" s="33"/>
      <c r="C637" s="33"/>
      <c r="D637" s="33"/>
      <c r="E637" s="34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</row>
    <row r="638" spans="1:77" x14ac:dyDescent="0.3">
      <c r="A638" s="33"/>
      <c r="B638" s="33"/>
      <c r="C638" s="33"/>
      <c r="D638" s="33"/>
      <c r="E638" s="34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</row>
    <row r="639" spans="1:77" x14ac:dyDescent="0.3">
      <c r="A639" s="33"/>
      <c r="B639" s="33"/>
      <c r="C639" s="33"/>
      <c r="D639" s="33"/>
      <c r="E639" s="34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</row>
    <row r="640" spans="1:77" x14ac:dyDescent="0.3">
      <c r="A640" s="33"/>
      <c r="B640" s="33"/>
      <c r="C640" s="33"/>
      <c r="D640" s="33"/>
      <c r="E640" s="34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</row>
    <row r="641" spans="1:77" x14ac:dyDescent="0.3">
      <c r="A641" s="33"/>
      <c r="B641" s="33"/>
      <c r="C641" s="33"/>
      <c r="D641" s="33"/>
      <c r="E641" s="34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</row>
    <row r="642" spans="1:77" x14ac:dyDescent="0.3">
      <c r="A642" s="33"/>
      <c r="B642" s="33"/>
      <c r="C642" s="33"/>
      <c r="D642" s="33"/>
      <c r="E642" s="34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</row>
    <row r="643" spans="1:77" x14ac:dyDescent="0.3">
      <c r="A643" s="33"/>
      <c r="B643" s="33"/>
      <c r="C643" s="33"/>
      <c r="D643" s="33"/>
      <c r="E643" s="34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</row>
    <row r="644" spans="1:77" x14ac:dyDescent="0.3">
      <c r="A644" s="33"/>
      <c r="B644" s="33"/>
      <c r="C644" s="33"/>
      <c r="D644" s="33"/>
      <c r="E644" s="34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</row>
    <row r="645" spans="1:77" x14ac:dyDescent="0.3">
      <c r="A645" s="33"/>
      <c r="B645" s="33"/>
      <c r="C645" s="33"/>
      <c r="D645" s="33"/>
      <c r="E645" s="34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</row>
    <row r="646" spans="1:77" x14ac:dyDescent="0.3">
      <c r="A646" s="33"/>
      <c r="B646" s="33"/>
      <c r="C646" s="33"/>
      <c r="D646" s="33"/>
      <c r="E646" s="34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</row>
    <row r="647" spans="1:77" x14ac:dyDescent="0.3">
      <c r="A647" s="33"/>
      <c r="B647" s="33"/>
      <c r="C647" s="33"/>
      <c r="D647" s="33"/>
      <c r="E647" s="34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</row>
    <row r="648" spans="1:77" x14ac:dyDescent="0.3">
      <c r="A648" s="33"/>
      <c r="B648" s="33"/>
      <c r="C648" s="33"/>
      <c r="D648" s="33"/>
      <c r="E648" s="34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</row>
    <row r="649" spans="1:77" x14ac:dyDescent="0.3">
      <c r="A649" s="33"/>
      <c r="B649" s="33"/>
      <c r="C649" s="33"/>
      <c r="D649" s="33"/>
      <c r="E649" s="34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</row>
    <row r="650" spans="1:77" x14ac:dyDescent="0.3">
      <c r="A650" s="33"/>
      <c r="B650" s="33"/>
      <c r="C650" s="33"/>
      <c r="D650" s="33"/>
      <c r="E650" s="34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</row>
    <row r="651" spans="1:77" x14ac:dyDescent="0.3">
      <c r="A651" s="33"/>
      <c r="B651" s="33"/>
      <c r="C651" s="33"/>
      <c r="D651" s="33"/>
      <c r="E651" s="34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</row>
    <row r="652" spans="1:77" x14ac:dyDescent="0.3">
      <c r="A652" s="33"/>
      <c r="B652" s="33"/>
      <c r="C652" s="33"/>
      <c r="D652" s="33"/>
      <c r="E652" s="34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</row>
    <row r="653" spans="1:77" x14ac:dyDescent="0.3">
      <c r="A653" s="33"/>
      <c r="B653" s="33"/>
      <c r="C653" s="33"/>
      <c r="D653" s="33"/>
      <c r="E653" s="34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</row>
    <row r="654" spans="1:77" x14ac:dyDescent="0.3">
      <c r="A654" s="33"/>
      <c r="B654" s="33"/>
      <c r="C654" s="33"/>
      <c r="D654" s="33"/>
      <c r="E654" s="34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</row>
    <row r="655" spans="1:77" x14ac:dyDescent="0.3">
      <c r="A655" s="33"/>
      <c r="B655" s="33"/>
      <c r="C655" s="33"/>
      <c r="D655" s="33"/>
      <c r="E655" s="34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</row>
    <row r="656" spans="1:77" x14ac:dyDescent="0.3">
      <c r="A656" s="33"/>
      <c r="B656" s="33"/>
      <c r="C656" s="33"/>
      <c r="D656" s="33"/>
      <c r="E656" s="34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</row>
    <row r="657" spans="1:77" x14ac:dyDescent="0.3">
      <c r="A657" s="33"/>
      <c r="B657" s="33"/>
      <c r="C657" s="33"/>
      <c r="D657" s="33"/>
      <c r="E657" s="34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</row>
    <row r="658" spans="1:77" x14ac:dyDescent="0.3">
      <c r="A658" s="33"/>
      <c r="B658" s="33"/>
      <c r="C658" s="33"/>
      <c r="D658" s="33"/>
      <c r="E658" s="34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</row>
    <row r="659" spans="1:77" x14ac:dyDescent="0.3">
      <c r="A659" s="33"/>
      <c r="B659" s="33"/>
      <c r="C659" s="33"/>
      <c r="D659" s="33"/>
      <c r="E659" s="34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</row>
    <row r="660" spans="1:77" x14ac:dyDescent="0.3">
      <c r="A660" s="33"/>
      <c r="B660" s="33"/>
      <c r="C660" s="33"/>
      <c r="D660" s="33"/>
      <c r="E660" s="34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</row>
    <row r="661" spans="1:77" x14ac:dyDescent="0.3">
      <c r="A661" s="33"/>
      <c r="B661" s="33"/>
      <c r="C661" s="33"/>
      <c r="D661" s="33"/>
      <c r="E661" s="34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</row>
    <row r="662" spans="1:77" x14ac:dyDescent="0.3">
      <c r="A662" s="33"/>
      <c r="B662" s="33"/>
      <c r="C662" s="33"/>
      <c r="D662" s="33"/>
      <c r="E662" s="34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</row>
    <row r="663" spans="1:77" x14ac:dyDescent="0.3">
      <c r="A663" s="33"/>
      <c r="B663" s="33"/>
      <c r="C663" s="33"/>
      <c r="D663" s="33"/>
      <c r="E663" s="34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</row>
    <row r="664" spans="1:77" x14ac:dyDescent="0.3">
      <c r="A664" s="33"/>
      <c r="B664" s="33"/>
      <c r="C664" s="33"/>
      <c r="D664" s="33"/>
      <c r="E664" s="34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</row>
    <row r="665" spans="1:77" x14ac:dyDescent="0.3">
      <c r="A665" s="33"/>
      <c r="B665" s="33"/>
      <c r="C665" s="33"/>
      <c r="D665" s="33"/>
      <c r="E665" s="34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</row>
    <row r="666" spans="1:77" x14ac:dyDescent="0.3">
      <c r="A666" s="33"/>
      <c r="B666" s="33"/>
      <c r="C666" s="33"/>
      <c r="D666" s="33"/>
      <c r="E666" s="34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</row>
    <row r="667" spans="1:77" x14ac:dyDescent="0.3">
      <c r="A667" s="33"/>
      <c r="B667" s="33"/>
      <c r="C667" s="33"/>
      <c r="D667" s="33"/>
      <c r="E667" s="34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</row>
    <row r="668" spans="1:77" x14ac:dyDescent="0.3">
      <c r="A668" s="33"/>
      <c r="B668" s="33"/>
      <c r="C668" s="33"/>
      <c r="D668" s="33"/>
      <c r="E668" s="34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</row>
    <row r="669" spans="1:77" x14ac:dyDescent="0.3">
      <c r="A669" s="33"/>
      <c r="B669" s="33"/>
      <c r="C669" s="33"/>
      <c r="D669" s="33"/>
      <c r="E669" s="34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</row>
    <row r="670" spans="1:77" x14ac:dyDescent="0.3">
      <c r="A670" s="33"/>
      <c r="B670" s="33"/>
      <c r="C670" s="33"/>
      <c r="D670" s="33"/>
      <c r="E670" s="34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</row>
    <row r="671" spans="1:77" x14ac:dyDescent="0.3">
      <c r="A671" s="33"/>
      <c r="B671" s="33"/>
      <c r="C671" s="33"/>
      <c r="D671" s="33"/>
      <c r="E671" s="34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</row>
    <row r="672" spans="1:77" x14ac:dyDescent="0.3">
      <c r="A672" s="33"/>
      <c r="B672" s="33"/>
      <c r="C672" s="33"/>
      <c r="D672" s="33"/>
      <c r="E672" s="34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</row>
    <row r="673" spans="1:77" x14ac:dyDescent="0.3">
      <c r="A673" s="33"/>
      <c r="B673" s="33"/>
      <c r="C673" s="33"/>
      <c r="D673" s="33"/>
      <c r="E673" s="34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</row>
    <row r="674" spans="1:77" x14ac:dyDescent="0.3">
      <c r="A674" s="33"/>
      <c r="B674" s="33"/>
      <c r="C674" s="33"/>
      <c r="D674" s="33"/>
      <c r="E674" s="34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</row>
    <row r="675" spans="1:77" x14ac:dyDescent="0.3">
      <c r="A675" s="33"/>
      <c r="B675" s="33"/>
      <c r="C675" s="33"/>
      <c r="D675" s="33"/>
      <c r="E675" s="34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</row>
    <row r="676" spans="1:77" x14ac:dyDescent="0.3">
      <c r="A676" s="33"/>
      <c r="B676" s="33"/>
      <c r="C676" s="33"/>
      <c r="D676" s="33"/>
      <c r="E676" s="34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</row>
    <row r="677" spans="1:77" x14ac:dyDescent="0.3">
      <c r="A677" s="33"/>
      <c r="B677" s="33"/>
      <c r="C677" s="33"/>
      <c r="D677" s="33"/>
      <c r="E677" s="34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</row>
    <row r="678" spans="1:77" x14ac:dyDescent="0.3">
      <c r="A678" s="33"/>
      <c r="B678" s="33"/>
      <c r="C678" s="33"/>
      <c r="D678" s="33"/>
      <c r="E678" s="34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</row>
    <row r="679" spans="1:77" x14ac:dyDescent="0.3">
      <c r="A679" s="33"/>
      <c r="B679" s="33"/>
      <c r="C679" s="33"/>
      <c r="D679" s="33"/>
      <c r="E679" s="34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</row>
    <row r="680" spans="1:77" x14ac:dyDescent="0.3">
      <c r="A680" s="33"/>
      <c r="B680" s="33"/>
      <c r="C680" s="33"/>
      <c r="D680" s="33"/>
      <c r="E680" s="34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</row>
    <row r="681" spans="1:77" x14ac:dyDescent="0.3">
      <c r="A681" s="33"/>
      <c r="B681" s="33"/>
      <c r="C681" s="33"/>
      <c r="D681" s="33"/>
      <c r="E681" s="34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</row>
    <row r="682" spans="1:77" x14ac:dyDescent="0.3">
      <c r="A682" s="33"/>
      <c r="B682" s="33"/>
      <c r="C682" s="33"/>
      <c r="D682" s="33"/>
      <c r="E682" s="34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</row>
    <row r="683" spans="1:77" x14ac:dyDescent="0.3">
      <c r="A683" s="33"/>
      <c r="B683" s="33"/>
      <c r="C683" s="33"/>
      <c r="D683" s="33"/>
      <c r="E683" s="34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</row>
    <row r="684" spans="1:77" x14ac:dyDescent="0.3">
      <c r="A684" s="33"/>
      <c r="B684" s="33"/>
      <c r="C684" s="33"/>
      <c r="D684" s="33"/>
      <c r="E684" s="34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</row>
    <row r="685" spans="1:77" x14ac:dyDescent="0.3">
      <c r="A685" s="33"/>
      <c r="B685" s="33"/>
      <c r="C685" s="33"/>
      <c r="D685" s="33"/>
      <c r="E685" s="34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</row>
    <row r="686" spans="1:77" x14ac:dyDescent="0.3">
      <c r="A686" s="33"/>
      <c r="B686" s="33"/>
      <c r="C686" s="33"/>
      <c r="D686" s="33"/>
      <c r="E686" s="34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</row>
    <row r="687" spans="1:77" x14ac:dyDescent="0.3">
      <c r="A687" s="33"/>
      <c r="B687" s="33"/>
      <c r="C687" s="33"/>
      <c r="D687" s="33"/>
      <c r="E687" s="34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</row>
    <row r="688" spans="1:77" x14ac:dyDescent="0.3">
      <c r="A688" s="33"/>
      <c r="B688" s="33"/>
      <c r="C688" s="33"/>
      <c r="D688" s="33"/>
      <c r="E688" s="34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</row>
    <row r="689" spans="1:77" x14ac:dyDescent="0.3">
      <c r="A689" s="33"/>
      <c r="B689" s="33"/>
      <c r="C689" s="33"/>
      <c r="D689" s="33"/>
      <c r="E689" s="34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</row>
    <row r="690" spans="1:77" x14ac:dyDescent="0.3">
      <c r="A690" s="33"/>
      <c r="B690" s="33"/>
      <c r="C690" s="33"/>
      <c r="D690" s="33"/>
      <c r="E690" s="34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</row>
    <row r="691" spans="1:77" x14ac:dyDescent="0.3">
      <c r="A691" s="33"/>
      <c r="B691" s="33"/>
      <c r="C691" s="33"/>
      <c r="D691" s="33"/>
      <c r="E691" s="34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</row>
    <row r="692" spans="1:77" x14ac:dyDescent="0.3">
      <c r="A692" s="33"/>
      <c r="B692" s="33"/>
      <c r="C692" s="33"/>
      <c r="D692" s="33"/>
      <c r="E692" s="34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</row>
    <row r="693" spans="1:77" x14ac:dyDescent="0.3">
      <c r="A693" s="33"/>
      <c r="B693" s="33"/>
      <c r="C693" s="33"/>
      <c r="D693" s="33"/>
      <c r="E693" s="34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</row>
    <row r="694" spans="1:77" x14ac:dyDescent="0.3">
      <c r="A694" s="33"/>
      <c r="B694" s="33"/>
      <c r="C694" s="33"/>
      <c r="D694" s="33"/>
      <c r="E694" s="34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</row>
    <row r="695" spans="1:77" x14ac:dyDescent="0.3">
      <c r="A695" s="33"/>
      <c r="B695" s="33"/>
      <c r="C695" s="33"/>
      <c r="D695" s="33"/>
      <c r="E695" s="34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</row>
    <row r="696" spans="1:77" x14ac:dyDescent="0.3">
      <c r="A696" s="33"/>
      <c r="B696" s="33"/>
      <c r="C696" s="33"/>
      <c r="D696" s="33"/>
      <c r="E696" s="34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</row>
    <row r="697" spans="1:77" x14ac:dyDescent="0.3">
      <c r="A697" s="33"/>
      <c r="B697" s="33"/>
      <c r="C697" s="33"/>
      <c r="D697" s="33"/>
      <c r="E697" s="34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</row>
    <row r="698" spans="1:77" x14ac:dyDescent="0.3">
      <c r="A698" s="33"/>
      <c r="B698" s="33"/>
      <c r="C698" s="33"/>
      <c r="D698" s="33"/>
      <c r="E698" s="34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</row>
    <row r="699" spans="1:77" x14ac:dyDescent="0.3">
      <c r="A699" s="33"/>
      <c r="B699" s="33"/>
      <c r="C699" s="33"/>
      <c r="D699" s="33"/>
      <c r="E699" s="34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</row>
    <row r="700" spans="1:77" x14ac:dyDescent="0.3">
      <c r="A700" s="33"/>
      <c r="B700" s="33"/>
      <c r="C700" s="33"/>
      <c r="D700" s="33"/>
      <c r="E700" s="34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</row>
    <row r="701" spans="1:77" x14ac:dyDescent="0.3">
      <c r="A701" s="33"/>
      <c r="B701" s="33"/>
      <c r="C701" s="33"/>
      <c r="D701" s="33"/>
      <c r="E701" s="34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</row>
    <row r="702" spans="1:77" x14ac:dyDescent="0.3">
      <c r="A702" s="33"/>
      <c r="B702" s="33"/>
      <c r="C702" s="33"/>
      <c r="D702" s="33"/>
      <c r="E702" s="34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</row>
    <row r="703" spans="1:77" x14ac:dyDescent="0.3">
      <c r="A703" s="33"/>
      <c r="B703" s="33"/>
      <c r="C703" s="33"/>
      <c r="D703" s="33"/>
      <c r="E703" s="34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</row>
    <row r="704" spans="1:77" x14ac:dyDescent="0.3">
      <c r="A704" s="33"/>
      <c r="B704" s="33"/>
      <c r="C704" s="33"/>
      <c r="D704" s="33"/>
      <c r="E704" s="34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</row>
    <row r="705" spans="1:77" x14ac:dyDescent="0.3">
      <c r="A705" s="33"/>
      <c r="B705" s="33"/>
      <c r="C705" s="33"/>
      <c r="D705" s="33"/>
      <c r="E705" s="34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</row>
    <row r="706" spans="1:77" x14ac:dyDescent="0.3">
      <c r="A706" s="33"/>
      <c r="B706" s="33"/>
      <c r="C706" s="33"/>
      <c r="D706" s="33"/>
      <c r="E706" s="34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</row>
    <row r="707" spans="1:77" x14ac:dyDescent="0.3">
      <c r="A707" s="33"/>
      <c r="B707" s="33"/>
      <c r="C707" s="33"/>
      <c r="D707" s="33"/>
      <c r="E707" s="34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</row>
    <row r="708" spans="1:77" x14ac:dyDescent="0.3">
      <c r="A708" s="33"/>
      <c r="B708" s="33"/>
      <c r="C708" s="33"/>
      <c r="D708" s="33"/>
      <c r="E708" s="34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</row>
    <row r="709" spans="1:77" x14ac:dyDescent="0.3">
      <c r="A709" s="33"/>
      <c r="B709" s="33"/>
      <c r="C709" s="33"/>
      <c r="D709" s="33"/>
      <c r="E709" s="34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</row>
    <row r="710" spans="1:77" x14ac:dyDescent="0.3">
      <c r="A710" s="33"/>
      <c r="B710" s="33"/>
      <c r="C710" s="33"/>
      <c r="D710" s="33"/>
      <c r="E710" s="34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</row>
    <row r="711" spans="1:77" x14ac:dyDescent="0.3">
      <c r="A711" s="33"/>
      <c r="B711" s="33"/>
      <c r="C711" s="33"/>
      <c r="D711" s="33"/>
      <c r="E711" s="34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</row>
    <row r="712" spans="1:77" x14ac:dyDescent="0.3">
      <c r="A712" s="33"/>
      <c r="B712" s="33"/>
      <c r="C712" s="33"/>
      <c r="D712" s="33"/>
      <c r="E712" s="34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</row>
    <row r="713" spans="1:77" x14ac:dyDescent="0.3">
      <c r="A713" s="33"/>
      <c r="B713" s="33"/>
      <c r="C713" s="33"/>
      <c r="D713" s="33"/>
      <c r="E713" s="34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</row>
    <row r="714" spans="1:77" x14ac:dyDescent="0.3">
      <c r="A714" s="33"/>
      <c r="B714" s="33"/>
      <c r="C714" s="33"/>
      <c r="D714" s="33"/>
      <c r="E714" s="34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</row>
    <row r="715" spans="1:77" x14ac:dyDescent="0.3">
      <c r="A715" s="33"/>
      <c r="B715" s="33"/>
      <c r="C715" s="33"/>
      <c r="D715" s="33"/>
      <c r="E715" s="34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</row>
    <row r="716" spans="1:77" x14ac:dyDescent="0.3">
      <c r="A716" s="33"/>
      <c r="B716" s="33"/>
      <c r="C716" s="33"/>
      <c r="D716" s="33"/>
      <c r="E716" s="34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</row>
    <row r="717" spans="1:77" x14ac:dyDescent="0.3">
      <c r="A717" s="33"/>
      <c r="B717" s="33"/>
      <c r="C717" s="33"/>
      <c r="D717" s="33"/>
      <c r="E717" s="34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</row>
    <row r="718" spans="1:77" x14ac:dyDescent="0.3">
      <c r="A718" s="33"/>
      <c r="B718" s="33"/>
      <c r="C718" s="33"/>
      <c r="D718" s="33"/>
      <c r="E718" s="34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</row>
    <row r="719" spans="1:77" x14ac:dyDescent="0.3">
      <c r="A719" s="33"/>
      <c r="B719" s="33"/>
      <c r="C719" s="33"/>
      <c r="D719" s="33"/>
      <c r="E719" s="34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</row>
    <row r="720" spans="1:77" x14ac:dyDescent="0.3">
      <c r="A720" s="33"/>
      <c r="B720" s="33"/>
      <c r="C720" s="33"/>
      <c r="D720" s="33"/>
      <c r="E720" s="34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</row>
    <row r="721" spans="1:77" x14ac:dyDescent="0.3">
      <c r="A721" s="33"/>
      <c r="B721" s="33"/>
      <c r="C721" s="33"/>
      <c r="D721" s="33"/>
      <c r="E721" s="34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</row>
    <row r="722" spans="1:77" x14ac:dyDescent="0.3">
      <c r="A722" s="33"/>
      <c r="B722" s="33"/>
      <c r="C722" s="33"/>
      <c r="D722" s="33"/>
      <c r="E722" s="34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</row>
    <row r="723" spans="1:77" x14ac:dyDescent="0.3">
      <c r="A723" s="33"/>
      <c r="B723" s="33"/>
      <c r="C723" s="33"/>
      <c r="D723" s="33"/>
      <c r="E723" s="34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</row>
    <row r="724" spans="1:77" x14ac:dyDescent="0.3">
      <c r="A724" s="33"/>
      <c r="B724" s="33"/>
      <c r="C724" s="33"/>
      <c r="D724" s="33"/>
      <c r="E724" s="34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</row>
    <row r="725" spans="1:77" x14ac:dyDescent="0.3">
      <c r="A725" s="33"/>
      <c r="B725" s="33"/>
      <c r="C725" s="33"/>
      <c r="D725" s="33"/>
      <c r="E725" s="34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</row>
    <row r="726" spans="1:77" x14ac:dyDescent="0.3">
      <c r="A726" s="33"/>
      <c r="B726" s="33"/>
      <c r="C726" s="33"/>
      <c r="D726" s="33"/>
      <c r="E726" s="34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</row>
    <row r="727" spans="1:77" x14ac:dyDescent="0.3">
      <c r="A727" s="33"/>
      <c r="B727" s="33"/>
      <c r="C727" s="33"/>
      <c r="D727" s="33"/>
      <c r="E727" s="34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</row>
    <row r="728" spans="1:77" x14ac:dyDescent="0.3">
      <c r="A728" s="33"/>
      <c r="B728" s="33"/>
      <c r="C728" s="33"/>
      <c r="D728" s="33"/>
      <c r="E728" s="34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</row>
    <row r="729" spans="1:77" x14ac:dyDescent="0.3">
      <c r="A729" s="33"/>
      <c r="B729" s="33"/>
      <c r="C729" s="33"/>
      <c r="D729" s="33"/>
      <c r="E729" s="34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</row>
    <row r="730" spans="1:77" x14ac:dyDescent="0.3">
      <c r="A730" s="33"/>
      <c r="B730" s="33"/>
      <c r="C730" s="33"/>
      <c r="D730" s="33"/>
      <c r="E730" s="34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</row>
    <row r="731" spans="1:77" x14ac:dyDescent="0.3">
      <c r="A731" s="33"/>
      <c r="B731" s="33"/>
      <c r="C731" s="33"/>
      <c r="D731" s="33"/>
      <c r="E731" s="34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</row>
    <row r="732" spans="1:77" x14ac:dyDescent="0.3">
      <c r="A732" s="33"/>
      <c r="B732" s="33"/>
      <c r="C732" s="33"/>
      <c r="D732" s="33"/>
      <c r="E732" s="34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</row>
    <row r="733" spans="1:77" x14ac:dyDescent="0.3">
      <c r="A733" s="33"/>
      <c r="B733" s="33"/>
      <c r="C733" s="33"/>
      <c r="D733" s="33"/>
      <c r="E733" s="34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</row>
    <row r="734" spans="1:77" x14ac:dyDescent="0.3">
      <c r="A734" s="33"/>
      <c r="B734" s="33"/>
      <c r="C734" s="33"/>
      <c r="D734" s="33"/>
      <c r="E734" s="34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</row>
    <row r="735" spans="1:77" x14ac:dyDescent="0.3">
      <c r="A735" s="33"/>
      <c r="B735" s="33"/>
      <c r="C735" s="33"/>
      <c r="D735" s="33"/>
      <c r="E735" s="34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</row>
    <row r="736" spans="1:77" x14ac:dyDescent="0.3">
      <c r="A736" s="33"/>
      <c r="B736" s="33"/>
      <c r="C736" s="33"/>
      <c r="D736" s="33"/>
      <c r="E736" s="34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</row>
    <row r="737" spans="1:77" x14ac:dyDescent="0.3">
      <c r="A737" s="33"/>
      <c r="B737" s="33"/>
      <c r="C737" s="33"/>
      <c r="D737" s="33"/>
      <c r="E737" s="34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</row>
    <row r="738" spans="1:77" x14ac:dyDescent="0.3">
      <c r="A738" s="33"/>
      <c r="B738" s="33"/>
      <c r="C738" s="33"/>
      <c r="D738" s="33"/>
      <c r="E738" s="34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</row>
    <row r="739" spans="1:77" x14ac:dyDescent="0.3">
      <c r="A739" s="33"/>
      <c r="B739" s="33"/>
      <c r="C739" s="33"/>
      <c r="D739" s="33"/>
      <c r="E739" s="34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</row>
    <row r="740" spans="1:77" x14ac:dyDescent="0.3">
      <c r="A740" s="33"/>
      <c r="B740" s="33"/>
      <c r="C740" s="33"/>
      <c r="D740" s="33"/>
      <c r="E740" s="34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</row>
    <row r="741" spans="1:77" x14ac:dyDescent="0.3">
      <c r="A741" s="33"/>
      <c r="B741" s="33"/>
      <c r="C741" s="33"/>
      <c r="D741" s="33"/>
      <c r="E741" s="34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</row>
    <row r="742" spans="1:77" x14ac:dyDescent="0.3">
      <c r="A742" s="33"/>
      <c r="B742" s="33"/>
      <c r="C742" s="33"/>
      <c r="D742" s="33"/>
      <c r="E742" s="34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</row>
    <row r="743" spans="1:77" x14ac:dyDescent="0.3">
      <c r="A743" s="33"/>
      <c r="B743" s="33"/>
      <c r="C743" s="33"/>
      <c r="D743" s="33"/>
      <c r="E743" s="34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</row>
    <row r="744" spans="1:77" x14ac:dyDescent="0.3">
      <c r="A744" s="33"/>
      <c r="B744" s="33"/>
      <c r="C744" s="33"/>
      <c r="D744" s="33"/>
      <c r="E744" s="34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</row>
    <row r="745" spans="1:77" x14ac:dyDescent="0.3">
      <c r="A745" s="33"/>
      <c r="B745" s="33"/>
      <c r="C745" s="33"/>
      <c r="D745" s="33"/>
      <c r="E745" s="34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</row>
    <row r="746" spans="1:77" x14ac:dyDescent="0.3">
      <c r="A746" s="33"/>
      <c r="B746" s="33"/>
      <c r="C746" s="33"/>
      <c r="D746" s="33"/>
      <c r="E746" s="34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</row>
    <row r="747" spans="1:77" x14ac:dyDescent="0.3">
      <c r="A747" s="33"/>
      <c r="B747" s="33"/>
      <c r="C747" s="33"/>
      <c r="D747" s="33"/>
      <c r="E747" s="34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</row>
    <row r="748" spans="1:77" x14ac:dyDescent="0.3">
      <c r="A748" s="33"/>
      <c r="B748" s="33"/>
      <c r="C748" s="33"/>
      <c r="D748" s="33"/>
      <c r="E748" s="34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</row>
    <row r="749" spans="1:77" x14ac:dyDescent="0.3">
      <c r="A749" s="33"/>
      <c r="B749" s="33"/>
      <c r="C749" s="33"/>
      <c r="D749" s="33"/>
      <c r="E749" s="34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</row>
    <row r="750" spans="1:77" x14ac:dyDescent="0.3">
      <c r="A750" s="33"/>
      <c r="B750" s="33"/>
      <c r="C750" s="33"/>
      <c r="D750" s="33"/>
      <c r="E750" s="34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</row>
    <row r="751" spans="1:77" x14ac:dyDescent="0.3">
      <c r="A751" s="33"/>
      <c r="B751" s="33"/>
      <c r="C751" s="33"/>
      <c r="D751" s="33"/>
      <c r="E751" s="34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</row>
    <row r="752" spans="1:77" x14ac:dyDescent="0.3">
      <c r="A752" s="33"/>
      <c r="B752" s="33"/>
      <c r="C752" s="33"/>
      <c r="D752" s="33"/>
      <c r="E752" s="34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</row>
    <row r="753" spans="1:77" x14ac:dyDescent="0.3">
      <c r="A753" s="33"/>
      <c r="B753" s="33"/>
      <c r="C753" s="33"/>
      <c r="D753" s="33"/>
      <c r="E753" s="34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</row>
    <row r="754" spans="1:77" x14ac:dyDescent="0.3">
      <c r="A754" s="33"/>
      <c r="B754" s="33"/>
      <c r="C754" s="33"/>
      <c r="D754" s="33"/>
      <c r="E754" s="34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</row>
    <row r="755" spans="1:77" x14ac:dyDescent="0.3">
      <c r="A755" s="33"/>
      <c r="B755" s="33"/>
      <c r="C755" s="33"/>
      <c r="D755" s="33"/>
      <c r="E755" s="34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</row>
    <row r="756" spans="1:77" x14ac:dyDescent="0.3">
      <c r="A756" s="33"/>
      <c r="B756" s="33"/>
      <c r="C756" s="33"/>
      <c r="D756" s="33"/>
      <c r="E756" s="34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</row>
    <row r="757" spans="1:77" x14ac:dyDescent="0.3">
      <c r="A757" s="33"/>
      <c r="B757" s="33"/>
      <c r="C757" s="33"/>
      <c r="D757" s="33"/>
      <c r="E757" s="34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</row>
    <row r="758" spans="1:77" x14ac:dyDescent="0.3">
      <c r="A758" s="33"/>
      <c r="B758" s="33"/>
      <c r="C758" s="33"/>
      <c r="D758" s="33"/>
      <c r="E758" s="34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</row>
    <row r="759" spans="1:77" x14ac:dyDescent="0.3">
      <c r="A759" s="33"/>
      <c r="B759" s="33"/>
      <c r="C759" s="33"/>
      <c r="D759" s="33"/>
      <c r="E759" s="34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</row>
    <row r="760" spans="1:77" x14ac:dyDescent="0.3">
      <c r="A760" s="33"/>
      <c r="B760" s="33"/>
      <c r="C760" s="33"/>
      <c r="D760" s="33"/>
      <c r="E760" s="34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</row>
    <row r="761" spans="1:77" x14ac:dyDescent="0.3">
      <c r="A761" s="33"/>
      <c r="B761" s="33"/>
      <c r="C761" s="33"/>
      <c r="D761" s="33"/>
      <c r="E761" s="34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</row>
    <row r="762" spans="1:77" x14ac:dyDescent="0.3">
      <c r="A762" s="33"/>
      <c r="B762" s="33"/>
      <c r="C762" s="33"/>
      <c r="D762" s="33"/>
      <c r="E762" s="34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</row>
    <row r="763" spans="1:77" x14ac:dyDescent="0.3">
      <c r="A763" s="33"/>
      <c r="B763" s="33"/>
      <c r="C763" s="33"/>
      <c r="D763" s="33"/>
      <c r="E763" s="34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</row>
    <row r="764" spans="1:77" x14ac:dyDescent="0.3">
      <c r="A764" s="33"/>
      <c r="B764" s="33"/>
      <c r="C764" s="33"/>
      <c r="D764" s="33"/>
      <c r="E764" s="34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</row>
    <row r="765" spans="1:77" x14ac:dyDescent="0.3">
      <c r="A765" s="33"/>
      <c r="B765" s="33"/>
      <c r="C765" s="33"/>
      <c r="D765" s="33"/>
      <c r="E765" s="34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</row>
    <row r="766" spans="1:77" x14ac:dyDescent="0.3">
      <c r="A766" s="33"/>
      <c r="B766" s="33"/>
      <c r="C766" s="33"/>
      <c r="D766" s="33"/>
      <c r="E766" s="34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</row>
    <row r="767" spans="1:77" x14ac:dyDescent="0.3">
      <c r="A767" s="33"/>
      <c r="B767" s="33"/>
      <c r="C767" s="33"/>
      <c r="D767" s="33"/>
      <c r="E767" s="34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</row>
    <row r="768" spans="1:77" x14ac:dyDescent="0.3">
      <c r="A768" s="33"/>
      <c r="B768" s="33"/>
      <c r="C768" s="33"/>
      <c r="D768" s="33"/>
      <c r="E768" s="34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</row>
    <row r="769" spans="1:77" x14ac:dyDescent="0.3">
      <c r="A769" s="33"/>
      <c r="B769" s="33"/>
      <c r="C769" s="33"/>
      <c r="D769" s="33"/>
      <c r="E769" s="34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</row>
    <row r="770" spans="1:77" x14ac:dyDescent="0.3">
      <c r="A770" s="33"/>
      <c r="B770" s="33"/>
      <c r="C770" s="33"/>
      <c r="D770" s="33"/>
      <c r="E770" s="34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</row>
    <row r="771" spans="1:77" x14ac:dyDescent="0.3">
      <c r="A771" s="33"/>
      <c r="B771" s="33"/>
      <c r="C771" s="33"/>
      <c r="D771" s="33"/>
      <c r="E771" s="34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</row>
    <row r="772" spans="1:77" x14ac:dyDescent="0.3">
      <c r="A772" s="33"/>
      <c r="B772" s="33"/>
      <c r="C772" s="33"/>
      <c r="D772" s="33"/>
      <c r="E772" s="34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</row>
    <row r="773" spans="1:77" x14ac:dyDescent="0.3">
      <c r="A773" s="33"/>
      <c r="B773" s="33"/>
      <c r="C773" s="33"/>
      <c r="D773" s="33"/>
      <c r="E773" s="34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</row>
    <row r="774" spans="1:77" x14ac:dyDescent="0.3">
      <c r="A774" s="33"/>
      <c r="B774" s="33"/>
      <c r="C774" s="33"/>
      <c r="D774" s="33"/>
      <c r="E774" s="34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</row>
    <row r="775" spans="1:77" x14ac:dyDescent="0.3">
      <c r="A775" s="33"/>
      <c r="B775" s="33"/>
      <c r="C775" s="33"/>
      <c r="D775" s="33"/>
      <c r="E775" s="34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</row>
    <row r="776" spans="1:77" x14ac:dyDescent="0.3">
      <c r="A776" s="33"/>
      <c r="B776" s="33"/>
      <c r="C776" s="33"/>
      <c r="D776" s="33"/>
      <c r="E776" s="34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</row>
    <row r="777" spans="1:77" x14ac:dyDescent="0.3">
      <c r="A777" s="33"/>
      <c r="B777" s="33"/>
      <c r="C777" s="33"/>
      <c r="D777" s="33"/>
      <c r="E777" s="34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</row>
    <row r="778" spans="1:77" x14ac:dyDescent="0.3">
      <c r="A778" s="33"/>
      <c r="B778" s="33"/>
      <c r="C778" s="33"/>
      <c r="D778" s="33"/>
      <c r="E778" s="34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</row>
    <row r="779" spans="1:77" x14ac:dyDescent="0.3">
      <c r="A779" s="33"/>
      <c r="B779" s="33"/>
      <c r="C779" s="33"/>
      <c r="D779" s="33"/>
      <c r="E779" s="34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</row>
    <row r="780" spans="1:77" x14ac:dyDescent="0.3">
      <c r="A780" s="33"/>
      <c r="B780" s="33"/>
      <c r="C780" s="33"/>
      <c r="D780" s="33"/>
      <c r="E780" s="34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</row>
    <row r="781" spans="1:77" x14ac:dyDescent="0.3">
      <c r="A781" s="33"/>
      <c r="B781" s="33"/>
      <c r="C781" s="33"/>
      <c r="D781" s="33"/>
      <c r="E781" s="34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</row>
    <row r="782" spans="1:77" x14ac:dyDescent="0.3">
      <c r="A782" s="33"/>
      <c r="B782" s="33"/>
      <c r="C782" s="33"/>
      <c r="D782" s="33"/>
      <c r="E782" s="34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</row>
    <row r="783" spans="1:77" x14ac:dyDescent="0.3">
      <c r="A783" s="33"/>
      <c r="B783" s="33"/>
      <c r="C783" s="33"/>
      <c r="D783" s="33"/>
      <c r="E783" s="34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</row>
    <row r="784" spans="1:77" x14ac:dyDescent="0.3">
      <c r="A784" s="33"/>
      <c r="B784" s="33"/>
      <c r="C784" s="33"/>
      <c r="D784" s="33"/>
      <c r="E784" s="34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</row>
    <row r="785" spans="1:77" x14ac:dyDescent="0.3">
      <c r="A785" s="33"/>
      <c r="B785" s="33"/>
      <c r="C785" s="33"/>
      <c r="D785" s="33"/>
      <c r="E785" s="34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</row>
    <row r="786" spans="1:77" x14ac:dyDescent="0.3">
      <c r="A786" s="33"/>
      <c r="B786" s="33"/>
      <c r="C786" s="33"/>
      <c r="D786" s="33"/>
      <c r="E786" s="34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</row>
    <row r="787" spans="1:77" x14ac:dyDescent="0.3">
      <c r="A787" s="33"/>
      <c r="B787" s="33"/>
      <c r="C787" s="33"/>
      <c r="D787" s="33"/>
      <c r="E787" s="34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</row>
    <row r="788" spans="1:77" x14ac:dyDescent="0.3">
      <c r="A788" s="33"/>
      <c r="B788" s="33"/>
      <c r="C788" s="33"/>
      <c r="D788" s="33"/>
      <c r="E788" s="34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</row>
    <row r="789" spans="1:77" x14ac:dyDescent="0.3">
      <c r="A789" s="33"/>
      <c r="B789" s="33"/>
      <c r="C789" s="33"/>
      <c r="D789" s="33"/>
      <c r="E789" s="34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</row>
    <row r="790" spans="1:77" x14ac:dyDescent="0.3">
      <c r="A790" s="33"/>
      <c r="B790" s="33"/>
      <c r="C790" s="33"/>
      <c r="D790" s="33"/>
      <c r="E790" s="34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</row>
    <row r="791" spans="1:77" x14ac:dyDescent="0.3">
      <c r="A791" s="33"/>
      <c r="B791" s="33"/>
      <c r="C791" s="33"/>
      <c r="D791" s="33"/>
      <c r="E791" s="34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</row>
    <row r="792" spans="1:77" x14ac:dyDescent="0.3">
      <c r="A792" s="33"/>
      <c r="B792" s="33"/>
      <c r="C792" s="33"/>
      <c r="D792" s="33"/>
      <c r="E792" s="34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</row>
    <row r="793" spans="1:77" x14ac:dyDescent="0.3">
      <c r="A793" s="33"/>
      <c r="B793" s="33"/>
      <c r="C793" s="33"/>
      <c r="D793" s="33"/>
      <c r="E793" s="34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</row>
    <row r="794" spans="1:77" x14ac:dyDescent="0.3">
      <c r="A794" s="33"/>
      <c r="B794" s="33"/>
      <c r="C794" s="33"/>
      <c r="D794" s="33"/>
      <c r="E794" s="34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</row>
    <row r="795" spans="1:77" x14ac:dyDescent="0.3">
      <c r="A795" s="33"/>
      <c r="B795" s="33"/>
      <c r="C795" s="33"/>
      <c r="D795" s="33"/>
      <c r="E795" s="34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</row>
    <row r="796" spans="1:77" x14ac:dyDescent="0.3">
      <c r="A796" s="33"/>
      <c r="B796" s="33"/>
      <c r="C796" s="33"/>
      <c r="D796" s="33"/>
      <c r="E796" s="34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</row>
    <row r="797" spans="1:77" x14ac:dyDescent="0.3">
      <c r="A797" s="33"/>
      <c r="B797" s="33"/>
      <c r="C797" s="33"/>
      <c r="D797" s="33"/>
      <c r="E797" s="34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</row>
    <row r="798" spans="1:77" x14ac:dyDescent="0.3">
      <c r="A798" s="33"/>
      <c r="B798" s="33"/>
      <c r="C798" s="33"/>
      <c r="D798" s="33"/>
      <c r="E798" s="34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</row>
    <row r="799" spans="1:77" x14ac:dyDescent="0.3">
      <c r="A799" s="33"/>
      <c r="B799" s="33"/>
      <c r="C799" s="33"/>
      <c r="D799" s="33"/>
      <c r="E799" s="34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</row>
    <row r="800" spans="1:77" x14ac:dyDescent="0.3">
      <c r="A800" s="33"/>
      <c r="B800" s="33"/>
      <c r="C800" s="33"/>
      <c r="D800" s="33"/>
      <c r="E800" s="34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</row>
    <row r="801" spans="1:77" x14ac:dyDescent="0.3">
      <c r="A801" s="33"/>
      <c r="B801" s="33"/>
      <c r="C801" s="33"/>
      <c r="D801" s="33"/>
      <c r="E801" s="34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</row>
    <row r="802" spans="1:77" x14ac:dyDescent="0.3">
      <c r="A802" s="33"/>
      <c r="B802" s="33"/>
      <c r="C802" s="33"/>
      <c r="D802" s="33"/>
      <c r="E802" s="34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</row>
    <row r="803" spans="1:77" x14ac:dyDescent="0.3">
      <c r="A803" s="33"/>
      <c r="B803" s="33"/>
      <c r="C803" s="33"/>
      <c r="D803" s="33"/>
      <c r="E803" s="34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</row>
    <row r="804" spans="1:77" x14ac:dyDescent="0.3">
      <c r="A804" s="33"/>
      <c r="B804" s="33"/>
      <c r="C804" s="33"/>
      <c r="D804" s="33"/>
      <c r="E804" s="34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</row>
    <row r="805" spans="1:77" x14ac:dyDescent="0.3">
      <c r="A805" s="33"/>
      <c r="B805" s="33"/>
      <c r="C805" s="33"/>
      <c r="D805" s="33"/>
      <c r="E805" s="34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</row>
    <row r="806" spans="1:77" x14ac:dyDescent="0.3">
      <c r="A806" s="33"/>
      <c r="B806" s="33"/>
      <c r="C806" s="33"/>
      <c r="D806" s="33"/>
      <c r="E806" s="34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</row>
    <row r="807" spans="1:77" x14ac:dyDescent="0.3">
      <c r="A807" s="33"/>
      <c r="B807" s="33"/>
      <c r="C807" s="33"/>
      <c r="D807" s="33"/>
      <c r="E807" s="34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</row>
    <row r="808" spans="1:77" x14ac:dyDescent="0.3">
      <c r="A808" s="33"/>
      <c r="B808" s="33"/>
      <c r="C808" s="33"/>
      <c r="D808" s="33"/>
      <c r="E808" s="34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</row>
    <row r="809" spans="1:77" x14ac:dyDescent="0.3">
      <c r="A809" s="33"/>
      <c r="B809" s="33"/>
      <c r="C809" s="33"/>
      <c r="D809" s="33"/>
      <c r="E809" s="34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</row>
    <row r="810" spans="1:77" x14ac:dyDescent="0.3">
      <c r="A810" s="33"/>
      <c r="B810" s="33"/>
      <c r="C810" s="33"/>
      <c r="D810" s="33"/>
      <c r="E810" s="34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</row>
    <row r="811" spans="1:77" x14ac:dyDescent="0.3">
      <c r="A811" s="33"/>
      <c r="B811" s="33"/>
      <c r="C811" s="33"/>
      <c r="D811" s="33"/>
      <c r="E811" s="34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</row>
    <row r="812" spans="1:77" x14ac:dyDescent="0.3">
      <c r="A812" s="33"/>
      <c r="B812" s="33"/>
      <c r="C812" s="33"/>
      <c r="D812" s="33"/>
      <c r="E812" s="34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</row>
    <row r="813" spans="1:77" x14ac:dyDescent="0.3">
      <c r="A813" s="33"/>
      <c r="B813" s="33"/>
      <c r="C813" s="33"/>
      <c r="D813" s="33"/>
      <c r="E813" s="34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</row>
    <row r="814" spans="1:77" x14ac:dyDescent="0.3">
      <c r="A814" s="33"/>
      <c r="B814" s="33"/>
      <c r="C814" s="33"/>
      <c r="D814" s="33"/>
      <c r="E814" s="34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</row>
    <row r="815" spans="1:77" x14ac:dyDescent="0.3">
      <c r="A815" s="33"/>
      <c r="B815" s="33"/>
      <c r="C815" s="33"/>
      <c r="D815" s="33"/>
      <c r="E815" s="34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</row>
    <row r="816" spans="1:77" x14ac:dyDescent="0.3">
      <c r="A816" s="33"/>
      <c r="B816" s="33"/>
      <c r="C816" s="33"/>
      <c r="D816" s="33"/>
      <c r="E816" s="34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</row>
    <row r="817" spans="1:77" x14ac:dyDescent="0.3">
      <c r="A817" s="33"/>
      <c r="B817" s="33"/>
      <c r="C817" s="33"/>
      <c r="D817" s="33"/>
      <c r="E817" s="34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</row>
    <row r="818" spans="1:77" x14ac:dyDescent="0.3">
      <c r="A818" s="33"/>
      <c r="B818" s="33"/>
      <c r="C818" s="33"/>
      <c r="D818" s="33"/>
      <c r="E818" s="34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</row>
    <row r="819" spans="1:77" x14ac:dyDescent="0.3">
      <c r="A819" s="33"/>
      <c r="B819" s="33"/>
      <c r="C819" s="33"/>
      <c r="D819" s="33"/>
      <c r="E819" s="34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</row>
    <row r="820" spans="1:77" x14ac:dyDescent="0.3">
      <c r="A820" s="33"/>
      <c r="B820" s="33"/>
      <c r="C820" s="33"/>
      <c r="D820" s="33"/>
      <c r="E820" s="34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</row>
    <row r="821" spans="1:77" x14ac:dyDescent="0.3">
      <c r="A821" s="33"/>
      <c r="B821" s="33"/>
      <c r="C821" s="33"/>
      <c r="D821" s="33"/>
      <c r="E821" s="34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</row>
    <row r="822" spans="1:77" x14ac:dyDescent="0.3">
      <c r="A822" s="33"/>
      <c r="B822" s="33"/>
      <c r="C822" s="33"/>
      <c r="D822" s="33"/>
      <c r="E822" s="34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</row>
    <row r="823" spans="1:77" x14ac:dyDescent="0.3">
      <c r="A823" s="33"/>
      <c r="B823" s="33"/>
      <c r="C823" s="33"/>
      <c r="D823" s="33"/>
      <c r="E823" s="34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</row>
    <row r="824" spans="1:77" x14ac:dyDescent="0.3">
      <c r="A824" s="33"/>
      <c r="B824" s="33"/>
      <c r="C824" s="33"/>
      <c r="D824" s="33"/>
      <c r="E824" s="34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</row>
    <row r="825" spans="1:77" x14ac:dyDescent="0.3">
      <c r="A825" s="33"/>
      <c r="B825" s="33"/>
      <c r="C825" s="33"/>
      <c r="D825" s="33"/>
      <c r="E825" s="34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</row>
    <row r="826" spans="1:77" x14ac:dyDescent="0.3">
      <c r="A826" s="33"/>
      <c r="B826" s="33"/>
      <c r="C826" s="33"/>
      <c r="D826" s="33"/>
      <c r="E826" s="34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</row>
    <row r="827" spans="1:77" x14ac:dyDescent="0.3">
      <c r="A827" s="33"/>
      <c r="B827" s="33"/>
      <c r="C827" s="33"/>
      <c r="D827" s="33"/>
      <c r="E827" s="34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</row>
    <row r="828" spans="1:77" x14ac:dyDescent="0.3">
      <c r="A828" s="33"/>
      <c r="B828" s="33"/>
      <c r="C828" s="33"/>
      <c r="D828" s="33"/>
      <c r="E828" s="34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</row>
    <row r="829" spans="1:77" x14ac:dyDescent="0.3">
      <c r="A829" s="33"/>
      <c r="B829" s="33"/>
      <c r="C829" s="33"/>
      <c r="D829" s="33"/>
      <c r="E829" s="34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</row>
    <row r="830" spans="1:77" x14ac:dyDescent="0.3">
      <c r="A830" s="33"/>
      <c r="B830" s="33"/>
      <c r="C830" s="33"/>
      <c r="D830" s="33"/>
      <c r="E830" s="34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</row>
    <row r="831" spans="1:77" x14ac:dyDescent="0.3">
      <c r="A831" s="33"/>
      <c r="B831" s="33"/>
      <c r="C831" s="33"/>
      <c r="D831" s="33"/>
      <c r="E831" s="34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</row>
    <row r="832" spans="1:77" x14ac:dyDescent="0.3">
      <c r="A832" s="33"/>
      <c r="B832" s="33"/>
      <c r="C832" s="33"/>
      <c r="D832" s="33"/>
      <c r="E832" s="34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</row>
    <row r="833" spans="1:77" x14ac:dyDescent="0.3">
      <c r="A833" s="33"/>
      <c r="B833" s="33"/>
      <c r="C833" s="33"/>
      <c r="D833" s="33"/>
      <c r="E833" s="34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</row>
    <row r="834" spans="1:77" x14ac:dyDescent="0.3">
      <c r="A834" s="33"/>
      <c r="B834" s="33"/>
      <c r="C834" s="33"/>
      <c r="D834" s="33"/>
      <c r="E834" s="34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</row>
    <row r="835" spans="1:77" x14ac:dyDescent="0.3">
      <c r="A835" s="33"/>
      <c r="B835" s="33"/>
      <c r="C835" s="33"/>
      <c r="D835" s="33"/>
      <c r="E835" s="34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</row>
    <row r="836" spans="1:77" x14ac:dyDescent="0.3">
      <c r="A836" s="33"/>
      <c r="B836" s="33"/>
      <c r="C836" s="33"/>
      <c r="D836" s="33"/>
      <c r="E836" s="34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</row>
    <row r="837" spans="1:77" x14ac:dyDescent="0.3">
      <c r="A837" s="33"/>
      <c r="B837" s="33"/>
      <c r="C837" s="33"/>
      <c r="D837" s="33"/>
      <c r="E837" s="34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</row>
    <row r="838" spans="1:77" x14ac:dyDescent="0.3">
      <c r="A838" s="33"/>
      <c r="B838" s="33"/>
      <c r="C838" s="33"/>
      <c r="D838" s="33"/>
      <c r="E838" s="34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</row>
    <row r="839" spans="1:77" x14ac:dyDescent="0.3">
      <c r="A839" s="33"/>
      <c r="B839" s="33"/>
      <c r="C839" s="33"/>
      <c r="D839" s="33"/>
      <c r="E839" s="34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</row>
    <row r="840" spans="1:77" x14ac:dyDescent="0.3">
      <c r="A840" s="33"/>
      <c r="B840" s="33"/>
      <c r="C840" s="33"/>
      <c r="D840" s="33"/>
      <c r="E840" s="34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</row>
    <row r="841" spans="1:77" x14ac:dyDescent="0.3">
      <c r="A841" s="33"/>
      <c r="B841" s="33"/>
      <c r="C841" s="33"/>
      <c r="D841" s="33"/>
      <c r="E841" s="34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</row>
    <row r="842" spans="1:77" x14ac:dyDescent="0.3">
      <c r="A842" s="33"/>
      <c r="B842" s="33"/>
      <c r="C842" s="33"/>
      <c r="D842" s="33"/>
      <c r="E842" s="34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</row>
    <row r="843" spans="1:77" x14ac:dyDescent="0.3">
      <c r="A843" s="33"/>
      <c r="B843" s="33"/>
      <c r="C843" s="33"/>
      <c r="D843" s="33"/>
      <c r="E843" s="34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</row>
    <row r="844" spans="1:77" x14ac:dyDescent="0.3">
      <c r="A844" s="33"/>
      <c r="B844" s="33"/>
      <c r="C844" s="33"/>
      <c r="D844" s="33"/>
      <c r="E844" s="34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</row>
    <row r="845" spans="1:77" x14ac:dyDescent="0.3">
      <c r="A845" s="33"/>
      <c r="B845" s="33"/>
      <c r="C845" s="33"/>
      <c r="D845" s="33"/>
      <c r="E845" s="34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</row>
    <row r="846" spans="1:77" x14ac:dyDescent="0.3">
      <c r="A846" s="33"/>
      <c r="B846" s="33"/>
      <c r="C846" s="33"/>
      <c r="D846" s="33"/>
      <c r="E846" s="34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</row>
    <row r="847" spans="1:77" x14ac:dyDescent="0.3">
      <c r="A847" s="33"/>
      <c r="B847" s="33"/>
      <c r="C847" s="33"/>
      <c r="D847" s="33"/>
      <c r="E847" s="34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</row>
    <row r="848" spans="1:77" x14ac:dyDescent="0.3">
      <c r="A848" s="33"/>
      <c r="B848" s="33"/>
      <c r="C848" s="33"/>
      <c r="D848" s="33"/>
      <c r="E848" s="34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</row>
    <row r="849" spans="1:77" x14ac:dyDescent="0.3">
      <c r="A849" s="33"/>
      <c r="B849" s="33"/>
      <c r="C849" s="33"/>
      <c r="D849" s="33"/>
      <c r="E849" s="34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</row>
    <row r="850" spans="1:77" x14ac:dyDescent="0.3">
      <c r="A850" s="33"/>
      <c r="B850" s="33"/>
      <c r="C850" s="33"/>
      <c r="D850" s="33"/>
      <c r="E850" s="34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</row>
    <row r="851" spans="1:77" x14ac:dyDescent="0.3">
      <c r="A851" s="33"/>
      <c r="B851" s="33"/>
      <c r="C851" s="33"/>
      <c r="D851" s="33"/>
      <c r="E851" s="34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</row>
    <row r="852" spans="1:77" x14ac:dyDescent="0.3">
      <c r="A852" s="33"/>
      <c r="B852" s="33"/>
      <c r="C852" s="33"/>
      <c r="D852" s="33"/>
      <c r="E852" s="34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</row>
    <row r="853" spans="1:77" x14ac:dyDescent="0.3">
      <c r="A853" s="33"/>
      <c r="B853" s="33"/>
      <c r="C853" s="33"/>
      <c r="D853" s="33"/>
      <c r="E853" s="34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</row>
    <row r="854" spans="1:77" x14ac:dyDescent="0.3">
      <c r="A854" s="33"/>
      <c r="B854" s="33"/>
      <c r="C854" s="33"/>
      <c r="D854" s="33"/>
      <c r="E854" s="34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</row>
    <row r="855" spans="1:77" x14ac:dyDescent="0.3">
      <c r="A855" s="33"/>
      <c r="B855" s="33"/>
      <c r="C855" s="33"/>
      <c r="D855" s="33"/>
      <c r="E855" s="34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</row>
    <row r="856" spans="1:77" x14ac:dyDescent="0.3">
      <c r="A856" s="33"/>
      <c r="B856" s="33"/>
      <c r="C856" s="33"/>
      <c r="D856" s="33"/>
      <c r="E856" s="34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</row>
    <row r="857" spans="1:77" x14ac:dyDescent="0.3">
      <c r="A857" s="33"/>
      <c r="B857" s="33"/>
      <c r="C857" s="33"/>
      <c r="D857" s="33"/>
      <c r="E857" s="34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</row>
    <row r="858" spans="1:77" x14ac:dyDescent="0.3">
      <c r="A858" s="33"/>
      <c r="B858" s="33"/>
      <c r="C858" s="33"/>
      <c r="D858" s="33"/>
      <c r="E858" s="34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</row>
    <row r="859" spans="1:77" x14ac:dyDescent="0.3">
      <c r="A859" s="33"/>
      <c r="B859" s="33"/>
      <c r="C859" s="33"/>
      <c r="D859" s="33"/>
      <c r="E859" s="34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</row>
    <row r="860" spans="1:77" x14ac:dyDescent="0.3">
      <c r="A860" s="33"/>
      <c r="B860" s="33"/>
      <c r="C860" s="33"/>
      <c r="D860" s="33"/>
      <c r="E860" s="34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</row>
    <row r="861" spans="1:77" x14ac:dyDescent="0.3">
      <c r="A861" s="33"/>
      <c r="B861" s="33"/>
      <c r="C861" s="33"/>
      <c r="D861" s="33"/>
      <c r="E861" s="34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</row>
    <row r="862" spans="1:77" x14ac:dyDescent="0.3">
      <c r="A862" s="33"/>
      <c r="B862" s="33"/>
      <c r="C862" s="33"/>
      <c r="D862" s="33"/>
      <c r="E862" s="34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</row>
    <row r="863" spans="1:77" x14ac:dyDescent="0.3">
      <c r="A863" s="33"/>
      <c r="B863" s="33"/>
      <c r="C863" s="33"/>
      <c r="D863" s="33"/>
      <c r="E863" s="34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</row>
    <row r="864" spans="1:77" x14ac:dyDescent="0.3">
      <c r="A864" s="33"/>
      <c r="B864" s="33"/>
      <c r="C864" s="33"/>
      <c r="D864" s="33"/>
      <c r="E864" s="34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</row>
    <row r="865" spans="1:77" x14ac:dyDescent="0.3">
      <c r="A865" s="33"/>
      <c r="B865" s="33"/>
      <c r="C865" s="33"/>
      <c r="D865" s="33"/>
      <c r="E865" s="34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</row>
    <row r="866" spans="1:77" x14ac:dyDescent="0.3">
      <c r="A866" s="33"/>
      <c r="B866" s="33"/>
      <c r="C866" s="33"/>
      <c r="D866" s="33"/>
      <c r="E866" s="34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</row>
    <row r="867" spans="1:77" x14ac:dyDescent="0.3">
      <c r="A867" s="33"/>
      <c r="B867" s="33"/>
      <c r="C867" s="33"/>
      <c r="D867" s="33"/>
      <c r="E867" s="34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</row>
    <row r="868" spans="1:77" x14ac:dyDescent="0.3">
      <c r="A868" s="33"/>
      <c r="B868" s="33"/>
      <c r="C868" s="33"/>
      <c r="D868" s="33"/>
      <c r="E868" s="34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</row>
    <row r="869" spans="1:77" x14ac:dyDescent="0.3">
      <c r="A869" s="33"/>
      <c r="B869" s="33"/>
      <c r="C869" s="33"/>
      <c r="D869" s="33"/>
      <c r="E869" s="34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</row>
    <row r="870" spans="1:77" x14ac:dyDescent="0.3">
      <c r="A870" s="33"/>
      <c r="B870" s="33"/>
      <c r="C870" s="33"/>
      <c r="D870" s="33"/>
      <c r="E870" s="34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</row>
    <row r="871" spans="1:77" x14ac:dyDescent="0.3">
      <c r="A871" s="33"/>
      <c r="B871" s="33"/>
      <c r="C871" s="33"/>
      <c r="D871" s="33"/>
      <c r="E871" s="34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</row>
    <row r="872" spans="1:77" x14ac:dyDescent="0.3">
      <c r="A872" s="33"/>
      <c r="B872" s="33"/>
      <c r="C872" s="33"/>
      <c r="D872" s="33"/>
      <c r="E872" s="34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</row>
    <row r="873" spans="1:77" x14ac:dyDescent="0.3">
      <c r="A873" s="33"/>
      <c r="B873" s="33"/>
      <c r="C873" s="33"/>
      <c r="D873" s="33"/>
      <c r="E873" s="34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</row>
    <row r="874" spans="1:77" x14ac:dyDescent="0.3">
      <c r="A874" s="33"/>
      <c r="B874" s="33"/>
      <c r="C874" s="33"/>
      <c r="D874" s="33"/>
      <c r="E874" s="34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</row>
    <row r="875" spans="1:77" x14ac:dyDescent="0.3">
      <c r="A875" s="33"/>
      <c r="B875" s="33"/>
      <c r="C875" s="33"/>
      <c r="D875" s="33"/>
      <c r="E875" s="34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</row>
    <row r="876" spans="1:77" x14ac:dyDescent="0.3">
      <c r="A876" s="33"/>
      <c r="B876" s="33"/>
      <c r="C876" s="33"/>
      <c r="D876" s="33"/>
      <c r="E876" s="34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</row>
    <row r="877" spans="1:77" x14ac:dyDescent="0.3">
      <c r="A877" s="33"/>
      <c r="B877" s="33"/>
      <c r="C877" s="33"/>
      <c r="D877" s="33"/>
      <c r="E877" s="34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</row>
    <row r="878" spans="1:77" x14ac:dyDescent="0.3">
      <c r="A878" s="33"/>
      <c r="B878" s="33"/>
      <c r="C878" s="33"/>
      <c r="D878" s="33"/>
      <c r="E878" s="34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</row>
    <row r="879" spans="1:77" x14ac:dyDescent="0.3">
      <c r="A879" s="33"/>
      <c r="B879" s="33"/>
      <c r="C879" s="33"/>
      <c r="D879" s="33"/>
      <c r="E879" s="34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</row>
    <row r="880" spans="1:77" x14ac:dyDescent="0.3">
      <c r="A880" s="33"/>
      <c r="B880" s="33"/>
      <c r="C880" s="33"/>
      <c r="D880" s="33"/>
      <c r="E880" s="34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</row>
    <row r="881" spans="1:77" x14ac:dyDescent="0.3">
      <c r="A881" s="33"/>
      <c r="B881" s="33"/>
      <c r="C881" s="33"/>
      <c r="D881" s="33"/>
      <c r="E881" s="34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</row>
    <row r="882" spans="1:77" x14ac:dyDescent="0.3">
      <c r="A882" s="33"/>
      <c r="B882" s="33"/>
      <c r="C882" s="33"/>
      <c r="D882" s="33"/>
      <c r="E882" s="34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</row>
    <row r="883" spans="1:77" x14ac:dyDescent="0.3">
      <c r="A883" s="33"/>
      <c r="B883" s="33"/>
      <c r="C883" s="33"/>
      <c r="D883" s="33"/>
      <c r="E883" s="34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</row>
    <row r="884" spans="1:77" x14ac:dyDescent="0.3">
      <c r="A884" s="33"/>
      <c r="B884" s="33"/>
      <c r="C884" s="33"/>
      <c r="D884" s="33"/>
      <c r="E884" s="34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</row>
    <row r="885" spans="1:77" x14ac:dyDescent="0.3">
      <c r="A885" s="33"/>
      <c r="B885" s="33"/>
      <c r="C885" s="33"/>
      <c r="D885" s="33"/>
      <c r="E885" s="34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</row>
    <row r="886" spans="1:77" x14ac:dyDescent="0.3">
      <c r="A886" s="33"/>
      <c r="B886" s="33"/>
      <c r="C886" s="33"/>
      <c r="D886" s="33"/>
      <c r="E886" s="34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</row>
    <row r="887" spans="1:77" x14ac:dyDescent="0.3">
      <c r="A887" s="33"/>
      <c r="B887" s="33"/>
      <c r="C887" s="33"/>
      <c r="D887" s="33"/>
      <c r="E887" s="34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</row>
    <row r="888" spans="1:77" x14ac:dyDescent="0.3">
      <c r="A888" s="33"/>
      <c r="B888" s="33"/>
      <c r="C888" s="33"/>
      <c r="D888" s="33"/>
      <c r="E888" s="34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</row>
    <row r="889" spans="1:77" x14ac:dyDescent="0.3">
      <c r="A889" s="33"/>
      <c r="B889" s="33"/>
      <c r="C889" s="33"/>
      <c r="D889" s="33"/>
      <c r="E889" s="34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</row>
    <row r="890" spans="1:77" x14ac:dyDescent="0.3">
      <c r="A890" s="33"/>
      <c r="B890" s="33"/>
      <c r="C890" s="33"/>
      <c r="D890" s="33"/>
      <c r="E890" s="34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</row>
    <row r="891" spans="1:77" x14ac:dyDescent="0.3">
      <c r="A891" s="33"/>
      <c r="B891" s="33"/>
      <c r="C891" s="33"/>
      <c r="D891" s="33"/>
      <c r="E891" s="34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</row>
    <row r="892" spans="1:77" x14ac:dyDescent="0.3">
      <c r="A892" s="33"/>
      <c r="B892" s="33"/>
      <c r="C892" s="33"/>
      <c r="D892" s="33"/>
      <c r="E892" s="34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</row>
    <row r="893" spans="1:77" x14ac:dyDescent="0.3">
      <c r="A893" s="33"/>
      <c r="B893" s="33"/>
      <c r="C893" s="33"/>
      <c r="D893" s="33"/>
      <c r="E893" s="34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</row>
    <row r="894" spans="1:77" x14ac:dyDescent="0.3">
      <c r="A894" s="33"/>
      <c r="B894" s="33"/>
      <c r="C894" s="33"/>
      <c r="D894" s="33"/>
      <c r="E894" s="34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</row>
    <row r="895" spans="1:77" x14ac:dyDescent="0.3">
      <c r="A895" s="33"/>
      <c r="B895" s="33"/>
      <c r="C895" s="33"/>
      <c r="D895" s="33"/>
      <c r="E895" s="34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</row>
    <row r="896" spans="1:77" x14ac:dyDescent="0.3">
      <c r="A896" s="33"/>
      <c r="B896" s="33"/>
      <c r="C896" s="33"/>
      <c r="D896" s="33"/>
      <c r="E896" s="34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</row>
    <row r="897" spans="1:77" x14ac:dyDescent="0.3">
      <c r="A897" s="33"/>
      <c r="B897" s="33"/>
      <c r="C897" s="33"/>
      <c r="D897" s="33"/>
      <c r="E897" s="34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</row>
    <row r="898" spans="1:77" x14ac:dyDescent="0.3">
      <c r="A898" s="33"/>
      <c r="B898" s="33"/>
      <c r="C898" s="33"/>
      <c r="D898" s="33"/>
      <c r="E898" s="34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</row>
    <row r="899" spans="1:77" x14ac:dyDescent="0.3">
      <c r="A899" s="33"/>
      <c r="B899" s="33"/>
      <c r="C899" s="33"/>
      <c r="D899" s="33"/>
      <c r="E899" s="34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</row>
    <row r="900" spans="1:77" x14ac:dyDescent="0.3">
      <c r="A900" s="33"/>
      <c r="B900" s="33"/>
      <c r="C900" s="33"/>
      <c r="D900" s="33"/>
      <c r="E900" s="34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</row>
    <row r="901" spans="1:77" x14ac:dyDescent="0.3">
      <c r="A901" s="33"/>
      <c r="B901" s="33"/>
      <c r="C901" s="33"/>
      <c r="D901" s="33"/>
      <c r="E901" s="34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</row>
    <row r="902" spans="1:77" x14ac:dyDescent="0.3">
      <c r="A902" s="33"/>
      <c r="B902" s="33"/>
      <c r="C902" s="33"/>
      <c r="D902" s="33"/>
      <c r="E902" s="34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</row>
    <row r="903" spans="1:77" x14ac:dyDescent="0.3">
      <c r="A903" s="33"/>
      <c r="B903" s="33"/>
      <c r="C903" s="33"/>
      <c r="D903" s="33"/>
      <c r="E903" s="34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</row>
    <row r="904" spans="1:77" x14ac:dyDescent="0.3">
      <c r="A904" s="33"/>
      <c r="B904" s="33"/>
      <c r="C904" s="33"/>
      <c r="D904" s="33"/>
      <c r="E904" s="34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</row>
    <row r="905" spans="1:77" x14ac:dyDescent="0.3">
      <c r="A905" s="33"/>
      <c r="B905" s="33"/>
      <c r="C905" s="33"/>
      <c r="D905" s="33"/>
      <c r="E905" s="34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</row>
    <row r="906" spans="1:77" x14ac:dyDescent="0.3">
      <c r="A906" s="33"/>
      <c r="B906" s="33"/>
      <c r="C906" s="33"/>
      <c r="D906" s="33"/>
      <c r="E906" s="34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</row>
    <row r="907" spans="1:77" x14ac:dyDescent="0.3">
      <c r="A907" s="33"/>
      <c r="B907" s="33"/>
      <c r="C907" s="33"/>
      <c r="D907" s="33"/>
      <c r="E907" s="34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</row>
    <row r="908" spans="1:77" x14ac:dyDescent="0.3">
      <c r="A908" s="33"/>
      <c r="B908" s="33"/>
      <c r="C908" s="33"/>
      <c r="D908" s="33"/>
      <c r="E908" s="34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</row>
    <row r="909" spans="1:77" x14ac:dyDescent="0.3">
      <c r="A909" s="33"/>
      <c r="B909" s="33"/>
      <c r="C909" s="33"/>
      <c r="D909" s="33"/>
      <c r="E909" s="34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</row>
    <row r="910" spans="1:77" x14ac:dyDescent="0.3">
      <c r="A910" s="33"/>
      <c r="B910" s="33"/>
      <c r="C910" s="33"/>
      <c r="D910" s="33"/>
      <c r="E910" s="34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</row>
    <row r="911" spans="1:77" x14ac:dyDescent="0.3">
      <c r="A911" s="33"/>
      <c r="B911" s="33"/>
      <c r="C911" s="33"/>
      <c r="D911" s="33"/>
      <c r="E911" s="34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</row>
    <row r="912" spans="1:77" x14ac:dyDescent="0.3">
      <c r="A912" s="33"/>
      <c r="B912" s="33"/>
      <c r="C912" s="33"/>
      <c r="D912" s="33"/>
      <c r="E912" s="34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</row>
    <row r="913" spans="1:77" x14ac:dyDescent="0.3">
      <c r="A913" s="33"/>
      <c r="B913" s="33"/>
      <c r="C913" s="33"/>
      <c r="D913" s="33"/>
      <c r="E913" s="34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</row>
    <row r="914" spans="1:77" x14ac:dyDescent="0.3">
      <c r="A914" s="33"/>
      <c r="B914" s="33"/>
      <c r="C914" s="33"/>
      <c r="D914" s="33"/>
      <c r="E914" s="34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</row>
    <row r="915" spans="1:77" x14ac:dyDescent="0.3">
      <c r="A915" s="33"/>
      <c r="B915" s="33"/>
      <c r="C915" s="33"/>
      <c r="D915" s="33"/>
      <c r="E915" s="34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</row>
    <row r="916" spans="1:77" x14ac:dyDescent="0.3">
      <c r="A916" s="33"/>
      <c r="B916" s="33"/>
      <c r="C916" s="33"/>
      <c r="D916" s="33"/>
      <c r="E916" s="34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</row>
    <row r="917" spans="1:77" x14ac:dyDescent="0.3">
      <c r="A917" s="33"/>
      <c r="B917" s="33"/>
      <c r="C917" s="33"/>
      <c r="D917" s="33"/>
      <c r="E917" s="34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</row>
    <row r="918" spans="1:77" x14ac:dyDescent="0.3">
      <c r="A918" s="33"/>
      <c r="B918" s="33"/>
      <c r="C918" s="33"/>
      <c r="D918" s="33"/>
      <c r="E918" s="34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</row>
    <row r="919" spans="1:77" x14ac:dyDescent="0.3">
      <c r="A919" s="33"/>
      <c r="B919" s="33"/>
      <c r="C919" s="33"/>
      <c r="D919" s="33"/>
      <c r="E919" s="34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</row>
    <row r="920" spans="1:77" x14ac:dyDescent="0.3">
      <c r="A920" s="33"/>
      <c r="B920" s="33"/>
      <c r="C920" s="33"/>
      <c r="D920" s="33"/>
      <c r="E920" s="34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</row>
    <row r="921" spans="1:77" x14ac:dyDescent="0.3">
      <c r="A921" s="33"/>
      <c r="B921" s="33"/>
      <c r="C921" s="33"/>
      <c r="D921" s="33"/>
      <c r="E921" s="34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</row>
    <row r="922" spans="1:77" x14ac:dyDescent="0.3">
      <c r="A922" s="33"/>
      <c r="B922" s="33"/>
      <c r="C922" s="33"/>
      <c r="D922" s="33"/>
      <c r="E922" s="34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</row>
    <row r="923" spans="1:77" x14ac:dyDescent="0.3">
      <c r="A923" s="33"/>
      <c r="B923" s="33"/>
      <c r="C923" s="33"/>
      <c r="D923" s="33"/>
      <c r="E923" s="34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</row>
    <row r="924" spans="1:77" x14ac:dyDescent="0.3">
      <c r="A924" s="33"/>
      <c r="B924" s="33"/>
      <c r="C924" s="33"/>
      <c r="D924" s="33"/>
      <c r="E924" s="34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</row>
    <row r="925" spans="1:77" x14ac:dyDescent="0.3">
      <c r="A925" s="33"/>
      <c r="B925" s="33"/>
      <c r="C925" s="33"/>
      <c r="D925" s="33"/>
      <c r="E925" s="34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</row>
    <row r="926" spans="1:77" x14ac:dyDescent="0.3">
      <c r="A926" s="33"/>
      <c r="B926" s="33"/>
      <c r="C926" s="33"/>
      <c r="D926" s="33"/>
      <c r="E926" s="34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</row>
    <row r="927" spans="1:77" x14ac:dyDescent="0.3">
      <c r="A927" s="33"/>
      <c r="B927" s="33"/>
      <c r="C927" s="33"/>
      <c r="D927" s="33"/>
      <c r="E927" s="34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</row>
    <row r="928" spans="1:77" x14ac:dyDescent="0.3">
      <c r="A928" s="33"/>
      <c r="B928" s="33"/>
      <c r="C928" s="33"/>
      <c r="D928" s="33"/>
      <c r="E928" s="34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</row>
    <row r="929" spans="1:77" x14ac:dyDescent="0.3">
      <c r="A929" s="33"/>
      <c r="B929" s="33"/>
      <c r="C929" s="33"/>
      <c r="D929" s="33"/>
      <c r="E929" s="34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</row>
    <row r="930" spans="1:77" x14ac:dyDescent="0.3">
      <c r="A930" s="33"/>
      <c r="B930" s="33"/>
      <c r="C930" s="33"/>
      <c r="D930" s="33"/>
      <c r="E930" s="34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</row>
    <row r="931" spans="1:77" x14ac:dyDescent="0.3">
      <c r="A931" s="33"/>
      <c r="B931" s="33"/>
      <c r="C931" s="33"/>
      <c r="D931" s="33"/>
      <c r="E931" s="34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</row>
    <row r="932" spans="1:77" x14ac:dyDescent="0.3">
      <c r="A932" s="33"/>
      <c r="B932" s="33"/>
      <c r="C932" s="33"/>
      <c r="D932" s="33"/>
      <c r="E932" s="34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</row>
    <row r="933" spans="1:77" x14ac:dyDescent="0.3">
      <c r="A933" s="33"/>
      <c r="B933" s="33"/>
      <c r="C933" s="33"/>
      <c r="D933" s="33"/>
      <c r="E933" s="34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</row>
    <row r="934" spans="1:77" x14ac:dyDescent="0.3">
      <c r="A934" s="33"/>
      <c r="B934" s="33"/>
      <c r="C934" s="33"/>
      <c r="D934" s="33"/>
      <c r="E934" s="34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</row>
    <row r="935" spans="1:77" x14ac:dyDescent="0.3">
      <c r="A935" s="33"/>
      <c r="B935" s="33"/>
      <c r="C935" s="33"/>
      <c r="D935" s="33"/>
      <c r="E935" s="34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</row>
    <row r="936" spans="1:77" x14ac:dyDescent="0.3">
      <c r="A936" s="33"/>
      <c r="B936" s="33"/>
      <c r="C936" s="33"/>
      <c r="D936" s="33"/>
      <c r="E936" s="34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</row>
    <row r="937" spans="1:77" x14ac:dyDescent="0.3">
      <c r="A937" s="33"/>
      <c r="B937" s="33"/>
      <c r="C937" s="33"/>
      <c r="D937" s="33"/>
      <c r="E937" s="34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</row>
    <row r="938" spans="1:77" x14ac:dyDescent="0.3">
      <c r="A938" s="33"/>
      <c r="B938" s="33"/>
      <c r="C938" s="33"/>
      <c r="D938" s="33"/>
      <c r="E938" s="34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</row>
    <row r="939" spans="1:77" x14ac:dyDescent="0.3">
      <c r="A939" s="33"/>
      <c r="B939" s="33"/>
      <c r="C939" s="33"/>
      <c r="D939" s="33"/>
      <c r="E939" s="34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</row>
    <row r="940" spans="1:77" x14ac:dyDescent="0.3">
      <c r="A940" s="33"/>
      <c r="B940" s="33"/>
      <c r="C940" s="33"/>
      <c r="D940" s="33"/>
      <c r="E940" s="34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</row>
    <row r="941" spans="1:77" x14ac:dyDescent="0.3">
      <c r="A941" s="33"/>
      <c r="B941" s="33"/>
      <c r="C941" s="33"/>
      <c r="D941" s="33"/>
      <c r="E941" s="34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</row>
    <row r="942" spans="1:77" x14ac:dyDescent="0.3">
      <c r="A942" s="33"/>
      <c r="B942" s="33"/>
      <c r="C942" s="33"/>
      <c r="D942" s="33"/>
      <c r="E942" s="34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</row>
    <row r="943" spans="1:77" x14ac:dyDescent="0.3">
      <c r="A943" s="33"/>
      <c r="B943" s="33"/>
      <c r="C943" s="33"/>
      <c r="D943" s="33"/>
      <c r="E943" s="34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</row>
    <row r="944" spans="1:77" x14ac:dyDescent="0.3">
      <c r="A944" s="33"/>
      <c r="B944" s="33"/>
      <c r="C944" s="33"/>
      <c r="D944" s="33"/>
      <c r="E944" s="34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</row>
    <row r="945" spans="1:77" x14ac:dyDescent="0.3">
      <c r="A945" s="33"/>
      <c r="B945" s="33"/>
      <c r="C945" s="33"/>
      <c r="D945" s="33"/>
      <c r="E945" s="34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</row>
    <row r="946" spans="1:77" x14ac:dyDescent="0.3">
      <c r="A946" s="33"/>
      <c r="B946" s="33"/>
      <c r="C946" s="33"/>
      <c r="D946" s="33"/>
      <c r="E946" s="34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</row>
    <row r="947" spans="1:77" x14ac:dyDescent="0.3">
      <c r="A947" s="33"/>
      <c r="B947" s="33"/>
      <c r="C947" s="33"/>
      <c r="D947" s="33"/>
      <c r="E947" s="34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</row>
    <row r="948" spans="1:77" x14ac:dyDescent="0.3">
      <c r="A948" s="33"/>
      <c r="B948" s="33"/>
      <c r="C948" s="33"/>
      <c r="D948" s="33"/>
      <c r="E948" s="34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</row>
    <row r="949" spans="1:77" x14ac:dyDescent="0.3">
      <c r="A949" s="33"/>
      <c r="B949" s="33"/>
      <c r="C949" s="33"/>
      <c r="D949" s="33"/>
      <c r="E949" s="34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</row>
    <row r="950" spans="1:77" x14ac:dyDescent="0.3">
      <c r="A950" s="33"/>
      <c r="B950" s="33"/>
      <c r="C950" s="33"/>
      <c r="D950" s="33"/>
      <c r="E950" s="34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</row>
    <row r="951" spans="1:77" x14ac:dyDescent="0.3">
      <c r="A951" s="33"/>
      <c r="B951" s="33"/>
      <c r="C951" s="33"/>
      <c r="D951" s="33"/>
      <c r="E951" s="34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</row>
    <row r="952" spans="1:77" x14ac:dyDescent="0.3">
      <c r="A952" s="33"/>
      <c r="B952" s="33"/>
      <c r="C952" s="33"/>
      <c r="D952" s="33"/>
      <c r="E952" s="34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</row>
    <row r="953" spans="1:77" x14ac:dyDescent="0.3">
      <c r="A953" s="33"/>
      <c r="B953" s="33"/>
      <c r="C953" s="33"/>
      <c r="D953" s="33"/>
      <c r="E953" s="34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</row>
    <row r="954" spans="1:77" x14ac:dyDescent="0.3">
      <c r="A954" s="33"/>
      <c r="B954" s="33"/>
      <c r="C954" s="33"/>
      <c r="D954" s="33"/>
      <c r="E954" s="34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</row>
    <row r="955" spans="1:77" x14ac:dyDescent="0.3">
      <c r="A955" s="33"/>
      <c r="B955" s="33"/>
      <c r="C955" s="33"/>
      <c r="D955" s="33"/>
      <c r="E955" s="34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</row>
    <row r="956" spans="1:77" x14ac:dyDescent="0.3">
      <c r="A956" s="33"/>
      <c r="B956" s="33"/>
      <c r="C956" s="33"/>
      <c r="D956" s="33"/>
      <c r="E956" s="34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</row>
    <row r="957" spans="1:77" x14ac:dyDescent="0.3">
      <c r="A957" s="33"/>
      <c r="B957" s="33"/>
      <c r="C957" s="33"/>
      <c r="D957" s="33"/>
      <c r="E957" s="34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</row>
    <row r="958" spans="1:77" x14ac:dyDescent="0.3">
      <c r="A958" s="33"/>
      <c r="B958" s="33"/>
      <c r="C958" s="33"/>
      <c r="D958" s="33"/>
      <c r="E958" s="34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</row>
    <row r="959" spans="1:77" x14ac:dyDescent="0.3">
      <c r="A959" s="33"/>
      <c r="B959" s="33"/>
      <c r="C959" s="33"/>
      <c r="D959" s="33"/>
      <c r="E959" s="34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</row>
    <row r="960" spans="1:77" x14ac:dyDescent="0.3">
      <c r="A960" s="33"/>
      <c r="B960" s="33"/>
      <c r="C960" s="33"/>
      <c r="D960" s="33"/>
      <c r="E960" s="34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</row>
    <row r="961" spans="1:77" x14ac:dyDescent="0.3">
      <c r="A961" s="33"/>
      <c r="B961" s="33"/>
      <c r="C961" s="33"/>
      <c r="D961" s="33"/>
      <c r="E961" s="34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</row>
    <row r="962" spans="1:77" x14ac:dyDescent="0.3">
      <c r="A962" s="33"/>
      <c r="B962" s="33"/>
      <c r="C962" s="33"/>
      <c r="D962" s="33"/>
      <c r="E962" s="34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</row>
    <row r="963" spans="1:77" x14ac:dyDescent="0.3">
      <c r="A963" s="33"/>
      <c r="B963" s="33"/>
      <c r="C963" s="33"/>
      <c r="D963" s="33"/>
      <c r="E963" s="34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</row>
    <row r="964" spans="1:77" x14ac:dyDescent="0.3">
      <c r="A964" s="33"/>
      <c r="B964" s="33"/>
      <c r="C964" s="33"/>
      <c r="D964" s="33"/>
      <c r="E964" s="34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</row>
    <row r="965" spans="1:77" x14ac:dyDescent="0.3">
      <c r="A965" s="33"/>
      <c r="B965" s="33"/>
      <c r="C965" s="33"/>
      <c r="D965" s="33"/>
      <c r="E965" s="34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</row>
    <row r="966" spans="1:77" x14ac:dyDescent="0.3">
      <c r="A966" s="33"/>
      <c r="B966" s="33"/>
      <c r="C966" s="33"/>
      <c r="D966" s="33"/>
      <c r="E966" s="34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</row>
    <row r="967" spans="1:77" x14ac:dyDescent="0.3">
      <c r="A967" s="33"/>
      <c r="B967" s="33"/>
      <c r="C967" s="33"/>
      <c r="D967" s="33"/>
      <c r="E967" s="34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</row>
    <row r="968" spans="1:77" x14ac:dyDescent="0.3">
      <c r="A968" s="33"/>
      <c r="B968" s="33"/>
      <c r="C968" s="33"/>
      <c r="D968" s="33"/>
      <c r="E968" s="34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</row>
    <row r="969" spans="1:77" x14ac:dyDescent="0.3">
      <c r="A969" s="33"/>
      <c r="B969" s="33"/>
      <c r="C969" s="33"/>
      <c r="D969" s="33"/>
      <c r="E969" s="34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</row>
    <row r="970" spans="1:77" x14ac:dyDescent="0.3">
      <c r="A970" s="33"/>
      <c r="B970" s="33"/>
      <c r="C970" s="33"/>
      <c r="D970" s="33"/>
      <c r="E970" s="34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</row>
    <row r="971" spans="1:77" x14ac:dyDescent="0.3">
      <c r="A971" s="33"/>
      <c r="B971" s="33"/>
      <c r="C971" s="33"/>
      <c r="D971" s="33"/>
      <c r="E971" s="34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</row>
    <row r="972" spans="1:77" x14ac:dyDescent="0.3">
      <c r="A972" s="33"/>
      <c r="B972" s="33"/>
      <c r="C972" s="33"/>
      <c r="D972" s="33"/>
      <c r="E972" s="34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</row>
    <row r="973" spans="1:77" x14ac:dyDescent="0.3">
      <c r="A973" s="33"/>
      <c r="B973" s="33"/>
      <c r="C973" s="33"/>
      <c r="D973" s="33"/>
      <c r="E973" s="34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</row>
    <row r="974" spans="1:77" x14ac:dyDescent="0.3">
      <c r="A974" s="33"/>
      <c r="B974" s="33"/>
      <c r="C974" s="33"/>
      <c r="D974" s="33"/>
      <c r="E974" s="34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</row>
    <row r="975" spans="1:77" x14ac:dyDescent="0.3">
      <c r="A975" s="33"/>
      <c r="B975" s="33"/>
      <c r="C975" s="33"/>
      <c r="D975" s="33"/>
      <c r="E975" s="34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</row>
    <row r="976" spans="1:77" x14ac:dyDescent="0.3">
      <c r="A976" s="33"/>
      <c r="B976" s="33"/>
      <c r="C976" s="33"/>
      <c r="D976" s="33"/>
      <c r="E976" s="34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</row>
    <row r="977" spans="1:77" x14ac:dyDescent="0.3">
      <c r="A977" s="33"/>
      <c r="B977" s="33"/>
      <c r="C977" s="33"/>
      <c r="D977" s="33"/>
      <c r="E977" s="34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</row>
    <row r="978" spans="1:77" x14ac:dyDescent="0.3">
      <c r="A978" s="33"/>
      <c r="B978" s="33"/>
      <c r="C978" s="33"/>
      <c r="D978" s="33"/>
      <c r="E978" s="34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</row>
    <row r="979" spans="1:77" x14ac:dyDescent="0.3">
      <c r="A979" s="33"/>
      <c r="B979" s="33"/>
      <c r="C979" s="33"/>
      <c r="D979" s="33"/>
      <c r="E979" s="34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</row>
    <row r="980" spans="1:77" x14ac:dyDescent="0.3">
      <c r="A980" s="33"/>
      <c r="B980" s="33"/>
      <c r="C980" s="33"/>
      <c r="D980" s="33"/>
      <c r="E980" s="34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</row>
    <row r="981" spans="1:77" x14ac:dyDescent="0.3">
      <c r="A981" s="33"/>
      <c r="B981" s="33"/>
      <c r="C981" s="33"/>
      <c r="D981" s="33"/>
      <c r="E981" s="34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</row>
    <row r="982" spans="1:77" x14ac:dyDescent="0.3">
      <c r="A982" s="33"/>
      <c r="B982" s="33"/>
      <c r="C982" s="33"/>
      <c r="D982" s="33"/>
      <c r="E982" s="34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</row>
    <row r="983" spans="1:77" x14ac:dyDescent="0.3">
      <c r="A983" s="33"/>
      <c r="B983" s="33"/>
      <c r="C983" s="33"/>
      <c r="D983" s="33"/>
      <c r="E983" s="34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</row>
    <row r="984" spans="1:77" x14ac:dyDescent="0.3">
      <c r="A984" s="33"/>
      <c r="B984" s="33"/>
      <c r="C984" s="33"/>
      <c r="D984" s="33"/>
      <c r="E984" s="34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</row>
    <row r="985" spans="1:77" x14ac:dyDescent="0.3">
      <c r="A985" s="33"/>
      <c r="B985" s="33"/>
      <c r="C985" s="33"/>
      <c r="D985" s="33"/>
      <c r="E985" s="34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</row>
    <row r="986" spans="1:77" x14ac:dyDescent="0.3">
      <c r="A986" s="33"/>
      <c r="B986" s="33"/>
      <c r="C986" s="33"/>
      <c r="D986" s="33"/>
      <c r="E986" s="34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</row>
    <row r="987" spans="1:77" x14ac:dyDescent="0.3">
      <c r="A987" s="33"/>
      <c r="B987" s="33"/>
      <c r="C987" s="33"/>
      <c r="D987" s="33"/>
      <c r="E987" s="34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</row>
    <row r="988" spans="1:77" x14ac:dyDescent="0.3">
      <c r="A988" s="33"/>
      <c r="B988" s="33"/>
      <c r="C988" s="33"/>
      <c r="D988" s="33"/>
      <c r="E988" s="34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</row>
    <row r="989" spans="1:77" x14ac:dyDescent="0.3">
      <c r="A989" s="33"/>
      <c r="B989" s="33"/>
      <c r="C989" s="33"/>
      <c r="D989" s="33"/>
      <c r="E989" s="34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</row>
    <row r="990" spans="1:77" x14ac:dyDescent="0.3">
      <c r="A990" s="33"/>
      <c r="B990" s="33"/>
      <c r="C990" s="33"/>
      <c r="D990" s="33"/>
      <c r="E990" s="34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</row>
    <row r="991" spans="1:77" x14ac:dyDescent="0.3">
      <c r="A991" s="33"/>
      <c r="B991" s="33"/>
      <c r="C991" s="33"/>
      <c r="D991" s="33"/>
      <c r="E991" s="34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</row>
    <row r="992" spans="1:77" x14ac:dyDescent="0.3">
      <c r="A992" s="33"/>
      <c r="B992" s="33"/>
      <c r="C992" s="33"/>
      <c r="D992" s="33"/>
      <c r="E992" s="34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</row>
    <row r="993" spans="1:77" x14ac:dyDescent="0.3">
      <c r="A993" s="33"/>
      <c r="B993" s="33"/>
      <c r="C993" s="33"/>
      <c r="D993" s="33"/>
      <c r="E993" s="34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</row>
    <row r="994" spans="1:77" x14ac:dyDescent="0.3">
      <c r="A994" s="33"/>
      <c r="B994" s="33"/>
      <c r="C994" s="33"/>
      <c r="D994" s="33"/>
      <c r="E994" s="34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</row>
    <row r="995" spans="1:77" x14ac:dyDescent="0.3">
      <c r="A995" s="33"/>
      <c r="B995" s="33"/>
      <c r="C995" s="33"/>
      <c r="D995" s="33"/>
      <c r="E995" s="34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</row>
    <row r="996" spans="1:77" x14ac:dyDescent="0.3">
      <c r="A996" s="33"/>
      <c r="B996" s="33"/>
      <c r="C996" s="33"/>
      <c r="D996" s="33"/>
      <c r="E996" s="34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</row>
    <row r="997" spans="1:77" x14ac:dyDescent="0.3">
      <c r="A997" s="33"/>
      <c r="B997" s="33"/>
      <c r="C997" s="33"/>
      <c r="D997" s="33"/>
      <c r="E997" s="34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</row>
    <row r="998" spans="1:77" x14ac:dyDescent="0.3">
      <c r="A998" s="33"/>
      <c r="B998" s="33"/>
      <c r="C998" s="33"/>
      <c r="D998" s="33"/>
      <c r="E998" s="34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</row>
    <row r="999" spans="1:77" x14ac:dyDescent="0.3">
      <c r="A999" s="33"/>
      <c r="B999" s="33"/>
      <c r="C999" s="33"/>
      <c r="D999" s="33"/>
      <c r="E999" s="34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</row>
    <row r="1000" spans="1:77" x14ac:dyDescent="0.3">
      <c r="A1000" s="33"/>
      <c r="B1000" s="33"/>
      <c r="C1000" s="33"/>
      <c r="D1000" s="33"/>
      <c r="E1000" s="34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</row>
  </sheetData>
  <mergeCells count="8">
    <mergeCell ref="N52:T52"/>
    <mergeCell ref="G56:H56"/>
    <mergeCell ref="F58:G58"/>
    <mergeCell ref="N2:P2"/>
    <mergeCell ref="F3:G3"/>
    <mergeCell ref="I3:J3"/>
    <mergeCell ref="O27:P27"/>
    <mergeCell ref="O34:P3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showGridLines="0" topLeftCell="D18" workbookViewId="0">
      <selection activeCell="H33" sqref="H33"/>
    </sheetView>
  </sheetViews>
  <sheetFormatPr baseColWidth="10" defaultColWidth="12.6640625" defaultRowHeight="15" customHeight="1" x14ac:dyDescent="0.3"/>
  <cols>
    <col min="1" max="1" width="3.33203125" customWidth="1"/>
    <col min="2" max="2" width="9.109375" customWidth="1"/>
    <col min="3" max="3" width="38" customWidth="1"/>
    <col min="4" max="4" width="18.5546875" bestFit="1" customWidth="1"/>
    <col min="5" max="5" width="34.109375" bestFit="1" customWidth="1"/>
    <col min="6" max="6" width="13.21875" customWidth="1"/>
    <col min="7" max="8" width="14.44140625" bestFit="1" customWidth="1"/>
    <col min="9" max="10" width="13.21875" customWidth="1"/>
    <col min="11" max="11" width="13.77734375" customWidth="1"/>
    <col min="12" max="12" width="13.21875" customWidth="1"/>
    <col min="13" max="13" width="34.44140625" customWidth="1"/>
    <col min="14" max="14" width="14" bestFit="1" customWidth="1"/>
    <col min="15" max="15" width="12" customWidth="1"/>
    <col min="16" max="16" width="14.77734375" customWidth="1"/>
    <col min="17" max="17" width="11.21875" customWidth="1"/>
    <col min="18" max="26" width="9.109375" customWidth="1"/>
  </cols>
  <sheetData>
    <row r="1" spans="1:26" ht="14.25" customHeight="1" x14ac:dyDescent="0.3">
      <c r="A1" s="88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8"/>
      <c r="T1" s="88"/>
      <c r="U1" s="88"/>
      <c r="V1" s="1"/>
      <c r="W1" s="1"/>
      <c r="X1" s="1"/>
      <c r="Y1" s="1"/>
      <c r="Z1" s="1"/>
    </row>
    <row r="2" spans="1:26" ht="14.25" customHeight="1" x14ac:dyDescent="0.3">
      <c r="A2" s="88"/>
      <c r="B2" s="90" t="s">
        <v>225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8"/>
      <c r="T2" s="88"/>
      <c r="U2" s="88"/>
      <c r="V2" s="1"/>
      <c r="W2" s="1"/>
      <c r="X2" s="1"/>
      <c r="Y2" s="1"/>
      <c r="Z2" s="1"/>
    </row>
    <row r="3" spans="1:26" ht="14.25" customHeight="1" x14ac:dyDescent="0.3">
      <c r="A3" s="88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8"/>
      <c r="T3" s="88"/>
      <c r="U3" s="88"/>
      <c r="V3" s="1"/>
      <c r="W3" s="1"/>
      <c r="X3" s="1"/>
      <c r="Y3" s="1"/>
      <c r="Z3" s="1"/>
    </row>
    <row r="4" spans="1:26" ht="14.25" customHeight="1" x14ac:dyDescent="0.3">
      <c r="A4" s="88"/>
      <c r="B4" s="238" t="s">
        <v>226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89"/>
      <c r="N4" s="89"/>
      <c r="O4" s="89"/>
      <c r="P4" s="89"/>
      <c r="Q4" s="89"/>
      <c r="R4" s="89"/>
      <c r="S4" s="88"/>
      <c r="T4" s="88"/>
      <c r="U4" s="88"/>
      <c r="V4" s="1"/>
      <c r="W4" s="1"/>
      <c r="X4" s="1"/>
      <c r="Y4" s="1"/>
      <c r="Z4" s="1"/>
    </row>
    <row r="5" spans="1:26" ht="14.25" customHeight="1" x14ac:dyDescent="0.3">
      <c r="A5" s="88"/>
      <c r="B5" s="91" t="s">
        <v>227</v>
      </c>
      <c r="C5" s="91" t="s">
        <v>228</v>
      </c>
      <c r="D5" s="92" t="s">
        <v>229</v>
      </c>
      <c r="E5" s="92" t="s">
        <v>230</v>
      </c>
      <c r="F5" s="92" t="s">
        <v>231</v>
      </c>
      <c r="G5" s="92" t="s">
        <v>232</v>
      </c>
      <c r="H5" s="92" t="s">
        <v>233</v>
      </c>
      <c r="I5" s="92" t="s">
        <v>234</v>
      </c>
      <c r="J5" s="92" t="s">
        <v>235</v>
      </c>
      <c r="K5" s="92" t="s">
        <v>200</v>
      </c>
      <c r="L5" s="92" t="s">
        <v>236</v>
      </c>
      <c r="M5" s="89"/>
      <c r="N5" s="89"/>
      <c r="O5" s="89"/>
      <c r="P5" s="89"/>
      <c r="Q5" s="89"/>
      <c r="R5" s="89"/>
      <c r="S5" s="88"/>
      <c r="T5" s="88"/>
      <c r="U5" s="88"/>
      <c r="V5" s="1"/>
      <c r="W5" s="1"/>
      <c r="X5" s="1"/>
      <c r="Y5" s="1"/>
      <c r="Z5" s="1"/>
    </row>
    <row r="6" spans="1:26" ht="14.25" customHeight="1" x14ac:dyDescent="0.3">
      <c r="A6" s="88"/>
      <c r="B6" s="93" t="s">
        <v>237</v>
      </c>
      <c r="C6" s="93" t="s">
        <v>238</v>
      </c>
      <c r="D6" s="94">
        <v>15.4</v>
      </c>
      <c r="E6" s="95">
        <v>1095357.78</v>
      </c>
      <c r="F6" s="96">
        <v>3204210</v>
      </c>
      <c r="G6" s="96">
        <f t="shared" ref="G6:G9" si="0">D6*E6</f>
        <v>16868509.811999999</v>
      </c>
      <c r="H6" s="96">
        <f t="shared" ref="H6:H9" si="1">F6+G6</f>
        <v>20072719.811999999</v>
      </c>
      <c r="I6" s="96">
        <v>498665</v>
      </c>
      <c r="J6" s="96">
        <v>6525134</v>
      </c>
      <c r="K6" s="96">
        <v>2612342</v>
      </c>
      <c r="L6" s="96">
        <v>36250951</v>
      </c>
      <c r="M6" s="89"/>
      <c r="N6" s="89"/>
      <c r="O6" s="89"/>
      <c r="P6" s="89"/>
      <c r="Q6" s="89"/>
      <c r="R6" s="89"/>
      <c r="S6" s="88"/>
      <c r="T6" s="88"/>
      <c r="U6" s="88"/>
      <c r="V6" s="1"/>
      <c r="W6" s="1"/>
      <c r="X6" s="1"/>
      <c r="Y6" s="1"/>
      <c r="Z6" s="1"/>
    </row>
    <row r="7" spans="1:26" ht="14.25" customHeight="1" x14ac:dyDescent="0.3">
      <c r="A7" s="88"/>
      <c r="B7" s="93" t="s">
        <v>239</v>
      </c>
      <c r="C7" s="93" t="s">
        <v>240</v>
      </c>
      <c r="D7" s="94">
        <v>37.26</v>
      </c>
      <c r="E7" s="95">
        <v>884492.98</v>
      </c>
      <c r="F7" s="96">
        <v>7463000</v>
      </c>
      <c r="G7" s="96">
        <f t="shared" si="0"/>
        <v>32956208.434799999</v>
      </c>
      <c r="H7" s="96">
        <f t="shared" si="1"/>
        <v>40419208.434799999</v>
      </c>
      <c r="I7" s="96">
        <v>1411000</v>
      </c>
      <c r="J7" s="96">
        <v>7972000</v>
      </c>
      <c r="K7" s="96">
        <v>2951000</v>
      </c>
      <c r="L7" s="96">
        <v>26187000</v>
      </c>
      <c r="M7" s="89"/>
      <c r="N7" s="89"/>
      <c r="O7" s="89"/>
      <c r="P7" s="89"/>
      <c r="Q7" s="89"/>
      <c r="R7" s="89"/>
      <c r="S7" s="88"/>
      <c r="T7" s="88"/>
      <c r="U7" s="88"/>
      <c r="V7" s="1"/>
      <c r="W7" s="1"/>
      <c r="X7" s="1"/>
      <c r="Y7" s="1"/>
      <c r="Z7" s="1"/>
    </row>
    <row r="8" spans="1:26" ht="14.25" customHeight="1" x14ac:dyDescent="0.3">
      <c r="A8" s="88"/>
      <c r="B8" s="93" t="s">
        <v>241</v>
      </c>
      <c r="C8" s="93" t="s">
        <v>242</v>
      </c>
      <c r="D8" s="94">
        <v>44.17</v>
      </c>
      <c r="E8" s="95">
        <v>435618.85</v>
      </c>
      <c r="F8" s="96">
        <v>14000</v>
      </c>
      <c r="G8" s="96">
        <f t="shared" si="0"/>
        <v>19241284.604499999</v>
      </c>
      <c r="H8" s="96">
        <f t="shared" si="1"/>
        <v>19255284.604499999</v>
      </c>
      <c r="I8" s="96">
        <v>755000</v>
      </c>
      <c r="J8" s="96">
        <v>4280000</v>
      </c>
      <c r="K8" s="96">
        <v>9316000</v>
      </c>
      <c r="L8" s="96">
        <v>150142000</v>
      </c>
      <c r="M8" s="89"/>
      <c r="N8" s="89"/>
      <c r="O8" s="89"/>
      <c r="P8" s="89"/>
      <c r="Q8" s="89"/>
      <c r="R8" s="89"/>
      <c r="S8" s="88"/>
      <c r="T8" s="88"/>
      <c r="U8" s="88"/>
      <c r="V8" s="1"/>
      <c r="W8" s="1"/>
      <c r="X8" s="1"/>
      <c r="Y8" s="1"/>
      <c r="Z8" s="1"/>
    </row>
    <row r="9" spans="1:26" ht="14.25" customHeight="1" x14ac:dyDescent="0.3">
      <c r="A9" s="88"/>
      <c r="B9" s="93" t="s">
        <v>243</v>
      </c>
      <c r="C9" s="93" t="s">
        <v>179</v>
      </c>
      <c r="D9" s="94">
        <v>74.010000000000005</v>
      </c>
      <c r="E9" s="95">
        <v>1831211.68</v>
      </c>
      <c r="F9" s="96">
        <v>45134000</v>
      </c>
      <c r="G9" s="96">
        <f t="shared" si="0"/>
        <v>135527976.4368</v>
      </c>
      <c r="H9" s="96">
        <f t="shared" si="1"/>
        <v>180661976.4368</v>
      </c>
      <c r="I9" s="96">
        <v>5942000</v>
      </c>
      <c r="J9" s="96">
        <v>48375000</v>
      </c>
      <c r="K9" s="96">
        <v>19606000</v>
      </c>
      <c r="L9" s="96">
        <v>479843000</v>
      </c>
      <c r="M9" s="89"/>
      <c r="N9" s="89"/>
      <c r="O9" s="89"/>
      <c r="P9" s="89"/>
      <c r="Q9" s="89"/>
      <c r="R9" s="89"/>
      <c r="S9" s="88"/>
      <c r="T9" s="88"/>
      <c r="U9" s="88"/>
      <c r="V9" s="1"/>
      <c r="W9" s="1"/>
      <c r="X9" s="1"/>
      <c r="Y9" s="1"/>
      <c r="Z9" s="1"/>
    </row>
    <row r="10" spans="1:26" ht="14.25" customHeight="1" x14ac:dyDescent="0.3">
      <c r="A10" s="88"/>
      <c r="B10" s="89"/>
      <c r="C10" s="89"/>
      <c r="D10" s="97"/>
      <c r="E10" s="98"/>
      <c r="F10" s="99"/>
      <c r="G10" s="99"/>
      <c r="H10" s="99"/>
      <c r="I10" s="99"/>
      <c r="J10" s="99"/>
      <c r="K10" s="99"/>
      <c r="L10" s="99"/>
      <c r="M10" s="89"/>
      <c r="N10" s="89"/>
      <c r="O10" s="89"/>
      <c r="P10" s="89"/>
      <c r="Q10" s="89"/>
      <c r="R10" s="89"/>
      <c r="S10" s="88"/>
      <c r="T10" s="88"/>
      <c r="U10" s="88"/>
      <c r="V10" s="1"/>
      <c r="W10" s="1"/>
      <c r="X10" s="1"/>
      <c r="Y10" s="1"/>
      <c r="Z10" s="1"/>
    </row>
    <row r="11" spans="1:26" ht="14.25" customHeight="1" x14ac:dyDescent="0.3">
      <c r="A11" s="88"/>
      <c r="B11" s="89"/>
      <c r="C11" s="89"/>
      <c r="D11" s="89"/>
      <c r="E11" s="89"/>
      <c r="F11" s="89"/>
      <c r="G11" s="89"/>
      <c r="H11" s="89"/>
      <c r="I11" s="89"/>
      <c r="J11" s="89"/>
      <c r="K11" s="240" t="s">
        <v>244</v>
      </c>
      <c r="L11" s="239"/>
      <c r="M11" s="89"/>
      <c r="N11" s="89"/>
      <c r="O11" s="241" t="s">
        <v>245</v>
      </c>
      <c r="P11" s="239"/>
      <c r="Q11" s="239"/>
      <c r="R11" s="89"/>
      <c r="S11" s="88"/>
      <c r="T11" s="88"/>
      <c r="U11" s="88"/>
      <c r="V11" s="1"/>
      <c r="W11" s="1"/>
      <c r="X11" s="1"/>
      <c r="Y11" s="1"/>
      <c r="Z11" s="1"/>
    </row>
    <row r="12" spans="1:26" ht="14.25" customHeight="1" x14ac:dyDescent="0.3">
      <c r="A12" s="88"/>
      <c r="B12" s="89"/>
      <c r="C12" s="235" t="s">
        <v>246</v>
      </c>
      <c r="D12" s="236"/>
      <c r="E12" s="236"/>
      <c r="F12" s="236"/>
      <c r="G12" s="236"/>
      <c r="H12" s="236"/>
      <c r="I12" s="236"/>
      <c r="J12" s="89"/>
      <c r="K12" s="237" t="s">
        <v>247</v>
      </c>
      <c r="L12" s="236"/>
      <c r="M12" s="89"/>
      <c r="N12" s="89"/>
      <c r="O12" s="100"/>
      <c r="P12" s="101" t="s">
        <v>248</v>
      </c>
      <c r="Q12" s="102" t="s">
        <v>249</v>
      </c>
      <c r="R12" s="89"/>
      <c r="S12" s="88"/>
      <c r="T12" s="88"/>
      <c r="U12" s="88"/>
      <c r="V12" s="1"/>
      <c r="W12" s="1"/>
      <c r="X12" s="1"/>
      <c r="Y12" s="1"/>
      <c r="Z12" s="1"/>
    </row>
    <row r="13" spans="1:26" ht="14.25" customHeight="1" x14ac:dyDescent="0.3">
      <c r="A13" s="103"/>
      <c r="B13" s="104"/>
      <c r="C13" s="92" t="s">
        <v>250</v>
      </c>
      <c r="D13" s="92" t="s">
        <v>251</v>
      </c>
      <c r="E13" s="92" t="s">
        <v>252</v>
      </c>
      <c r="F13" s="92" t="s">
        <v>253</v>
      </c>
      <c r="G13" s="92" t="s">
        <v>154</v>
      </c>
      <c r="H13" s="92" t="s">
        <v>254</v>
      </c>
      <c r="I13" s="92" t="s">
        <v>255</v>
      </c>
      <c r="J13" s="104"/>
      <c r="K13" s="105" t="s">
        <v>250</v>
      </c>
      <c r="L13" s="105" t="s">
        <v>252</v>
      </c>
      <c r="M13" s="104"/>
      <c r="N13" s="104"/>
      <c r="O13" s="106" t="s">
        <v>256</v>
      </c>
      <c r="P13" s="107">
        <f t="shared" ref="P13:P14" si="2">E28</f>
        <v>27.110406074941537</v>
      </c>
      <c r="Q13" s="108">
        <f t="shared" ref="Q13:Q14" si="3">L28</f>
        <v>23.939224765838659</v>
      </c>
      <c r="R13" s="104"/>
      <c r="S13" s="103"/>
      <c r="T13" s="103"/>
      <c r="U13" s="103"/>
      <c r="V13" s="109"/>
      <c r="W13" s="109"/>
      <c r="X13" s="109"/>
      <c r="Y13" s="109"/>
      <c r="Z13" s="109"/>
    </row>
    <row r="14" spans="1:26" ht="14.25" customHeight="1" x14ac:dyDescent="0.3">
      <c r="A14" s="88"/>
      <c r="B14" s="89"/>
      <c r="C14" s="93" t="s">
        <v>237</v>
      </c>
      <c r="D14" s="110">
        <f t="shared" ref="D14:D17" si="4">G6/J6</f>
        <v>2.5851591418658986</v>
      </c>
      <c r="E14" s="110">
        <f t="shared" ref="E14:E17" si="5">G6/I6</f>
        <v>33.827338618110353</v>
      </c>
      <c r="F14" s="110">
        <f t="shared" ref="F14:G14" si="6">H6/K6</f>
        <v>7.6838024316877345</v>
      </c>
      <c r="G14" s="111">
        <f t="shared" si="6"/>
        <v>1.3755914982754521E-2</v>
      </c>
      <c r="H14" s="111">
        <f t="shared" ref="H14:H17" si="7">H6/L6</f>
        <v>0.55371567526600884</v>
      </c>
      <c r="I14" s="111">
        <f t="shared" ref="I14:I17" si="8">K6/L6</f>
        <v>7.2062716368461621E-2</v>
      </c>
      <c r="J14" s="89"/>
      <c r="K14" s="93" t="s">
        <v>239</v>
      </c>
      <c r="L14" s="110">
        <v>23.356632483912119</v>
      </c>
      <c r="M14" s="89"/>
      <c r="N14" s="89"/>
      <c r="O14" s="90" t="s">
        <v>257</v>
      </c>
      <c r="P14" s="110">
        <f t="shared" si="2"/>
        <v>1.4831037203786768</v>
      </c>
      <c r="Q14" s="112">
        <f t="shared" si="3"/>
        <v>1.1173540444603887</v>
      </c>
      <c r="R14" s="89"/>
      <c r="S14" s="88"/>
      <c r="T14" s="88"/>
      <c r="U14" s="88"/>
      <c r="V14" s="1"/>
      <c r="W14" s="1"/>
      <c r="X14" s="1"/>
      <c r="Y14" s="1"/>
      <c r="Z14" s="1"/>
    </row>
    <row r="15" spans="1:26" ht="14.25" customHeight="1" x14ac:dyDescent="0.3">
      <c r="A15" s="88"/>
      <c r="B15" s="89"/>
      <c r="C15" s="93" t="s">
        <v>239</v>
      </c>
      <c r="D15" s="110">
        <f t="shared" si="4"/>
        <v>4.1339950369794281</v>
      </c>
      <c r="E15" s="110">
        <f t="shared" si="5"/>
        <v>23.356632483912119</v>
      </c>
      <c r="F15" s="110">
        <f t="shared" ref="F15:G15" si="9">H7/K7</f>
        <v>13.696783610572687</v>
      </c>
      <c r="G15" s="111">
        <f t="shared" si="9"/>
        <v>5.388169702524153E-2</v>
      </c>
      <c r="H15" s="111">
        <f t="shared" si="7"/>
        <v>1.5434837298965134</v>
      </c>
      <c r="I15" s="111">
        <f t="shared" si="8"/>
        <v>0.1126895024248673</v>
      </c>
      <c r="J15" s="89"/>
      <c r="K15" s="93" t="s">
        <v>241</v>
      </c>
      <c r="L15" s="110">
        <v>25.485145171523179</v>
      </c>
      <c r="M15" s="89"/>
      <c r="N15" s="89"/>
      <c r="O15" s="90" t="s">
        <v>258</v>
      </c>
      <c r="P15" s="113">
        <f>D34</f>
        <v>3095134.8764745886</v>
      </c>
      <c r="Q15" s="114">
        <f>M34</f>
        <v>2733088.1464368193</v>
      </c>
      <c r="R15" s="89"/>
      <c r="S15" s="88"/>
      <c r="T15" s="88"/>
      <c r="U15" s="88"/>
      <c r="V15" s="1"/>
      <c r="W15" s="1"/>
      <c r="X15" s="1"/>
      <c r="Y15" s="1"/>
      <c r="Z15" s="1"/>
    </row>
    <row r="16" spans="1:26" ht="14.25" customHeight="1" x14ac:dyDescent="0.3">
      <c r="A16" s="88"/>
      <c r="B16" s="89"/>
      <c r="C16" s="93" t="s">
        <v>241</v>
      </c>
      <c r="D16" s="110">
        <f t="shared" si="4"/>
        <v>4.4956272440420557</v>
      </c>
      <c r="E16" s="110">
        <f t="shared" si="5"/>
        <v>25.485145171523179</v>
      </c>
      <c r="F16" s="110">
        <f t="shared" ref="F16:G16" si="10">H8/K8</f>
        <v>2.0669047450085873</v>
      </c>
      <c r="G16" s="111">
        <f t="shared" si="10"/>
        <v>5.0285729509397768E-3</v>
      </c>
      <c r="H16" s="111">
        <f t="shared" si="7"/>
        <v>0.12824715672163683</v>
      </c>
      <c r="I16" s="111">
        <f t="shared" si="8"/>
        <v>6.2047927961529754E-2</v>
      </c>
      <c r="J16" s="89"/>
      <c r="K16" s="93" t="s">
        <v>243</v>
      </c>
      <c r="L16" s="110">
        <v>22.808478027061597</v>
      </c>
      <c r="M16" s="89"/>
      <c r="N16" s="89"/>
      <c r="O16" s="89"/>
      <c r="P16" s="89"/>
      <c r="Q16" s="89"/>
      <c r="R16" s="89"/>
      <c r="S16" s="88"/>
      <c r="T16" s="88"/>
      <c r="U16" s="88"/>
      <c r="V16" s="1"/>
      <c r="W16" s="1"/>
      <c r="X16" s="1"/>
      <c r="Y16" s="1"/>
      <c r="Z16" s="1"/>
    </row>
    <row r="17" spans="1:26" ht="14.25" customHeight="1" x14ac:dyDescent="0.3">
      <c r="A17" s="88"/>
      <c r="B17" s="89"/>
      <c r="C17" s="93" t="s">
        <v>243</v>
      </c>
      <c r="D17" s="110">
        <f t="shared" si="4"/>
        <v>2.8016119160062014</v>
      </c>
      <c r="E17" s="110">
        <f t="shared" si="5"/>
        <v>22.808478027061597</v>
      </c>
      <c r="F17" s="110">
        <f t="shared" ref="F17:G17" si="11">H9/K9</f>
        <v>9.2146269732122814</v>
      </c>
      <c r="G17" s="111">
        <f t="shared" si="11"/>
        <v>1.2383217010563871E-2</v>
      </c>
      <c r="H17" s="111">
        <f t="shared" si="7"/>
        <v>0.3765022651925734</v>
      </c>
      <c r="I17" s="111">
        <f t="shared" si="8"/>
        <v>4.0859197695913035E-2</v>
      </c>
      <c r="J17" s="89"/>
      <c r="K17" s="89"/>
      <c r="L17" s="89"/>
      <c r="M17" s="89"/>
      <c r="N17" s="89"/>
      <c r="O17" s="89"/>
      <c r="P17" s="89"/>
      <c r="Q17" s="89"/>
      <c r="R17" s="89"/>
      <c r="S17" s="88"/>
      <c r="T17" s="88"/>
      <c r="U17" s="88"/>
      <c r="V17" s="1"/>
      <c r="W17" s="1"/>
      <c r="X17" s="1"/>
      <c r="Y17" s="1"/>
      <c r="Z17" s="1"/>
    </row>
    <row r="18" spans="1:26" ht="14.25" customHeight="1" x14ac:dyDescent="0.3">
      <c r="A18" s="88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8"/>
      <c r="T18" s="88"/>
      <c r="U18" s="88"/>
      <c r="V18" s="1"/>
      <c r="W18" s="1"/>
      <c r="X18" s="1"/>
      <c r="Y18" s="1"/>
      <c r="Z18" s="1"/>
    </row>
    <row r="19" spans="1:26" ht="14.25" customHeight="1" x14ac:dyDescent="0.3">
      <c r="A19" s="88"/>
      <c r="B19" s="89"/>
      <c r="C19" s="235" t="s">
        <v>259</v>
      </c>
      <c r="D19" s="236"/>
      <c r="E19" s="236"/>
      <c r="F19" s="236"/>
      <c r="G19" s="236"/>
      <c r="H19" s="236"/>
      <c r="I19" s="236"/>
      <c r="J19" s="89"/>
      <c r="K19" s="237" t="s">
        <v>259</v>
      </c>
      <c r="L19" s="236"/>
      <c r="M19" s="89"/>
      <c r="N19" s="89"/>
      <c r="O19" s="89"/>
      <c r="P19" s="89"/>
      <c r="Q19" s="89"/>
      <c r="R19" s="89"/>
      <c r="S19" s="88"/>
      <c r="T19" s="88"/>
      <c r="U19" s="88"/>
      <c r="V19" s="1"/>
      <c r="W19" s="1"/>
      <c r="X19" s="1"/>
      <c r="Y19" s="1"/>
      <c r="Z19" s="1"/>
    </row>
    <row r="20" spans="1:26" ht="14.25" customHeight="1" x14ac:dyDescent="0.3">
      <c r="A20" s="103"/>
      <c r="B20" s="104"/>
      <c r="C20" s="92" t="s">
        <v>250</v>
      </c>
      <c r="D20" s="92" t="s">
        <v>251</v>
      </c>
      <c r="E20" s="92" t="s">
        <v>252</v>
      </c>
      <c r="F20" s="92" t="s">
        <v>253</v>
      </c>
      <c r="G20" s="92" t="s">
        <v>154</v>
      </c>
      <c r="H20" s="92" t="s">
        <v>254</v>
      </c>
      <c r="I20" s="92" t="s">
        <v>255</v>
      </c>
      <c r="J20" s="104"/>
      <c r="K20" s="105" t="s">
        <v>250</v>
      </c>
      <c r="L20" s="105" t="s">
        <v>252</v>
      </c>
      <c r="M20" s="104"/>
      <c r="N20" s="104"/>
      <c r="O20" s="104"/>
      <c r="P20" s="104"/>
      <c r="Q20" s="104"/>
      <c r="R20" s="104"/>
      <c r="S20" s="103"/>
      <c r="T20" s="103"/>
      <c r="U20" s="103"/>
      <c r="V20" s="109"/>
      <c r="W20" s="109"/>
      <c r="X20" s="109"/>
      <c r="Y20" s="109"/>
      <c r="Z20" s="109"/>
    </row>
    <row r="21" spans="1:26" ht="14.25" customHeight="1" x14ac:dyDescent="0.3">
      <c r="A21" s="88"/>
      <c r="B21" s="89"/>
      <c r="C21" s="93" t="s">
        <v>237</v>
      </c>
      <c r="D21" s="110">
        <f t="shared" ref="D21:I21" si="12">D14/SUM(D$14:D$17)</f>
        <v>0.18443825593082022</v>
      </c>
      <c r="E21" s="110">
        <f t="shared" si="12"/>
        <v>0.32070639117634486</v>
      </c>
      <c r="F21" s="110">
        <f t="shared" si="12"/>
        <v>0.23525120104075301</v>
      </c>
      <c r="G21" s="110">
        <f t="shared" si="12"/>
        <v>0.16174029051594799</v>
      </c>
      <c r="H21" s="110">
        <f t="shared" si="12"/>
        <v>0.21280805736986907</v>
      </c>
      <c r="I21" s="110">
        <f t="shared" si="12"/>
        <v>0.2505140811818613</v>
      </c>
      <c r="J21" s="89"/>
      <c r="K21" s="93" t="s">
        <v>239</v>
      </c>
      <c r="L21" s="110">
        <f t="shared" ref="L21:L23" si="13">L14/SUM($L$14:$L$16)</f>
        <v>0.32598114635364522</v>
      </c>
      <c r="M21" s="89"/>
      <c r="N21" s="89"/>
      <c r="O21" s="89"/>
      <c r="P21" s="89"/>
      <c r="Q21" s="89"/>
      <c r="R21" s="89"/>
      <c r="S21" s="88"/>
      <c r="T21" s="88"/>
      <c r="U21" s="88"/>
      <c r="V21" s="1"/>
      <c r="W21" s="1"/>
      <c r="X21" s="1"/>
      <c r="Y21" s="1"/>
      <c r="Z21" s="1"/>
    </row>
    <row r="22" spans="1:26" ht="14.25" customHeight="1" x14ac:dyDescent="0.3">
      <c r="A22" s="88"/>
      <c r="B22" s="89"/>
      <c r="C22" s="93" t="s">
        <v>239</v>
      </c>
      <c r="D22" s="110">
        <f t="shared" ref="D22:I22" si="14">D15/SUM(D$14:D$17)</f>
        <v>0.29493999897307066</v>
      </c>
      <c r="E22" s="110">
        <f t="shared" si="14"/>
        <v>0.22143690931503973</v>
      </c>
      <c r="F22" s="110">
        <f t="shared" si="14"/>
        <v>0.41934768930215438</v>
      </c>
      <c r="G22" s="110">
        <f t="shared" si="14"/>
        <v>0.63353410814769173</v>
      </c>
      <c r="H22" s="110">
        <f t="shared" si="14"/>
        <v>0.59320295381466215</v>
      </c>
      <c r="I22" s="110">
        <f t="shared" si="14"/>
        <v>0.39174636457586837</v>
      </c>
      <c r="J22" s="89"/>
      <c r="K22" s="93" t="s">
        <v>241</v>
      </c>
      <c r="L22" s="110">
        <f t="shared" si="13"/>
        <v>0.35568812600551303</v>
      </c>
      <c r="M22" s="89"/>
      <c r="N22" s="89"/>
      <c r="O22" s="89"/>
      <c r="P22" s="89"/>
      <c r="Q22" s="89"/>
      <c r="R22" s="89"/>
      <c r="S22" s="88"/>
      <c r="T22" s="88"/>
      <c r="U22" s="88"/>
      <c r="V22" s="1"/>
      <c r="W22" s="1"/>
      <c r="X22" s="1"/>
      <c r="Y22" s="1"/>
      <c r="Z22" s="1"/>
    </row>
    <row r="23" spans="1:26" ht="14.25" customHeight="1" x14ac:dyDescent="0.3">
      <c r="A23" s="88"/>
      <c r="B23" s="89"/>
      <c r="C23" s="93" t="s">
        <v>241</v>
      </c>
      <c r="D23" s="110">
        <f t="shared" ref="D23:I23" si="15">D16/SUM(D$14:D$17)</f>
        <v>0.32074065955093467</v>
      </c>
      <c r="E23" s="110">
        <f t="shared" si="15"/>
        <v>0.24161667073000789</v>
      </c>
      <c r="F23" s="110">
        <f t="shared" si="15"/>
        <v>6.3281406311913632E-2</v>
      </c>
      <c r="G23" s="110">
        <f t="shared" si="15"/>
        <v>5.9125318162062054E-2</v>
      </c>
      <c r="H23" s="110">
        <f t="shared" si="15"/>
        <v>4.9288885079927354E-2</v>
      </c>
      <c r="I23" s="110">
        <f t="shared" si="15"/>
        <v>0.21569933033115241</v>
      </c>
      <c r="J23" s="89"/>
      <c r="K23" s="93" t="s">
        <v>243</v>
      </c>
      <c r="L23" s="110">
        <f t="shared" si="13"/>
        <v>0.3183307276408418</v>
      </c>
      <c r="M23" s="89"/>
      <c r="N23" s="89"/>
      <c r="O23" s="89"/>
      <c r="P23" s="89"/>
      <c r="Q23" s="89"/>
      <c r="R23" s="89"/>
      <c r="S23" s="88"/>
      <c r="T23" s="88"/>
      <c r="U23" s="88"/>
      <c r="V23" s="1"/>
      <c r="W23" s="1"/>
      <c r="X23" s="1"/>
      <c r="Y23" s="1"/>
      <c r="Z23" s="1"/>
    </row>
    <row r="24" spans="1:26" ht="14.25" customHeight="1" x14ac:dyDescent="0.3">
      <c r="A24" s="88"/>
      <c r="B24" s="89"/>
      <c r="C24" s="93" t="s">
        <v>243</v>
      </c>
      <c r="D24" s="110">
        <f t="shared" ref="D24:I24" si="16">D17/SUM(D$14:D$17)</f>
        <v>0.19988108554517442</v>
      </c>
      <c r="E24" s="110">
        <f t="shared" si="16"/>
        <v>0.21624002877860748</v>
      </c>
      <c r="F24" s="110">
        <f t="shared" si="16"/>
        <v>0.28211970334517888</v>
      </c>
      <c r="G24" s="110">
        <f t="shared" si="16"/>
        <v>0.14560028317429821</v>
      </c>
      <c r="H24" s="110">
        <f t="shared" si="16"/>
        <v>0.14470010373554137</v>
      </c>
      <c r="I24" s="110">
        <f t="shared" si="16"/>
        <v>0.14204022391111804</v>
      </c>
      <c r="J24" s="89"/>
      <c r="K24" s="89"/>
      <c r="L24" s="89"/>
      <c r="M24" s="89"/>
      <c r="N24" s="89"/>
      <c r="O24" s="89"/>
      <c r="P24" s="89"/>
      <c r="Q24" s="89"/>
      <c r="R24" s="89"/>
      <c r="S24" s="88"/>
      <c r="T24" s="88"/>
      <c r="U24" s="88"/>
      <c r="V24" s="1"/>
      <c r="W24" s="1"/>
      <c r="X24" s="1"/>
      <c r="Y24" s="1"/>
      <c r="Z24" s="1"/>
    </row>
    <row r="25" spans="1:26" ht="14.25" customHeight="1" x14ac:dyDescent="0.3">
      <c r="A25" s="88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8"/>
      <c r="T25" s="88"/>
      <c r="U25" s="88"/>
      <c r="V25" s="1"/>
      <c r="W25" s="1"/>
      <c r="X25" s="1"/>
      <c r="Y25" s="1"/>
      <c r="Z25" s="1"/>
    </row>
    <row r="26" spans="1:26" ht="14.25" customHeight="1" x14ac:dyDescent="0.3">
      <c r="A26" s="88"/>
      <c r="B26" s="89"/>
      <c r="C26" s="235" t="s">
        <v>260</v>
      </c>
      <c r="D26" s="236"/>
      <c r="E26" s="236"/>
      <c r="F26" s="236"/>
      <c r="G26" s="236"/>
      <c r="H26" s="236"/>
      <c r="I26" s="236"/>
      <c r="J26" s="89"/>
      <c r="K26" s="237" t="s">
        <v>261</v>
      </c>
      <c r="L26" s="236"/>
      <c r="M26" s="89"/>
      <c r="N26" s="89"/>
      <c r="O26" s="89"/>
      <c r="P26" s="89"/>
      <c r="Q26" s="89"/>
      <c r="R26" s="89"/>
      <c r="S26" s="88"/>
      <c r="T26" s="88"/>
      <c r="U26" s="88"/>
      <c r="V26" s="1"/>
      <c r="W26" s="1"/>
      <c r="X26" s="1"/>
      <c r="Y26" s="1"/>
      <c r="Z26" s="1"/>
    </row>
    <row r="27" spans="1:26" ht="14.25" customHeight="1" x14ac:dyDescent="0.3">
      <c r="A27" s="103"/>
      <c r="B27" s="104"/>
      <c r="C27" s="92" t="s">
        <v>262</v>
      </c>
      <c r="D27" s="92" t="s">
        <v>251</v>
      </c>
      <c r="E27" s="92" t="s">
        <v>252</v>
      </c>
      <c r="F27" s="92" t="s">
        <v>253</v>
      </c>
      <c r="G27" s="92" t="s">
        <v>154</v>
      </c>
      <c r="H27" s="92" t="s">
        <v>254</v>
      </c>
      <c r="I27" s="92" t="s">
        <v>255</v>
      </c>
      <c r="J27" s="104"/>
      <c r="K27" s="105" t="s">
        <v>262</v>
      </c>
      <c r="L27" s="105" t="s">
        <v>252</v>
      </c>
      <c r="M27" s="104"/>
      <c r="N27" s="104"/>
      <c r="O27" s="104"/>
      <c r="P27" s="104"/>
      <c r="Q27" s="104"/>
      <c r="R27" s="104"/>
      <c r="S27" s="103"/>
      <c r="T27" s="103"/>
      <c r="U27" s="103"/>
      <c r="V27" s="109"/>
      <c r="W27" s="109"/>
      <c r="X27" s="109"/>
      <c r="Y27" s="109"/>
      <c r="Z27" s="109"/>
    </row>
    <row r="28" spans="1:26" ht="14.25" customHeight="1" x14ac:dyDescent="0.3">
      <c r="A28" s="88"/>
      <c r="B28" s="89"/>
      <c r="C28" s="93" t="s">
        <v>256</v>
      </c>
      <c r="D28" s="110">
        <f t="shared" ref="D28:I28" si="17">SUMPRODUCT(D14:D17,D21:D24)</f>
        <v>3.6980024137875693</v>
      </c>
      <c r="E28" s="110">
        <f t="shared" si="17"/>
        <v>27.110406074941537</v>
      </c>
      <c r="F28" s="110">
        <f t="shared" si="17"/>
        <v>10.281762775675716</v>
      </c>
      <c r="G28" s="115">
        <f t="shared" si="17"/>
        <v>3.8461094434966266E-2</v>
      </c>
      <c r="H28" s="115">
        <f t="shared" si="17"/>
        <v>1.0942353411276005</v>
      </c>
      <c r="I28" s="115">
        <f t="shared" si="17"/>
        <v>8.1385774178613188E-2</v>
      </c>
      <c r="J28" s="89"/>
      <c r="K28" s="93" t="s">
        <v>256</v>
      </c>
      <c r="L28" s="110">
        <f>SUMPRODUCT(L21:L23,L14:L16)</f>
        <v>23.939224765838659</v>
      </c>
      <c r="M28" s="89"/>
      <c r="N28" s="89"/>
      <c r="Q28" s="89"/>
      <c r="R28" s="89"/>
      <c r="S28" s="88"/>
      <c r="T28" s="88"/>
      <c r="U28" s="88"/>
      <c r="V28" s="1"/>
      <c r="W28" s="1"/>
      <c r="X28" s="1"/>
      <c r="Y28" s="1"/>
      <c r="Z28" s="1"/>
    </row>
    <row r="29" spans="1:26" ht="14.25" customHeight="1" x14ac:dyDescent="0.3">
      <c r="A29" s="88"/>
      <c r="B29" s="89"/>
      <c r="C29" s="93" t="s">
        <v>257</v>
      </c>
      <c r="D29" s="110">
        <f t="shared" ref="D29:I29" si="18">MAX(D14:D17)/MIN(D14:D17)</f>
        <v>1.7390137308131957</v>
      </c>
      <c r="E29" s="110">
        <f t="shared" si="18"/>
        <v>1.4831037203786768</v>
      </c>
      <c r="F29" s="110">
        <f t="shared" si="18"/>
        <v>6.6267125486306728</v>
      </c>
      <c r="G29" s="115">
        <f t="shared" si="18"/>
        <v>10.715106959952072</v>
      </c>
      <c r="H29" s="115">
        <f t="shared" si="18"/>
        <v>12.035227675625414</v>
      </c>
      <c r="I29" s="115">
        <f t="shared" si="18"/>
        <v>2.7579959661356526</v>
      </c>
      <c r="J29" s="89"/>
      <c r="K29" s="93" t="s">
        <v>257</v>
      </c>
      <c r="L29" s="110">
        <f>MAX(L14:L16)/MIN(L14:L16)</f>
        <v>1.1173540444603887</v>
      </c>
      <c r="M29" s="89"/>
      <c r="N29" s="89"/>
      <c r="Q29" s="89"/>
      <c r="R29" s="89"/>
      <c r="S29" s="88"/>
      <c r="T29" s="88"/>
      <c r="U29" s="88"/>
      <c r="V29" s="1"/>
      <c r="W29" s="1"/>
      <c r="X29" s="1"/>
      <c r="Y29" s="1"/>
      <c r="Z29" s="1"/>
    </row>
    <row r="30" spans="1:26" ht="14.25" customHeight="1" x14ac:dyDescent="0.3">
      <c r="A30" s="88"/>
      <c r="B30" s="89"/>
      <c r="C30" s="89"/>
      <c r="D30" s="116"/>
      <c r="E30" s="116"/>
      <c r="F30" s="116"/>
      <c r="G30" s="89"/>
      <c r="H30" s="89"/>
      <c r="I30" s="89"/>
      <c r="J30" s="89"/>
      <c r="K30" s="89"/>
      <c r="L30" s="89"/>
      <c r="M30" s="89"/>
      <c r="N30" s="89"/>
      <c r="Q30" s="89"/>
      <c r="R30" s="89"/>
      <c r="S30" s="88"/>
      <c r="T30" s="88"/>
      <c r="U30" s="88"/>
      <c r="V30" s="1"/>
      <c r="W30" s="1"/>
      <c r="X30" s="1"/>
      <c r="Y30" s="1"/>
      <c r="Z30" s="1"/>
    </row>
    <row r="31" spans="1:26" ht="14.25" customHeight="1" x14ac:dyDescent="0.3">
      <c r="A31" s="88"/>
      <c r="B31" s="89"/>
      <c r="E31" s="89"/>
      <c r="F31" s="89"/>
      <c r="G31" s="89"/>
      <c r="H31" s="89"/>
      <c r="I31" s="89"/>
      <c r="M31" s="89"/>
      <c r="N31" s="89"/>
      <c r="O31" s="89"/>
      <c r="P31" s="89"/>
      <c r="Q31" s="89"/>
      <c r="R31" s="89"/>
      <c r="S31" s="88"/>
      <c r="T31" s="88"/>
      <c r="U31" s="88"/>
      <c r="V31" s="1"/>
      <c r="W31" s="1"/>
      <c r="X31" s="1"/>
      <c r="Y31" s="1"/>
      <c r="Z31" s="1"/>
    </row>
    <row r="32" spans="1:26" ht="14.25" customHeight="1" x14ac:dyDescent="0.3">
      <c r="A32" s="88"/>
      <c r="B32" s="89"/>
      <c r="C32" s="235" t="s">
        <v>263</v>
      </c>
      <c r="D32" s="236"/>
      <c r="E32" s="116"/>
      <c r="F32" s="116"/>
      <c r="G32" s="89"/>
      <c r="H32" s="89"/>
      <c r="I32" s="89"/>
      <c r="J32" s="89"/>
      <c r="L32" s="235" t="s">
        <v>263</v>
      </c>
      <c r="M32" s="236"/>
      <c r="O32" s="89"/>
      <c r="P32" s="89"/>
      <c r="Q32" s="89"/>
      <c r="R32" s="89"/>
      <c r="S32" s="88"/>
      <c r="T32" s="88"/>
      <c r="U32" s="88"/>
      <c r="V32" s="1"/>
      <c r="W32" s="1"/>
      <c r="X32" s="1"/>
      <c r="Y32" s="1"/>
      <c r="Z32" s="1"/>
    </row>
    <row r="33" spans="1:26" ht="14.25" customHeight="1" x14ac:dyDescent="0.3">
      <c r="A33" s="88"/>
      <c r="B33" s="89"/>
      <c r="C33" s="91" t="s">
        <v>264</v>
      </c>
      <c r="D33" s="117" t="s">
        <v>258</v>
      </c>
      <c r="E33" s="98"/>
      <c r="F33" s="118"/>
      <c r="G33" s="89"/>
      <c r="H33" s="89"/>
      <c r="I33" s="89"/>
      <c r="J33" s="89"/>
      <c r="L33" s="91" t="s">
        <v>264</v>
      </c>
      <c r="M33" s="117" t="s">
        <v>258</v>
      </c>
      <c r="O33" s="89"/>
      <c r="P33" s="89"/>
      <c r="Q33" s="89"/>
      <c r="R33" s="89"/>
      <c r="S33" s="88"/>
      <c r="T33" s="88"/>
      <c r="U33" s="88"/>
      <c r="V33" s="1"/>
      <c r="W33" s="1"/>
      <c r="X33" s="1"/>
      <c r="Y33" s="1"/>
      <c r="Z33" s="1"/>
    </row>
    <row r="34" spans="1:26" ht="14.25" customHeight="1" x14ac:dyDescent="0.3">
      <c r="A34" s="88"/>
      <c r="B34" s="89"/>
      <c r="C34" s="96">
        <v>114167.78</v>
      </c>
      <c r="D34" s="114">
        <f>C34*E28</f>
        <v>3095134.8764745886</v>
      </c>
      <c r="E34" s="221"/>
      <c r="F34" s="89"/>
      <c r="G34" s="89"/>
      <c r="H34" s="89"/>
      <c r="I34" s="89"/>
      <c r="J34" s="89"/>
      <c r="L34" s="96">
        <v>114167.78</v>
      </c>
      <c r="M34" s="114">
        <f>L34*L28</f>
        <v>2733088.1464368193</v>
      </c>
      <c r="N34" s="221"/>
      <c r="O34" s="89"/>
      <c r="P34" s="89"/>
      <c r="Q34" s="89"/>
      <c r="R34" s="89"/>
      <c r="S34" s="88"/>
      <c r="T34" s="88"/>
      <c r="U34" s="88"/>
      <c r="V34" s="1"/>
      <c r="W34" s="1"/>
      <c r="X34" s="1"/>
      <c r="Y34" s="1"/>
      <c r="Z34" s="1"/>
    </row>
    <row r="35" spans="1:26" ht="14.25" customHeight="1" x14ac:dyDescent="0.3">
      <c r="A35" s="88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8"/>
      <c r="T35" s="88"/>
      <c r="U35" s="88"/>
      <c r="V35" s="1"/>
      <c r="W35" s="1"/>
      <c r="X35" s="1"/>
      <c r="Y35" s="1"/>
      <c r="Z35" s="1"/>
    </row>
    <row r="36" spans="1:26" ht="14.25" customHeight="1" x14ac:dyDescent="0.3">
      <c r="A36" s="88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8"/>
      <c r="T36" s="88"/>
      <c r="U36" s="88"/>
      <c r="V36" s="1"/>
      <c r="W36" s="1"/>
      <c r="X36" s="1"/>
      <c r="Y36" s="1"/>
      <c r="Z36" s="1"/>
    </row>
    <row r="37" spans="1:26" ht="14.25" customHeight="1" x14ac:dyDescent="0.3">
      <c r="A37" s="119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19"/>
      <c r="T37" s="119"/>
      <c r="U37" s="119"/>
      <c r="V37" s="1"/>
      <c r="W37" s="1"/>
      <c r="X37" s="1"/>
      <c r="Y37" s="1"/>
      <c r="Z37" s="1"/>
    </row>
    <row r="38" spans="1:26" ht="14.25" customHeight="1" x14ac:dyDescent="0.3">
      <c r="A38" s="88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8"/>
      <c r="T38" s="88"/>
      <c r="U38" s="88"/>
      <c r="V38" s="1"/>
      <c r="W38" s="1"/>
      <c r="X38" s="1"/>
      <c r="Y38" s="1"/>
      <c r="Z38" s="1"/>
    </row>
    <row r="39" spans="1:26" ht="14.25" customHeight="1" x14ac:dyDescent="0.3">
      <c r="A39" s="88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8"/>
      <c r="T39" s="88"/>
      <c r="U39" s="88"/>
      <c r="V39" s="1"/>
      <c r="W39" s="1"/>
      <c r="X39" s="1"/>
      <c r="Y39" s="1"/>
      <c r="Z39" s="1"/>
    </row>
    <row r="40" spans="1:26" ht="14.25" customHeight="1" x14ac:dyDescent="0.3">
      <c r="A40" s="88"/>
      <c r="B40" s="235" t="s">
        <v>265</v>
      </c>
      <c r="C40" s="236"/>
      <c r="D40" s="236"/>
      <c r="E40" s="236"/>
      <c r="F40" s="236"/>
      <c r="G40" s="236"/>
      <c r="H40" s="236"/>
      <c r="I40" s="236"/>
      <c r="J40" s="236"/>
      <c r="K40" s="236"/>
      <c r="L40" s="89"/>
      <c r="M40" s="89"/>
      <c r="N40" s="89"/>
      <c r="O40" s="89"/>
      <c r="P40" s="89"/>
      <c r="Q40" s="89"/>
      <c r="R40" s="89"/>
      <c r="S40" s="88"/>
      <c r="T40" s="88"/>
      <c r="U40" s="88"/>
      <c r="V40" s="1"/>
      <c r="W40" s="1"/>
      <c r="X40" s="1"/>
      <c r="Y40" s="1"/>
      <c r="Z40" s="1"/>
    </row>
    <row r="41" spans="1:26" ht="14.25" customHeight="1" x14ac:dyDescent="0.3">
      <c r="A41" s="88"/>
      <c r="B41" s="120" t="s">
        <v>227</v>
      </c>
      <c r="C41" s="120" t="s">
        <v>228</v>
      </c>
      <c r="D41" s="120" t="s">
        <v>229</v>
      </c>
      <c r="E41" s="120" t="s">
        <v>230</v>
      </c>
      <c r="F41" s="120" t="s">
        <v>231</v>
      </c>
      <c r="G41" s="120" t="s">
        <v>232</v>
      </c>
      <c r="H41" s="120" t="s">
        <v>233</v>
      </c>
      <c r="I41" s="120" t="s">
        <v>234</v>
      </c>
      <c r="J41" s="120" t="s">
        <v>235</v>
      </c>
      <c r="K41" s="120" t="s">
        <v>200</v>
      </c>
      <c r="L41" s="89"/>
      <c r="M41" s="89"/>
      <c r="N41" s="89"/>
      <c r="O41" s="89"/>
      <c r="P41" s="89"/>
      <c r="Q41" s="89"/>
      <c r="R41" s="89"/>
      <c r="S41" s="88"/>
      <c r="T41" s="88"/>
      <c r="U41" s="88"/>
      <c r="V41" s="1"/>
      <c r="W41" s="1"/>
      <c r="X41" s="1"/>
      <c r="Y41" s="1"/>
      <c r="Z41" s="1"/>
    </row>
    <row r="42" spans="1:26" ht="14.25" customHeight="1" x14ac:dyDescent="0.3">
      <c r="A42" s="88"/>
      <c r="B42" s="93" t="s">
        <v>237</v>
      </c>
      <c r="C42" s="93" t="s">
        <v>238</v>
      </c>
      <c r="D42" s="94">
        <v>26.42</v>
      </c>
      <c r="E42" s="95">
        <v>1204569.6599999999</v>
      </c>
      <c r="F42" s="96">
        <v>2807476</v>
      </c>
      <c r="G42" s="96">
        <f t="shared" ref="G42:G44" si="19">D42*E42</f>
        <v>31824730.417199999</v>
      </c>
      <c r="H42" s="96">
        <f t="shared" ref="H42:H44" si="20">F42+G42</f>
        <v>34632206.417199999</v>
      </c>
      <c r="I42" s="96">
        <v>139392</v>
      </c>
      <c r="J42" s="96">
        <v>8779963</v>
      </c>
      <c r="K42" s="96">
        <v>961600</v>
      </c>
      <c r="L42" s="89"/>
      <c r="M42" s="89"/>
      <c r="N42" s="89"/>
      <c r="O42" s="89"/>
      <c r="P42" s="89"/>
      <c r="Q42" s="89"/>
      <c r="R42" s="89"/>
      <c r="S42" s="88"/>
      <c r="T42" s="88"/>
      <c r="U42" s="88"/>
      <c r="V42" s="1"/>
      <c r="W42" s="1"/>
      <c r="X42" s="1"/>
      <c r="Y42" s="1"/>
      <c r="Z42" s="1"/>
    </row>
    <row r="43" spans="1:26" ht="14.25" customHeight="1" x14ac:dyDescent="0.3">
      <c r="A43" s="88"/>
      <c r="B43" s="93" t="s">
        <v>239</v>
      </c>
      <c r="C43" s="93" t="s">
        <v>240</v>
      </c>
      <c r="D43" s="94">
        <v>143.18</v>
      </c>
      <c r="E43" s="95">
        <v>898668.36</v>
      </c>
      <c r="F43" s="96">
        <v>15666000</v>
      </c>
      <c r="G43" s="96">
        <f t="shared" si="19"/>
        <v>128671335.78480001</v>
      </c>
      <c r="H43" s="96">
        <f t="shared" si="20"/>
        <v>144337335.78479999</v>
      </c>
      <c r="I43" s="96">
        <v>556000</v>
      </c>
      <c r="J43" s="96">
        <v>8567000</v>
      </c>
      <c r="K43" s="96">
        <v>1274000</v>
      </c>
      <c r="L43" s="89"/>
      <c r="M43" s="89"/>
      <c r="N43" s="89"/>
      <c r="O43" s="89"/>
      <c r="P43" s="89"/>
      <c r="Q43" s="89"/>
      <c r="R43" s="89"/>
      <c r="S43" s="88"/>
      <c r="T43" s="88"/>
      <c r="U43" s="88"/>
      <c r="V43" s="1"/>
      <c r="W43" s="1"/>
      <c r="X43" s="1"/>
      <c r="Y43" s="1"/>
      <c r="Z43" s="1"/>
    </row>
    <row r="44" spans="1:26" ht="14.25" customHeight="1" x14ac:dyDescent="0.3">
      <c r="A44" s="88"/>
      <c r="B44" s="93" t="s">
        <v>241</v>
      </c>
      <c r="C44" s="93" t="s">
        <v>242</v>
      </c>
      <c r="D44" s="94">
        <v>68.81</v>
      </c>
      <c r="E44" s="95">
        <v>441331.61</v>
      </c>
      <c r="F44" s="96">
        <v>904000</v>
      </c>
      <c r="G44" s="96">
        <f t="shared" si="19"/>
        <v>30368028.084100001</v>
      </c>
      <c r="H44" s="96">
        <f t="shared" si="20"/>
        <v>31272028.084100001</v>
      </c>
      <c r="I44" s="96">
        <v>224000</v>
      </c>
      <c r="J44" s="96">
        <v>5106000</v>
      </c>
      <c r="K44" s="96">
        <v>2704000</v>
      </c>
      <c r="L44" s="89"/>
      <c r="M44" s="89"/>
      <c r="N44" s="89"/>
      <c r="O44" s="89"/>
      <c r="P44" s="89"/>
      <c r="Q44" s="89"/>
      <c r="R44" s="89"/>
      <c r="S44" s="88"/>
      <c r="T44" s="88"/>
      <c r="U44" s="88"/>
      <c r="V44" s="1"/>
      <c r="W44" s="1"/>
      <c r="X44" s="1"/>
      <c r="Y44" s="1"/>
      <c r="Z44" s="1"/>
    </row>
    <row r="45" spans="1:26" ht="14.25" customHeight="1" x14ac:dyDescent="0.3">
      <c r="A45" s="88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8"/>
      <c r="T45" s="88"/>
      <c r="U45" s="88"/>
      <c r="V45" s="1"/>
      <c r="W45" s="1"/>
      <c r="X45" s="1"/>
      <c r="Y45" s="1"/>
      <c r="Z45" s="1"/>
    </row>
    <row r="46" spans="1:26" ht="14.25" customHeight="1" x14ac:dyDescent="0.3">
      <c r="A46" s="88"/>
      <c r="B46" s="89"/>
      <c r="C46" s="235" t="s">
        <v>246</v>
      </c>
      <c r="D46" s="236"/>
      <c r="E46" s="236"/>
      <c r="F46" s="236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8"/>
      <c r="T46" s="88"/>
      <c r="U46" s="88"/>
      <c r="V46" s="1"/>
      <c r="W46" s="1"/>
      <c r="X46" s="1"/>
      <c r="Y46" s="1"/>
      <c r="Z46" s="1"/>
    </row>
    <row r="47" spans="1:26" ht="14.25" customHeight="1" x14ac:dyDescent="0.3">
      <c r="A47" s="88"/>
      <c r="B47" s="89"/>
      <c r="C47" s="91" t="s">
        <v>250</v>
      </c>
      <c r="D47" s="91" t="s">
        <v>251</v>
      </c>
      <c r="E47" s="91" t="s">
        <v>252</v>
      </c>
      <c r="F47" s="91" t="s">
        <v>253</v>
      </c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8"/>
      <c r="T47" s="88"/>
      <c r="U47" s="88"/>
      <c r="V47" s="1"/>
      <c r="W47" s="1"/>
      <c r="X47" s="1"/>
      <c r="Y47" s="1"/>
      <c r="Z47" s="1"/>
    </row>
    <row r="48" spans="1:26" ht="14.25" customHeight="1" x14ac:dyDescent="0.3">
      <c r="A48" s="88"/>
      <c r="B48" s="89"/>
      <c r="C48" s="93" t="s">
        <v>237</v>
      </c>
      <c r="D48" s="110">
        <f t="shared" ref="D48:D50" si="21">G42/J42</f>
        <v>3.6246998326986115</v>
      </c>
      <c r="E48" s="110">
        <f t="shared" ref="E48:E50" si="22">G42/I42</f>
        <v>228.31102514634986</v>
      </c>
      <c r="F48" s="110">
        <f t="shared" ref="F48:F50" si="23">H42/K42</f>
        <v>36.01518970174709</v>
      </c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8"/>
      <c r="T48" s="88"/>
      <c r="U48" s="88"/>
      <c r="V48" s="1"/>
      <c r="W48" s="1"/>
      <c r="X48" s="1"/>
      <c r="Y48" s="1"/>
      <c r="Z48" s="1"/>
    </row>
    <row r="49" spans="1:26" ht="14.25" customHeight="1" x14ac:dyDescent="0.3">
      <c r="A49" s="88"/>
      <c r="B49" s="89"/>
      <c r="C49" s="93" t="s">
        <v>239</v>
      </c>
      <c r="D49" s="110">
        <f t="shared" si="21"/>
        <v>15.019415873094433</v>
      </c>
      <c r="E49" s="110">
        <f t="shared" si="22"/>
        <v>231.42326580000002</v>
      </c>
      <c r="F49" s="110">
        <f t="shared" si="23"/>
        <v>113.29461207598115</v>
      </c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8"/>
      <c r="T49" s="88"/>
      <c r="U49" s="88"/>
      <c r="V49" s="1"/>
      <c r="W49" s="1"/>
      <c r="X49" s="1"/>
      <c r="Y49" s="1"/>
      <c r="Z49" s="1"/>
    </row>
    <row r="50" spans="1:26" ht="14.25" customHeight="1" x14ac:dyDescent="0.3">
      <c r="A50" s="88"/>
      <c r="B50" s="89"/>
      <c r="C50" s="93" t="s">
        <v>241</v>
      </c>
      <c r="D50" s="110">
        <f t="shared" si="21"/>
        <v>5.9475182303368586</v>
      </c>
      <c r="E50" s="110">
        <f t="shared" si="22"/>
        <v>135.57155394687501</v>
      </c>
      <c r="F50" s="110">
        <f t="shared" si="23"/>
        <v>11.565099143528107</v>
      </c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8"/>
      <c r="T50" s="88"/>
      <c r="U50" s="88"/>
      <c r="V50" s="1"/>
      <c r="W50" s="1"/>
      <c r="X50" s="1"/>
      <c r="Y50" s="1"/>
      <c r="Z50" s="1"/>
    </row>
    <row r="51" spans="1:26" ht="14.25" customHeight="1" x14ac:dyDescent="0.3">
      <c r="A51" s="88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8"/>
      <c r="T51" s="88"/>
      <c r="U51" s="88"/>
      <c r="V51" s="1"/>
      <c r="W51" s="1"/>
      <c r="X51" s="1"/>
      <c r="Y51" s="1"/>
      <c r="Z51" s="1"/>
    </row>
    <row r="52" spans="1:26" ht="14.25" customHeight="1" x14ac:dyDescent="0.3">
      <c r="A52" s="88"/>
      <c r="B52" s="89"/>
      <c r="C52" s="235" t="s">
        <v>259</v>
      </c>
      <c r="D52" s="236"/>
      <c r="E52" s="236"/>
      <c r="F52" s="236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8"/>
      <c r="T52" s="88"/>
      <c r="U52" s="88"/>
      <c r="V52" s="1"/>
      <c r="W52" s="1"/>
      <c r="X52" s="1"/>
      <c r="Y52" s="1"/>
      <c r="Z52" s="1"/>
    </row>
    <row r="53" spans="1:26" ht="14.25" customHeight="1" x14ac:dyDescent="0.3">
      <c r="A53" s="88"/>
      <c r="B53" s="89"/>
      <c r="C53" s="91" t="s">
        <v>250</v>
      </c>
      <c r="D53" s="91" t="s">
        <v>251</v>
      </c>
      <c r="E53" s="91" t="s">
        <v>252</v>
      </c>
      <c r="F53" s="91" t="s">
        <v>253</v>
      </c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8"/>
      <c r="T53" s="88"/>
      <c r="U53" s="88"/>
      <c r="V53" s="1"/>
      <c r="W53" s="1"/>
      <c r="X53" s="1"/>
      <c r="Y53" s="1"/>
      <c r="Z53" s="1"/>
    </row>
    <row r="54" spans="1:26" ht="14.25" customHeight="1" x14ac:dyDescent="0.3">
      <c r="A54" s="88"/>
      <c r="B54" s="89"/>
      <c r="C54" s="93" t="s">
        <v>237</v>
      </c>
      <c r="D54" s="110">
        <f t="shared" ref="D54:F54" si="24">D48/SUM(D$48:D$50)</f>
        <v>0.14739564854099513</v>
      </c>
      <c r="E54" s="110">
        <f t="shared" si="24"/>
        <v>0.38351887035024845</v>
      </c>
      <c r="F54" s="110">
        <f t="shared" si="24"/>
        <v>0.22387078093291565</v>
      </c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8"/>
      <c r="T54" s="88"/>
      <c r="U54" s="88"/>
      <c r="V54" s="1"/>
      <c r="W54" s="1"/>
      <c r="X54" s="1"/>
      <c r="Y54" s="1"/>
      <c r="Z54" s="1"/>
    </row>
    <row r="55" spans="1:26" ht="14.25" customHeight="1" x14ac:dyDescent="0.3">
      <c r="A55" s="88"/>
      <c r="B55" s="89"/>
      <c r="C55" s="93" t="s">
        <v>239</v>
      </c>
      <c r="D55" s="110">
        <f t="shared" ref="D55:F55" si="25">D49/SUM(D$48:D$50)</f>
        <v>0.61075306797845519</v>
      </c>
      <c r="E55" s="110">
        <f t="shared" si="25"/>
        <v>0.38874683960394929</v>
      </c>
      <c r="F55" s="110">
        <f t="shared" si="25"/>
        <v>0.70424044662775342</v>
      </c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8"/>
      <c r="T55" s="88"/>
      <c r="U55" s="88"/>
      <c r="V55" s="1"/>
      <c r="W55" s="1"/>
      <c r="X55" s="1"/>
      <c r="Y55" s="1"/>
      <c r="Z55" s="1"/>
    </row>
    <row r="56" spans="1:26" ht="14.25" customHeight="1" x14ac:dyDescent="0.3">
      <c r="A56" s="88"/>
      <c r="B56" s="89"/>
      <c r="C56" s="93" t="s">
        <v>241</v>
      </c>
      <c r="D56" s="110">
        <f t="shared" ref="D56:F56" si="26">D50/SUM(D$48:D$50)</f>
        <v>0.24185128348054968</v>
      </c>
      <c r="E56" s="110">
        <f t="shared" si="26"/>
        <v>0.22773429004580217</v>
      </c>
      <c r="F56" s="110">
        <f t="shared" si="26"/>
        <v>7.1888772439330922E-2</v>
      </c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8"/>
      <c r="T56" s="88"/>
      <c r="U56" s="88"/>
      <c r="V56" s="1"/>
      <c r="W56" s="1"/>
      <c r="X56" s="1"/>
      <c r="Y56" s="1"/>
      <c r="Z56" s="1"/>
    </row>
    <row r="57" spans="1:26" ht="14.25" customHeight="1" x14ac:dyDescent="0.3">
      <c r="A57" s="88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8"/>
      <c r="T57" s="88"/>
      <c r="U57" s="88"/>
      <c r="V57" s="1"/>
      <c r="W57" s="1"/>
      <c r="X57" s="1"/>
      <c r="Y57" s="1"/>
      <c r="Z57" s="1"/>
    </row>
    <row r="58" spans="1:26" ht="14.25" customHeight="1" x14ac:dyDescent="0.3">
      <c r="A58" s="88"/>
      <c r="B58" s="89"/>
      <c r="C58" s="235" t="s">
        <v>260</v>
      </c>
      <c r="D58" s="236"/>
      <c r="E58" s="236"/>
      <c r="F58" s="236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8"/>
      <c r="T58" s="88"/>
      <c r="U58" s="88"/>
      <c r="V58" s="1"/>
      <c r="W58" s="1"/>
      <c r="X58" s="1"/>
      <c r="Y58" s="1"/>
      <c r="Z58" s="1"/>
    </row>
    <row r="59" spans="1:26" ht="14.25" customHeight="1" x14ac:dyDescent="0.3">
      <c r="A59" s="88"/>
      <c r="B59" s="89"/>
      <c r="C59" s="91" t="s">
        <v>262</v>
      </c>
      <c r="D59" s="91" t="s">
        <v>251</v>
      </c>
      <c r="E59" s="91" t="s">
        <v>252</v>
      </c>
      <c r="F59" s="91" t="s">
        <v>253</v>
      </c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8"/>
      <c r="T59" s="88"/>
      <c r="U59" s="88"/>
      <c r="V59" s="1"/>
      <c r="W59" s="1"/>
      <c r="X59" s="1"/>
      <c r="Y59" s="1"/>
      <c r="Z59" s="1"/>
    </row>
    <row r="60" spans="1:26" ht="14.25" customHeight="1" x14ac:dyDescent="0.3">
      <c r="A60" s="88"/>
      <c r="B60" s="89"/>
      <c r="C60" s="93" t="s">
        <v>256</v>
      </c>
      <c r="D60" s="110">
        <f t="shared" ref="D60:F60" si="27">SUMPRODUCT(D48:D50,D54:D56)</f>
        <v>11.145834223874719</v>
      </c>
      <c r="E60" s="110">
        <f t="shared" si="27"/>
        <v>208.40094123170778</v>
      </c>
      <c r="F60" s="110">
        <f t="shared" si="27"/>
        <v>88.680797633451633</v>
      </c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8"/>
      <c r="T60" s="88"/>
      <c r="U60" s="88"/>
      <c r="V60" s="1"/>
      <c r="W60" s="1"/>
      <c r="X60" s="1"/>
      <c r="Y60" s="1"/>
      <c r="Z60" s="1"/>
    </row>
    <row r="61" spans="1:26" ht="14.25" customHeight="1" x14ac:dyDescent="0.3">
      <c r="A61" s="88"/>
      <c r="B61" s="89"/>
      <c r="C61" s="93" t="s">
        <v>257</v>
      </c>
      <c r="D61" s="110">
        <f t="shared" ref="D61:F61" si="28">MAX(D48:D50)/MIN(D48:D50)</f>
        <v>4.1436302497667468</v>
      </c>
      <c r="E61" s="110">
        <f t="shared" si="28"/>
        <v>1.7070193492853627</v>
      </c>
      <c r="F61" s="110">
        <f t="shared" si="28"/>
        <v>9.7962508293222399</v>
      </c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8"/>
      <c r="T61" s="88"/>
      <c r="U61" s="88"/>
      <c r="V61" s="1"/>
      <c r="W61" s="1"/>
      <c r="X61" s="1"/>
      <c r="Y61" s="1"/>
      <c r="Z61" s="1"/>
    </row>
    <row r="62" spans="1:26" ht="14.25" customHeight="1" x14ac:dyDescent="0.3">
      <c r="A62" s="88"/>
      <c r="B62" s="89"/>
      <c r="C62" s="89"/>
      <c r="D62" s="116"/>
      <c r="E62" s="116"/>
      <c r="F62" s="116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8"/>
      <c r="T62" s="88"/>
      <c r="U62" s="88"/>
      <c r="V62" s="1"/>
      <c r="W62" s="1"/>
      <c r="X62" s="1"/>
      <c r="Y62" s="1"/>
      <c r="Z62" s="1"/>
    </row>
    <row r="63" spans="1:26" ht="14.25" customHeight="1" x14ac:dyDescent="0.3">
      <c r="A63" s="88"/>
      <c r="B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8"/>
      <c r="T63" s="88"/>
      <c r="U63" s="88"/>
      <c r="V63" s="1"/>
      <c r="W63" s="1"/>
      <c r="X63" s="1"/>
      <c r="Y63" s="1"/>
      <c r="Z63" s="1"/>
    </row>
    <row r="64" spans="1:26" ht="14.25" customHeight="1" x14ac:dyDescent="0.3">
      <c r="A64" s="88"/>
      <c r="B64" s="89"/>
      <c r="E64" s="116"/>
      <c r="F64" s="116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8"/>
      <c r="T64" s="88"/>
      <c r="U64" s="88"/>
      <c r="V64" s="1"/>
      <c r="W64" s="1"/>
      <c r="X64" s="1"/>
      <c r="Y64" s="1"/>
      <c r="Z64" s="1"/>
    </row>
    <row r="65" spans="1:26" ht="14.25" customHeight="1" x14ac:dyDescent="0.3">
      <c r="A65" s="88"/>
      <c r="B65" s="89"/>
      <c r="C65" s="235" t="s">
        <v>266</v>
      </c>
      <c r="D65" s="236"/>
      <c r="E65" s="98"/>
      <c r="F65" s="118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8"/>
      <c r="T65" s="88"/>
      <c r="U65" s="88"/>
      <c r="V65" s="1"/>
      <c r="W65" s="1"/>
      <c r="X65" s="1"/>
      <c r="Y65" s="1"/>
      <c r="Z65" s="1"/>
    </row>
    <row r="66" spans="1:26" ht="14.25" customHeight="1" x14ac:dyDescent="0.3">
      <c r="A66" s="88"/>
      <c r="B66" s="89"/>
      <c r="C66" s="91" t="s">
        <v>264</v>
      </c>
      <c r="D66" s="117" t="s">
        <v>258</v>
      </c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8"/>
      <c r="T66" s="88"/>
      <c r="U66" s="88"/>
      <c r="V66" s="1"/>
      <c r="W66" s="1"/>
      <c r="X66" s="1"/>
      <c r="Y66" s="1"/>
      <c r="Z66" s="1"/>
    </row>
    <row r="67" spans="1:26" ht="14.25" customHeight="1" x14ac:dyDescent="0.3">
      <c r="A67" s="88"/>
      <c r="B67" s="89"/>
      <c r="C67" s="96">
        <v>34741</v>
      </c>
      <c r="D67" s="114">
        <f>C67*E60</f>
        <v>7240057.0993307596</v>
      </c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8"/>
      <c r="T67" s="88"/>
      <c r="U67" s="88"/>
      <c r="V67" s="1"/>
      <c r="W67" s="1"/>
      <c r="X67" s="1"/>
      <c r="Y67" s="1"/>
      <c r="Z67" s="1"/>
    </row>
    <row r="68" spans="1:26" ht="14.25" customHeight="1" x14ac:dyDescent="0.3">
      <c r="A68" s="88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8"/>
      <c r="T68" s="88"/>
      <c r="U68" s="88"/>
      <c r="V68" s="1"/>
      <c r="W68" s="1"/>
      <c r="X68" s="1"/>
      <c r="Y68" s="1"/>
      <c r="Z68" s="1"/>
    </row>
    <row r="69" spans="1:26" ht="14.25" customHeight="1" x14ac:dyDescent="0.3">
      <c r="A69" s="88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8"/>
      <c r="T69" s="88"/>
      <c r="U69" s="88"/>
      <c r="V69" s="1"/>
      <c r="W69" s="1"/>
      <c r="X69" s="1"/>
      <c r="Y69" s="1"/>
      <c r="Z69" s="1"/>
    </row>
    <row r="70" spans="1:26" ht="14.25" customHeight="1" x14ac:dyDescent="0.3">
      <c r="A70" s="88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8"/>
      <c r="T70" s="88"/>
      <c r="U70" s="88"/>
      <c r="V70" s="1"/>
      <c r="W70" s="1"/>
      <c r="X70" s="1"/>
      <c r="Y70" s="1"/>
      <c r="Z70" s="1"/>
    </row>
    <row r="71" spans="1:26" ht="14.25" customHeight="1" x14ac:dyDescent="0.3">
      <c r="A71" s="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6">
    <mergeCell ref="B4:L4"/>
    <mergeCell ref="K11:L11"/>
    <mergeCell ref="O11:Q11"/>
    <mergeCell ref="C12:I12"/>
    <mergeCell ref="K12:L12"/>
    <mergeCell ref="C19:I19"/>
    <mergeCell ref="K19:L19"/>
    <mergeCell ref="C58:F58"/>
    <mergeCell ref="C65:D65"/>
    <mergeCell ref="C26:I26"/>
    <mergeCell ref="K26:L26"/>
    <mergeCell ref="C32:D32"/>
    <mergeCell ref="L32:M32"/>
    <mergeCell ref="B40:K40"/>
    <mergeCell ref="C46:F46"/>
    <mergeCell ref="C52:F5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1"/>
  <sheetViews>
    <sheetView showGridLines="0" tabSelected="1" topLeftCell="B1" workbookViewId="0">
      <selection activeCell="M5" sqref="M5"/>
    </sheetView>
  </sheetViews>
  <sheetFormatPr baseColWidth="10" defaultColWidth="12.6640625" defaultRowHeight="15" customHeight="1" x14ac:dyDescent="0.3"/>
  <cols>
    <col min="1" max="2" width="16.44140625" customWidth="1"/>
    <col min="3" max="3" width="17.6640625" bestFit="1" customWidth="1"/>
    <col min="4" max="4" width="19.33203125" bestFit="1" customWidth="1"/>
    <col min="5" max="5" width="18.33203125" customWidth="1"/>
    <col min="6" max="6" width="16.44140625" customWidth="1"/>
    <col min="7" max="7" width="19.77734375" customWidth="1"/>
    <col min="8" max="8" width="13.88671875" customWidth="1"/>
    <col min="9" max="9" width="18.6640625" customWidth="1"/>
    <col min="10" max="10" width="15.77734375" customWidth="1"/>
    <col min="11" max="11" width="29.88671875" customWidth="1"/>
    <col min="12" max="12" width="23.21875" customWidth="1"/>
    <col min="13" max="13" width="12.21875" customWidth="1"/>
    <col min="14" max="14" width="12.109375" customWidth="1"/>
    <col min="15" max="15" width="11.77734375" customWidth="1"/>
    <col min="16" max="16" width="11.33203125" bestFit="1" customWidth="1"/>
    <col min="17" max="17" width="12.33203125" bestFit="1" customWidth="1"/>
    <col min="18" max="18" width="16.44140625" customWidth="1"/>
    <col min="19" max="21" width="9.44140625" customWidth="1"/>
    <col min="22" max="26" width="16.44140625" customWidth="1"/>
  </cols>
  <sheetData>
    <row r="1" spans="1:26" ht="14.25" customHeight="1" x14ac:dyDescent="0.3">
      <c r="A1" s="122"/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36"/>
      <c r="X1" s="36"/>
      <c r="Y1" s="36"/>
      <c r="Z1" s="36"/>
    </row>
    <row r="2" spans="1:26" ht="14.25" customHeight="1" x14ac:dyDescent="0.3">
      <c r="A2" s="122"/>
      <c r="B2" s="123" t="s">
        <v>227</v>
      </c>
      <c r="C2" s="123" t="s">
        <v>267</v>
      </c>
      <c r="D2" s="123" t="s">
        <v>231</v>
      </c>
      <c r="E2" s="123" t="s">
        <v>268</v>
      </c>
      <c r="F2" s="123" t="s">
        <v>269</v>
      </c>
      <c r="G2" s="123" t="s">
        <v>270</v>
      </c>
      <c r="H2" s="123" t="s">
        <v>271</v>
      </c>
      <c r="I2" s="123" t="s">
        <v>272</v>
      </c>
      <c r="J2" s="123" t="s">
        <v>273</v>
      </c>
      <c r="K2" s="123" t="s">
        <v>274</v>
      </c>
      <c r="L2" s="123" t="s">
        <v>275</v>
      </c>
      <c r="M2" s="123" t="s">
        <v>276</v>
      </c>
      <c r="N2" s="123" t="s">
        <v>277</v>
      </c>
      <c r="O2" s="123" t="s">
        <v>278</v>
      </c>
      <c r="P2" s="123" t="s">
        <v>279</v>
      </c>
      <c r="Q2" s="123" t="s">
        <v>280</v>
      </c>
      <c r="R2" s="122"/>
      <c r="S2" s="242" t="s">
        <v>281</v>
      </c>
      <c r="T2" s="236"/>
      <c r="U2" s="236"/>
      <c r="V2" s="122"/>
      <c r="W2" s="36"/>
      <c r="X2" s="36"/>
      <c r="Y2" s="36"/>
      <c r="Z2" s="36"/>
    </row>
    <row r="3" spans="1:26" ht="14.25" customHeight="1" x14ac:dyDescent="0.3">
      <c r="A3" s="122"/>
      <c r="B3" s="122" t="s">
        <v>237</v>
      </c>
      <c r="C3" s="122" t="s">
        <v>282</v>
      </c>
      <c r="D3" s="124">
        <f>3092692+609</f>
        <v>3093301</v>
      </c>
      <c r="E3" s="124">
        <f>26262500*15.4</f>
        <v>404442500</v>
      </c>
      <c r="F3" s="124">
        <f t="shared" ref="F3:F6" si="0">D3+E3</f>
        <v>407535801</v>
      </c>
      <c r="G3" s="124">
        <f t="shared" ref="G3:G6" si="1">D3/E3</f>
        <v>7.6483084740105204E-3</v>
      </c>
      <c r="H3" s="125">
        <v>1.94</v>
      </c>
      <c r="I3" s="126">
        <v>0</v>
      </c>
      <c r="J3" s="127">
        <f t="shared" ref="J3:J6" si="2">M3+N3</f>
        <v>4.9800000000000004E-2</v>
      </c>
      <c r="K3" s="124">
        <f>233345/609</f>
        <v>383.16091954022988</v>
      </c>
      <c r="L3" s="122"/>
      <c r="M3" s="128">
        <f>+'Rating Sintetico'!F2</f>
        <v>8.5000000000000006E-3</v>
      </c>
      <c r="N3" s="127">
        <v>4.1300000000000003E-2</v>
      </c>
      <c r="O3" s="127">
        <v>0.04</v>
      </c>
      <c r="P3" s="129">
        <f t="shared" ref="P3:P6" si="3">(J3-N3)/O3</f>
        <v>0.21250000000000002</v>
      </c>
      <c r="Q3" s="129">
        <f t="shared" ref="Q3:Q6" si="4">(H3+(1-I3)*G3*P3)/((1+(1-I3)*G3))</f>
        <v>1.9268878330090564</v>
      </c>
      <c r="R3" s="122"/>
      <c r="S3" s="243">
        <f>(AVERAGE(Q3:Q6))</f>
        <v>1.6171324128764972</v>
      </c>
      <c r="T3" s="239"/>
      <c r="U3" s="239"/>
      <c r="V3" s="122"/>
      <c r="W3" s="36"/>
      <c r="X3" s="36"/>
      <c r="Y3" s="36"/>
      <c r="Z3" s="36"/>
    </row>
    <row r="4" spans="1:26" ht="14.25" customHeight="1" x14ac:dyDescent="0.3">
      <c r="A4" s="122"/>
      <c r="B4" s="122" t="s">
        <v>239</v>
      </c>
      <c r="C4" s="122" t="s">
        <v>283</v>
      </c>
      <c r="D4" s="124">
        <v>0</v>
      </c>
      <c r="E4" s="124">
        <f>14168100*37.26</f>
        <v>527903406</v>
      </c>
      <c r="F4" s="124">
        <f t="shared" si="0"/>
        <v>527903406</v>
      </c>
      <c r="G4" s="124">
        <f t="shared" si="1"/>
        <v>0</v>
      </c>
      <c r="H4" s="125">
        <v>2.42</v>
      </c>
      <c r="I4" s="126">
        <f>347/1064</f>
        <v>0.32612781954887216</v>
      </c>
      <c r="J4" s="127">
        <f t="shared" si="2"/>
        <v>5.96E-2</v>
      </c>
      <c r="K4" s="130" t="s">
        <v>284</v>
      </c>
      <c r="L4" s="122"/>
      <c r="M4" s="128">
        <f>+'Rating Sintetico'!F3</f>
        <v>1.83E-2</v>
      </c>
      <c r="N4" s="127">
        <v>4.1300000000000003E-2</v>
      </c>
      <c r="O4" s="127">
        <v>0.04</v>
      </c>
      <c r="P4" s="129">
        <f t="shared" si="3"/>
        <v>0.45749999999999991</v>
      </c>
      <c r="Q4" s="129">
        <f t="shared" si="4"/>
        <v>2.42</v>
      </c>
      <c r="R4" s="122"/>
      <c r="S4" s="131"/>
      <c r="T4" s="122"/>
      <c r="U4" s="122"/>
      <c r="V4" s="122"/>
      <c r="W4" s="36"/>
      <c r="X4" s="36"/>
      <c r="Y4" s="36"/>
      <c r="Z4" s="36"/>
    </row>
    <row r="5" spans="1:26" ht="14.25" customHeight="1" x14ac:dyDescent="0.3">
      <c r="A5" s="122"/>
      <c r="B5" s="122" t="s">
        <v>243</v>
      </c>
      <c r="C5" s="122" t="s">
        <v>307</v>
      </c>
      <c r="D5" s="124">
        <f>+(5999+16700+22428)*1000</f>
        <v>45127000</v>
      </c>
      <c r="E5" s="124">
        <f>74.01*4082400</f>
        <v>302138424</v>
      </c>
      <c r="F5" s="124">
        <f t="shared" si="0"/>
        <v>347265424</v>
      </c>
      <c r="G5" s="124">
        <f t="shared" si="1"/>
        <v>0.14935869262361678</v>
      </c>
      <c r="H5" s="125">
        <v>0.95</v>
      </c>
      <c r="I5" s="126">
        <f>(1750/7692)</f>
        <v>0.22750910036401456</v>
      </c>
      <c r="J5" s="127">
        <f>M5+N5</f>
        <v>4.9000000000000002E-2</v>
      </c>
      <c r="K5" s="130">
        <f>+'[1]Rating Sintetico'!D4</f>
        <v>2.2031909901454716</v>
      </c>
      <c r="L5" s="122"/>
      <c r="M5" s="128">
        <f>+'[1]Rating Sintetico'!F4</f>
        <v>7.7000000000000002E-3</v>
      </c>
      <c r="N5" s="127">
        <v>4.1300000000000003E-2</v>
      </c>
      <c r="O5" s="127">
        <v>0.04</v>
      </c>
      <c r="P5" s="129">
        <f>(J5-N5)/O5</f>
        <v>0.19249999999999995</v>
      </c>
      <c r="Q5" s="129">
        <f t="shared" si="4"/>
        <v>0.87164181849693256</v>
      </c>
      <c r="R5" s="122"/>
      <c r="S5" s="131"/>
      <c r="T5" s="122"/>
      <c r="U5" s="122"/>
      <c r="V5" s="122"/>
      <c r="W5" s="36"/>
      <c r="X5" s="36"/>
      <c r="Y5" s="36"/>
      <c r="Z5" s="36"/>
    </row>
    <row r="6" spans="1:26" ht="14.25" customHeight="1" x14ac:dyDescent="0.3">
      <c r="A6" s="122"/>
      <c r="B6" s="122" t="s">
        <v>241</v>
      </c>
      <c r="C6" s="122" t="s">
        <v>285</v>
      </c>
      <c r="D6" s="124">
        <v>0</v>
      </c>
      <c r="E6" s="124">
        <f>2982000*44.17</f>
        <v>131714940</v>
      </c>
      <c r="F6" s="124">
        <f t="shared" si="0"/>
        <v>131714940</v>
      </c>
      <c r="G6" s="124">
        <f t="shared" si="1"/>
        <v>0</v>
      </c>
      <c r="H6" s="125">
        <v>1.25</v>
      </c>
      <c r="I6" s="126">
        <f>288/3695</f>
        <v>7.7943166441136677E-2</v>
      </c>
      <c r="J6" s="127">
        <f t="shared" si="2"/>
        <v>5.6800000000000003E-2</v>
      </c>
      <c r="K6" s="130" t="s">
        <v>284</v>
      </c>
      <c r="L6" s="122"/>
      <c r="M6" s="128">
        <f>+'Rating Sintetico'!F5</f>
        <v>1.55E-2</v>
      </c>
      <c r="N6" s="127">
        <v>4.1300000000000003E-2</v>
      </c>
      <c r="O6" s="127">
        <v>0.04</v>
      </c>
      <c r="P6" s="129">
        <f t="shared" si="3"/>
        <v>0.38750000000000001</v>
      </c>
      <c r="Q6" s="129">
        <f t="shared" si="4"/>
        <v>1.25</v>
      </c>
      <c r="R6" s="122"/>
      <c r="S6" s="131"/>
      <c r="T6" s="122"/>
      <c r="U6" s="122"/>
      <c r="V6" s="122"/>
      <c r="W6" s="36"/>
      <c r="X6" s="36"/>
      <c r="Y6" s="36"/>
      <c r="Z6" s="36"/>
    </row>
    <row r="7" spans="1:26" ht="14.25" customHeight="1" x14ac:dyDescent="0.3">
      <c r="A7" s="122"/>
      <c r="B7" s="122"/>
      <c r="C7" s="122"/>
      <c r="D7" s="132"/>
      <c r="E7" s="132"/>
      <c r="F7" s="132"/>
      <c r="G7" s="132"/>
      <c r="H7" s="122"/>
      <c r="I7" s="133"/>
      <c r="J7" s="133"/>
      <c r="K7" s="132"/>
      <c r="L7" s="122"/>
      <c r="M7" s="133"/>
      <c r="N7" s="133"/>
      <c r="O7" s="133"/>
      <c r="P7" s="131"/>
      <c r="Q7" s="131"/>
      <c r="R7" s="122"/>
      <c r="S7" s="131"/>
      <c r="T7" s="122"/>
      <c r="U7" s="122"/>
      <c r="V7" s="122"/>
      <c r="W7" s="36"/>
      <c r="X7" s="36"/>
      <c r="Y7" s="36"/>
      <c r="Z7" s="36"/>
    </row>
    <row r="8" spans="1:26" ht="14.25" customHeight="1" x14ac:dyDescent="0.3">
      <c r="A8" s="122"/>
      <c r="B8" s="122"/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31"/>
      <c r="T8" s="122"/>
      <c r="U8" s="122"/>
      <c r="V8" s="122"/>
      <c r="W8" s="36"/>
      <c r="X8" s="36"/>
      <c r="Y8" s="36"/>
      <c r="Z8" s="36"/>
    </row>
    <row r="9" spans="1:26" ht="14.25" customHeight="1" x14ac:dyDescent="0.3">
      <c r="A9" s="122"/>
      <c r="B9" s="122"/>
      <c r="C9" s="122"/>
      <c r="D9" s="134" t="s">
        <v>231</v>
      </c>
      <c r="E9" s="134" t="s">
        <v>286</v>
      </c>
      <c r="F9" s="134" t="s">
        <v>269</v>
      </c>
      <c r="G9" s="134" t="s">
        <v>270</v>
      </c>
      <c r="H9" s="134" t="s">
        <v>280</v>
      </c>
      <c r="I9" s="134" t="s">
        <v>287</v>
      </c>
      <c r="J9" s="134" t="s">
        <v>288</v>
      </c>
      <c r="K9" s="122"/>
      <c r="L9" s="122"/>
      <c r="M9" s="122"/>
      <c r="N9" s="122"/>
      <c r="O9" s="122"/>
      <c r="P9" s="122"/>
      <c r="Q9" s="122"/>
      <c r="R9" s="122"/>
      <c r="S9" s="131"/>
      <c r="T9" s="122"/>
      <c r="U9" s="122"/>
      <c r="V9" s="122"/>
      <c r="W9" s="36"/>
      <c r="X9" s="36"/>
      <c r="Y9" s="36"/>
      <c r="Z9" s="36"/>
    </row>
    <row r="10" spans="1:26" ht="14.25" customHeight="1" x14ac:dyDescent="0.3">
      <c r="A10" s="122"/>
      <c r="B10" s="122"/>
      <c r="C10" s="122" t="s">
        <v>289</v>
      </c>
      <c r="D10" s="124">
        <f>(46953+23921)*1000</f>
        <v>70874000</v>
      </c>
      <c r="E10" s="124">
        <f>(227198+4+113523)*1000</f>
        <v>340725000</v>
      </c>
      <c r="F10" s="135">
        <f>SUM(D10:E10)</f>
        <v>411599000</v>
      </c>
      <c r="G10" s="129">
        <f>D10/E10</f>
        <v>0.20800939173820529</v>
      </c>
      <c r="H10" s="129">
        <f>S3</f>
        <v>1.6171324128764972</v>
      </c>
      <c r="I10" s="136">
        <f>H10+G10*(H10-E16)</f>
        <v>1.8729075031405191</v>
      </c>
      <c r="J10" s="136">
        <f>H10+G10*(1-E15)*(H10-E16)</f>
        <v>1.8268679868929951</v>
      </c>
      <c r="K10" s="122"/>
      <c r="L10" s="122"/>
      <c r="M10" s="122"/>
      <c r="N10" s="122"/>
      <c r="O10" s="122"/>
      <c r="P10" s="122"/>
      <c r="Q10" s="122"/>
      <c r="R10" s="122"/>
      <c r="S10" s="131"/>
      <c r="T10" s="122"/>
      <c r="U10" s="122"/>
      <c r="V10" s="122"/>
      <c r="W10" s="36"/>
      <c r="X10" s="36"/>
      <c r="Y10" s="36"/>
      <c r="Z10" s="36"/>
    </row>
    <row r="11" spans="1:26" ht="14.25" customHeight="1" x14ac:dyDescent="0.3">
      <c r="A11" s="122"/>
      <c r="B11" s="122"/>
      <c r="C11" s="122"/>
      <c r="D11" s="132"/>
      <c r="E11" s="132"/>
      <c r="F11" s="137"/>
      <c r="G11" s="131"/>
      <c r="H11" s="131"/>
      <c r="I11" s="131"/>
      <c r="J11" s="131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36"/>
      <c r="X11" s="36"/>
      <c r="Y11" s="36"/>
      <c r="Z11" s="36"/>
    </row>
    <row r="12" spans="1:26" ht="14.25" customHeight="1" x14ac:dyDescent="0.3">
      <c r="A12" s="122"/>
      <c r="B12" s="122"/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36"/>
      <c r="X12" s="36"/>
      <c r="Y12" s="36"/>
      <c r="Z12" s="36"/>
    </row>
    <row r="13" spans="1:26" ht="14.25" customHeight="1" x14ac:dyDescent="0.3">
      <c r="A13" s="122"/>
      <c r="B13" s="122"/>
      <c r="C13" s="122"/>
      <c r="D13" s="244" t="s">
        <v>290</v>
      </c>
      <c r="E13" s="245"/>
      <c r="F13" s="122"/>
      <c r="G13" s="246" t="s">
        <v>291</v>
      </c>
      <c r="H13" s="236"/>
      <c r="I13" s="122"/>
      <c r="J13" s="122"/>
      <c r="K13" s="122"/>
      <c r="L13" s="122"/>
      <c r="M13" s="122"/>
      <c r="N13" s="122"/>
      <c r="O13" s="122" t="s">
        <v>292</v>
      </c>
      <c r="P13" s="122"/>
      <c r="Q13" s="122"/>
      <c r="R13" s="122"/>
      <c r="S13" s="122"/>
      <c r="T13" s="122"/>
      <c r="U13" s="122"/>
      <c r="V13" s="122"/>
      <c r="W13" s="36"/>
      <c r="X13" s="36"/>
      <c r="Y13" s="36"/>
      <c r="Z13" s="36"/>
    </row>
    <row r="14" spans="1:26" ht="14.25" customHeight="1" x14ac:dyDescent="0.3">
      <c r="A14" s="122"/>
      <c r="B14" s="122"/>
      <c r="C14" s="122"/>
      <c r="D14" s="138" t="s">
        <v>293</v>
      </c>
      <c r="E14" s="139">
        <f>D10/F10</f>
        <v>0.17219186635536043</v>
      </c>
      <c r="F14" s="122"/>
      <c r="G14" s="122" t="s">
        <v>294</v>
      </c>
      <c r="H14" s="126">
        <v>4.1300000000000003E-2</v>
      </c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36"/>
      <c r="X14" s="36"/>
      <c r="Y14" s="36"/>
      <c r="Z14" s="36"/>
    </row>
    <row r="15" spans="1:26" ht="14.25" customHeight="1" x14ac:dyDescent="0.3">
      <c r="A15" s="122"/>
      <c r="B15" s="122"/>
      <c r="C15" s="122"/>
      <c r="D15" s="138" t="s">
        <v>295</v>
      </c>
      <c r="E15" s="139">
        <v>0.18</v>
      </c>
      <c r="F15" s="122"/>
      <c r="G15" s="122" t="s">
        <v>278</v>
      </c>
      <c r="H15" s="140">
        <v>0.04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36"/>
      <c r="X15" s="36"/>
      <c r="Y15" s="36"/>
      <c r="Z15" s="36"/>
    </row>
    <row r="16" spans="1:26" ht="14.25" customHeight="1" x14ac:dyDescent="0.3">
      <c r="A16" s="122"/>
      <c r="B16" s="122"/>
      <c r="C16" s="122"/>
      <c r="D16" s="138" t="s">
        <v>296</v>
      </c>
      <c r="E16" s="141">
        <f>(E17-H14)/H15</f>
        <v>0.38750000000000001</v>
      </c>
      <c r="F16" s="122"/>
      <c r="G16" s="122"/>
      <c r="H16" s="133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36"/>
      <c r="X16" s="36"/>
      <c r="Y16" s="36"/>
      <c r="Z16" s="36"/>
    </row>
    <row r="17" spans="1:26" ht="14.25" customHeight="1" x14ac:dyDescent="0.3">
      <c r="A17" s="122"/>
      <c r="B17" s="122"/>
      <c r="C17" s="122"/>
      <c r="D17" s="138" t="s">
        <v>273</v>
      </c>
      <c r="E17" s="139">
        <f>+H14+M6</f>
        <v>5.6800000000000003E-2</v>
      </c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36"/>
      <c r="X17" s="36"/>
      <c r="Y17" s="36"/>
      <c r="Z17" s="36"/>
    </row>
    <row r="18" spans="1:26" ht="14.25" customHeight="1" x14ac:dyDescent="0.3">
      <c r="A18" s="122"/>
      <c r="B18" s="122"/>
      <c r="C18" s="122"/>
      <c r="D18" s="138"/>
      <c r="E18" s="14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36"/>
      <c r="X18" s="36"/>
      <c r="Y18" s="36"/>
      <c r="Z18" s="36"/>
    </row>
    <row r="19" spans="1:26" ht="14.25" customHeight="1" x14ac:dyDescent="0.3">
      <c r="A19" s="122"/>
      <c r="B19" s="122"/>
      <c r="C19" s="122"/>
      <c r="D19" s="138" t="s">
        <v>297</v>
      </c>
      <c r="E19" s="139">
        <f>E10/F10</f>
        <v>0.82780813364463957</v>
      </c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36"/>
      <c r="X19" s="36"/>
      <c r="Y19" s="36"/>
      <c r="Z19" s="36"/>
    </row>
    <row r="20" spans="1:26" ht="14.25" customHeight="1" x14ac:dyDescent="0.3">
      <c r="A20" s="122"/>
      <c r="B20" s="122"/>
      <c r="C20" s="122"/>
      <c r="D20" s="138" t="s">
        <v>287</v>
      </c>
      <c r="E20" s="141">
        <f>I10</f>
        <v>1.8729075031405191</v>
      </c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36"/>
      <c r="X20" s="36"/>
      <c r="Y20" s="36"/>
      <c r="Z20" s="36"/>
    </row>
    <row r="21" spans="1:26" ht="14.25" customHeight="1" x14ac:dyDescent="0.3">
      <c r="A21" s="122"/>
      <c r="B21" s="122"/>
      <c r="C21" s="122"/>
      <c r="D21" s="138" t="s">
        <v>288</v>
      </c>
      <c r="E21" s="141">
        <f>J10</f>
        <v>1.8268679868929951</v>
      </c>
      <c r="F21" s="122"/>
      <c r="G21" s="126">
        <v>2.8199999999999999E-2</v>
      </c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36"/>
      <c r="X21" s="36"/>
      <c r="Y21" s="36"/>
      <c r="Z21" s="36"/>
    </row>
    <row r="22" spans="1:26" ht="14.25" customHeight="1" x14ac:dyDescent="0.3">
      <c r="A22" s="122"/>
      <c r="B22" s="122"/>
      <c r="C22" s="122"/>
      <c r="D22" s="138" t="s">
        <v>298</v>
      </c>
      <c r="E22" s="139">
        <f>H14+E20*H15</f>
        <v>0.11621630012562077</v>
      </c>
      <c r="F22" s="122"/>
      <c r="G22" s="126">
        <f>1-E15</f>
        <v>0.82000000000000006</v>
      </c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36"/>
      <c r="X22" s="36"/>
      <c r="Y22" s="36"/>
      <c r="Z22" s="36"/>
    </row>
    <row r="23" spans="1:26" ht="14.25" customHeight="1" x14ac:dyDescent="0.3">
      <c r="A23" s="122"/>
      <c r="B23" s="122"/>
      <c r="C23" s="122"/>
      <c r="D23" s="138" t="s">
        <v>299</v>
      </c>
      <c r="E23" s="139">
        <f>H14+E21*H15</f>
        <v>0.11437471947571981</v>
      </c>
      <c r="F23" s="122"/>
      <c r="G23" s="126">
        <f>+G21*G22</f>
        <v>2.3124000000000002E-2</v>
      </c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36"/>
      <c r="X23" s="36"/>
      <c r="Y23" s="36"/>
      <c r="Z23" s="36"/>
    </row>
    <row r="24" spans="1:26" ht="14.25" customHeight="1" x14ac:dyDescent="0.3">
      <c r="A24" s="122"/>
      <c r="B24" s="122"/>
      <c r="C24" s="122"/>
      <c r="D24" s="138"/>
      <c r="E24" s="142"/>
      <c r="F24" s="122"/>
      <c r="G24" s="133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36"/>
      <c r="X24" s="36"/>
      <c r="Y24" s="36"/>
      <c r="Z24" s="36"/>
    </row>
    <row r="25" spans="1:26" ht="14.25" customHeight="1" x14ac:dyDescent="0.3">
      <c r="A25" s="122"/>
      <c r="B25" s="122"/>
      <c r="C25" s="122"/>
      <c r="D25" s="143" t="s">
        <v>300</v>
      </c>
      <c r="E25" s="144">
        <f>E14*E17+E19*E22</f>
        <v>0.1059852965150599</v>
      </c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36"/>
      <c r="X25" s="36"/>
      <c r="Y25" s="36"/>
      <c r="Z25" s="36"/>
    </row>
    <row r="26" spans="1:26" ht="14.25" customHeight="1" x14ac:dyDescent="0.3">
      <c r="A26" s="122"/>
      <c r="B26" s="122"/>
      <c r="C26" s="122"/>
      <c r="D26" s="145" t="s">
        <v>301</v>
      </c>
      <c r="E26" s="146">
        <f>E14*(1-E15)*E17+E19*E23</f>
        <v>0.1027003314326921</v>
      </c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36"/>
      <c r="X26" s="36"/>
      <c r="Y26" s="36"/>
      <c r="Z26" s="36"/>
    </row>
    <row r="27" spans="1:26" ht="14.25" customHeight="1" x14ac:dyDescent="0.3">
      <c r="A27" s="122"/>
      <c r="B27" s="122"/>
      <c r="C27" s="122"/>
      <c r="D27" s="122"/>
      <c r="E27" s="133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36"/>
      <c r="X27" s="36"/>
      <c r="Y27" s="36"/>
      <c r="Z27" s="36"/>
    </row>
    <row r="28" spans="1:26" ht="14.25" customHeight="1" x14ac:dyDescent="0.3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4.25" customHeight="1" x14ac:dyDescent="0.3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4.25" customHeight="1" x14ac:dyDescent="0.3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4.25" customHeight="1" x14ac:dyDescent="0.3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4.25" customHeight="1" x14ac:dyDescent="0.3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4.25" customHeight="1" x14ac:dyDescent="0.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4.25" customHeight="1" x14ac:dyDescent="0.3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4.25" customHeight="1" x14ac:dyDescent="0.3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4.25" customHeight="1" x14ac:dyDescent="0.3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4.25" customHeight="1" x14ac:dyDescent="0.3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4.25" customHeight="1" x14ac:dyDescent="0.3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4.25" customHeight="1" x14ac:dyDescent="0.3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4.25" customHeight="1" x14ac:dyDescent="0.3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4.25" customHeight="1" x14ac:dyDescent="0.3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4.25" customHeight="1" x14ac:dyDescent="0.3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4.25" customHeigh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4.25" customHeight="1" x14ac:dyDescent="0.3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4.25" customHeight="1" x14ac:dyDescent="0.3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4.25" customHeight="1" x14ac:dyDescent="0.3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4.25" customHeight="1" x14ac:dyDescent="0.3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4.25" customHeight="1" x14ac:dyDescent="0.3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4.25" customHeight="1" x14ac:dyDescent="0.3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4.25" customHeight="1" x14ac:dyDescent="0.3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4.25" customHeight="1" x14ac:dyDescent="0.3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4.25" customHeight="1" x14ac:dyDescent="0.3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4.25" customHeight="1" x14ac:dyDescent="0.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4.25" customHeight="1" x14ac:dyDescent="0.3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4.25" customHeight="1" x14ac:dyDescent="0.3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4.25" customHeight="1" x14ac:dyDescent="0.3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4.25" customHeight="1" x14ac:dyDescent="0.3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4.25" customHeight="1" x14ac:dyDescent="0.3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4.25" customHeight="1" x14ac:dyDescent="0.3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4.25" customHeight="1" x14ac:dyDescent="0.3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4.25" customHeight="1" x14ac:dyDescent="0.3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4.25" customHeight="1" x14ac:dyDescent="0.3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4.25" customHeight="1" x14ac:dyDescent="0.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4.25" customHeight="1" x14ac:dyDescent="0.3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4.25" customHeight="1" x14ac:dyDescent="0.3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4.25" customHeight="1" x14ac:dyDescent="0.3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4.25" customHeight="1" x14ac:dyDescent="0.3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4.25" customHeight="1" x14ac:dyDescent="0.3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4.25" customHeight="1" x14ac:dyDescent="0.3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4.25" customHeight="1" x14ac:dyDescent="0.3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4.25" customHeight="1" x14ac:dyDescent="0.3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4.25" customHeight="1" x14ac:dyDescent="0.3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4.25" customHeight="1" x14ac:dyDescent="0.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4.25" customHeight="1" x14ac:dyDescent="0.3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4.25" customHeight="1" x14ac:dyDescent="0.3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4.25" customHeight="1" x14ac:dyDescent="0.3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4.25" customHeight="1" x14ac:dyDescent="0.3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4.25" customHeight="1" x14ac:dyDescent="0.3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4.25" customHeight="1" x14ac:dyDescent="0.3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4.25" customHeight="1" x14ac:dyDescent="0.3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4.25" customHeight="1" x14ac:dyDescent="0.3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4.25" customHeight="1" x14ac:dyDescent="0.3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4.25" customHeight="1" x14ac:dyDescent="0.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4.25" customHeight="1" x14ac:dyDescent="0.3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4.25" customHeight="1" x14ac:dyDescent="0.3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4.25" customHeight="1" x14ac:dyDescent="0.3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4.25" customHeight="1" x14ac:dyDescent="0.3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4.25" customHeight="1" x14ac:dyDescent="0.3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4.25" customHeight="1" x14ac:dyDescent="0.3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4.25" customHeight="1" x14ac:dyDescent="0.3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4.25" customHeight="1" x14ac:dyDescent="0.3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4.25" customHeight="1" x14ac:dyDescent="0.3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4.25" customHeight="1" x14ac:dyDescent="0.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4.25" customHeight="1" x14ac:dyDescent="0.3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4.25" customHeight="1" x14ac:dyDescent="0.3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4.25" customHeight="1" x14ac:dyDescent="0.3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4.25" customHeight="1" x14ac:dyDescent="0.3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4.25" customHeight="1" x14ac:dyDescent="0.3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4.25" customHeight="1" x14ac:dyDescent="0.3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4.25" customHeight="1" x14ac:dyDescent="0.3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4.25" customHeight="1" x14ac:dyDescent="0.3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4.25" customHeight="1" x14ac:dyDescent="0.3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4.25" customHeight="1" x14ac:dyDescent="0.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4.25" customHeight="1" x14ac:dyDescent="0.3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4.25" customHeight="1" x14ac:dyDescent="0.3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4.25" customHeight="1" x14ac:dyDescent="0.3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4.25" customHeight="1" x14ac:dyDescent="0.3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4.25" customHeight="1" x14ac:dyDescent="0.3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4.25" customHeight="1" x14ac:dyDescent="0.3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4.25" customHeight="1" x14ac:dyDescent="0.3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4.25" customHeight="1" x14ac:dyDescent="0.3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4.25" customHeight="1" x14ac:dyDescent="0.3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4.25" customHeight="1" x14ac:dyDescent="0.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4.25" customHeight="1" x14ac:dyDescent="0.3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4.25" customHeight="1" x14ac:dyDescent="0.3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4.25" customHeight="1" x14ac:dyDescent="0.3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4.25" customHeight="1" x14ac:dyDescent="0.3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4.25" customHeight="1" x14ac:dyDescent="0.3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4.25" customHeight="1" x14ac:dyDescent="0.3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4.25" customHeight="1" x14ac:dyDescent="0.3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4.25" customHeight="1" x14ac:dyDescent="0.3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4.25" customHeight="1" x14ac:dyDescent="0.3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4.25" customHeight="1" x14ac:dyDescent="0.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4.25" customHeight="1" x14ac:dyDescent="0.3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4.25" customHeight="1" x14ac:dyDescent="0.3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4.25" customHeight="1" x14ac:dyDescent="0.3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4.25" customHeight="1" x14ac:dyDescent="0.3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4.25" customHeight="1" x14ac:dyDescent="0.3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4.25" customHeight="1" x14ac:dyDescent="0.3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4.25" customHeight="1" x14ac:dyDescent="0.3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4.25" customHeight="1" x14ac:dyDescent="0.3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4.25" customHeight="1" x14ac:dyDescent="0.3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4.25" customHeight="1" x14ac:dyDescent="0.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4.25" customHeight="1" x14ac:dyDescent="0.3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4.25" customHeight="1" x14ac:dyDescent="0.3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4.25" customHeight="1" x14ac:dyDescent="0.3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4.25" customHeight="1" x14ac:dyDescent="0.3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4.25" customHeight="1" x14ac:dyDescent="0.3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4.25" customHeight="1" x14ac:dyDescent="0.3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4.25" customHeight="1" x14ac:dyDescent="0.3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4.25" customHeight="1" x14ac:dyDescent="0.3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4.25" customHeight="1" x14ac:dyDescent="0.3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4.25" customHeight="1" x14ac:dyDescent="0.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4.25" customHeight="1" x14ac:dyDescent="0.3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4.25" customHeight="1" x14ac:dyDescent="0.3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4.25" customHeight="1" x14ac:dyDescent="0.3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4.25" customHeight="1" x14ac:dyDescent="0.3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4.25" customHeight="1" x14ac:dyDescent="0.3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4.25" customHeight="1" x14ac:dyDescent="0.3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4.25" customHeight="1" x14ac:dyDescent="0.3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4.25" customHeight="1" x14ac:dyDescent="0.3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4.25" customHeight="1" x14ac:dyDescent="0.3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4.25" customHeight="1" x14ac:dyDescent="0.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4.25" customHeight="1" x14ac:dyDescent="0.3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4.25" customHeight="1" x14ac:dyDescent="0.3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4.25" customHeight="1" x14ac:dyDescent="0.3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4.25" customHeight="1" x14ac:dyDescent="0.3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4.25" customHeight="1" x14ac:dyDescent="0.3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4.25" customHeight="1" x14ac:dyDescent="0.3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4.25" customHeight="1" x14ac:dyDescent="0.3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4.25" customHeight="1" x14ac:dyDescent="0.3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4.25" customHeight="1" x14ac:dyDescent="0.3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4.25" customHeight="1" x14ac:dyDescent="0.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4.25" customHeight="1" x14ac:dyDescent="0.3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4.25" customHeight="1" x14ac:dyDescent="0.3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4.25" customHeight="1" x14ac:dyDescent="0.3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4.25" customHeight="1" x14ac:dyDescent="0.3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4.25" customHeight="1" x14ac:dyDescent="0.3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4.25" customHeight="1" x14ac:dyDescent="0.3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4.25" customHeight="1" x14ac:dyDescent="0.3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4.25" customHeight="1" x14ac:dyDescent="0.3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4.25" customHeight="1" x14ac:dyDescent="0.3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4.25" customHeight="1" x14ac:dyDescent="0.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4.25" customHeight="1" x14ac:dyDescent="0.3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4.25" customHeight="1" x14ac:dyDescent="0.3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4.25" customHeight="1" x14ac:dyDescent="0.3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4.25" customHeight="1" x14ac:dyDescent="0.3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4.25" customHeight="1" x14ac:dyDescent="0.3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4.25" customHeight="1" x14ac:dyDescent="0.3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4.25" customHeight="1" x14ac:dyDescent="0.3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4.25" customHeight="1" x14ac:dyDescent="0.3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4.25" customHeight="1" x14ac:dyDescent="0.3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4.25" customHeight="1" x14ac:dyDescent="0.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4.25" customHeight="1" x14ac:dyDescent="0.3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4.25" customHeight="1" x14ac:dyDescent="0.3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4.25" customHeight="1" x14ac:dyDescent="0.3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4.25" customHeight="1" x14ac:dyDescent="0.3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4.25" customHeight="1" x14ac:dyDescent="0.3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4.25" customHeight="1" x14ac:dyDescent="0.3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4.25" customHeight="1" x14ac:dyDescent="0.3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4.25" customHeight="1" x14ac:dyDescent="0.3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4.25" customHeight="1" x14ac:dyDescent="0.3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4.25" customHeight="1" x14ac:dyDescent="0.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4.25" customHeight="1" x14ac:dyDescent="0.3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4.25" customHeight="1" x14ac:dyDescent="0.3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4.25" customHeight="1" x14ac:dyDescent="0.3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4.25" customHeight="1" x14ac:dyDescent="0.3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4.25" customHeight="1" x14ac:dyDescent="0.3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4.25" customHeight="1" x14ac:dyDescent="0.3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4.25" customHeight="1" x14ac:dyDescent="0.3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4.25" customHeight="1" x14ac:dyDescent="0.3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4.25" customHeight="1" x14ac:dyDescent="0.3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4.25" customHeight="1" x14ac:dyDescent="0.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4.25" customHeight="1" x14ac:dyDescent="0.3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4.25" customHeight="1" x14ac:dyDescent="0.3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4.25" customHeight="1" x14ac:dyDescent="0.3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4.25" customHeight="1" x14ac:dyDescent="0.3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4.25" customHeight="1" x14ac:dyDescent="0.3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4.25" customHeight="1" x14ac:dyDescent="0.3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4.25" customHeight="1" x14ac:dyDescent="0.3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4.25" customHeight="1" x14ac:dyDescent="0.3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4.25" customHeight="1" x14ac:dyDescent="0.3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4.25" customHeight="1" x14ac:dyDescent="0.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4.25" customHeight="1" x14ac:dyDescent="0.3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4.25" customHeight="1" x14ac:dyDescent="0.3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4.25" customHeight="1" x14ac:dyDescent="0.3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4.25" customHeight="1" x14ac:dyDescent="0.3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4.25" customHeight="1" x14ac:dyDescent="0.3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4.25" customHeight="1" x14ac:dyDescent="0.3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4.25" customHeight="1" x14ac:dyDescent="0.3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4.25" customHeight="1" x14ac:dyDescent="0.3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4.25" customHeight="1" x14ac:dyDescent="0.3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4.25" customHeight="1" x14ac:dyDescent="0.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4.25" customHeight="1" x14ac:dyDescent="0.3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4.25" customHeight="1" x14ac:dyDescent="0.3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4.25" customHeight="1" x14ac:dyDescent="0.3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4.25" customHeight="1" x14ac:dyDescent="0.3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4.25" customHeight="1" x14ac:dyDescent="0.3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4.25" customHeight="1" x14ac:dyDescent="0.3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4.25" customHeight="1" x14ac:dyDescent="0.3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4.25" customHeight="1" x14ac:dyDescent="0.3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4.25" customHeight="1" x14ac:dyDescent="0.3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4.25" customHeight="1" x14ac:dyDescent="0.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4.25" customHeight="1" x14ac:dyDescent="0.3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4.25" customHeight="1" x14ac:dyDescent="0.3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4.25" customHeight="1" x14ac:dyDescent="0.3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4.25" customHeight="1" x14ac:dyDescent="0.3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4.25" customHeight="1" x14ac:dyDescent="0.3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4.25" customHeight="1" x14ac:dyDescent="0.3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4.25" customHeight="1" x14ac:dyDescent="0.3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4.25" customHeight="1" x14ac:dyDescent="0.3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4.25" customHeight="1" x14ac:dyDescent="0.3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4.25" customHeight="1" x14ac:dyDescent="0.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4.25" customHeight="1" x14ac:dyDescent="0.3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4.25" customHeight="1" x14ac:dyDescent="0.3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4.25" customHeight="1" x14ac:dyDescent="0.3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4.25" customHeight="1" x14ac:dyDescent="0.3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4.25" customHeight="1" x14ac:dyDescent="0.3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4.25" customHeight="1" x14ac:dyDescent="0.3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4.25" customHeight="1" x14ac:dyDescent="0.3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4.25" customHeight="1" x14ac:dyDescent="0.3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4.25" customHeight="1" x14ac:dyDescent="0.3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4.25" customHeight="1" x14ac:dyDescent="0.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4.25" customHeight="1" x14ac:dyDescent="0.3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4.25" customHeight="1" x14ac:dyDescent="0.3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4.25" customHeight="1" x14ac:dyDescent="0.3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4.25" customHeight="1" x14ac:dyDescent="0.3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4.25" customHeight="1" x14ac:dyDescent="0.3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4.25" customHeight="1" x14ac:dyDescent="0.3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4.25" customHeight="1" x14ac:dyDescent="0.3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4.25" customHeight="1" x14ac:dyDescent="0.3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4.25" customHeight="1" x14ac:dyDescent="0.3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4.25" customHeight="1" x14ac:dyDescent="0.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4.25" customHeight="1" x14ac:dyDescent="0.3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4.25" customHeight="1" x14ac:dyDescent="0.3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4.25" customHeight="1" x14ac:dyDescent="0.3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4.25" customHeight="1" x14ac:dyDescent="0.3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4.25" customHeight="1" x14ac:dyDescent="0.3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4.25" customHeight="1" x14ac:dyDescent="0.3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4.25" customHeight="1" x14ac:dyDescent="0.3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4.25" customHeight="1" x14ac:dyDescent="0.3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4.25" customHeight="1" x14ac:dyDescent="0.3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4.25" customHeight="1" x14ac:dyDescent="0.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4.25" customHeight="1" x14ac:dyDescent="0.3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4.25" customHeight="1" x14ac:dyDescent="0.3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4.25" customHeight="1" x14ac:dyDescent="0.3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4.25" customHeight="1" x14ac:dyDescent="0.3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4.25" customHeight="1" x14ac:dyDescent="0.3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4.25" customHeight="1" x14ac:dyDescent="0.3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4.25" customHeight="1" x14ac:dyDescent="0.3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4.25" customHeight="1" x14ac:dyDescent="0.3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4.25" customHeight="1" x14ac:dyDescent="0.3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4.25" customHeight="1" x14ac:dyDescent="0.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4.25" customHeight="1" x14ac:dyDescent="0.3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4.25" customHeight="1" x14ac:dyDescent="0.3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4.25" customHeight="1" x14ac:dyDescent="0.3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4.25" customHeight="1" x14ac:dyDescent="0.3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4.25" customHeight="1" x14ac:dyDescent="0.3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4.25" customHeight="1" x14ac:dyDescent="0.3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4.25" customHeight="1" x14ac:dyDescent="0.3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4.25" customHeight="1" x14ac:dyDescent="0.3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4.25" customHeight="1" x14ac:dyDescent="0.3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4.25" customHeight="1" x14ac:dyDescent="0.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4.25" customHeight="1" x14ac:dyDescent="0.3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4.25" customHeight="1" x14ac:dyDescent="0.3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4.25" customHeight="1" x14ac:dyDescent="0.3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4.25" customHeight="1" x14ac:dyDescent="0.3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4.25" customHeight="1" x14ac:dyDescent="0.3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4.25" customHeight="1" x14ac:dyDescent="0.3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4.25" customHeight="1" x14ac:dyDescent="0.3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4.25" customHeight="1" x14ac:dyDescent="0.3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4.25" customHeight="1" x14ac:dyDescent="0.3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4.25" customHeight="1" x14ac:dyDescent="0.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4.25" customHeight="1" x14ac:dyDescent="0.3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4.25" customHeight="1" x14ac:dyDescent="0.3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4.25" customHeight="1" x14ac:dyDescent="0.3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4.25" customHeight="1" x14ac:dyDescent="0.3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4.25" customHeight="1" x14ac:dyDescent="0.3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4.25" customHeight="1" x14ac:dyDescent="0.3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4.25" customHeight="1" x14ac:dyDescent="0.3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4.25" customHeight="1" x14ac:dyDescent="0.3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4.25" customHeight="1" x14ac:dyDescent="0.3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4.25" customHeight="1" x14ac:dyDescent="0.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4.25" customHeight="1" x14ac:dyDescent="0.3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4.25" customHeight="1" x14ac:dyDescent="0.3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4.25" customHeight="1" x14ac:dyDescent="0.3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4.25" customHeight="1" x14ac:dyDescent="0.3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4.25" customHeight="1" x14ac:dyDescent="0.3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4.25" customHeight="1" x14ac:dyDescent="0.3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4.25" customHeight="1" x14ac:dyDescent="0.3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4.25" customHeight="1" x14ac:dyDescent="0.3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4.25" customHeight="1" x14ac:dyDescent="0.3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4.25" customHeight="1" x14ac:dyDescent="0.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4.25" customHeight="1" x14ac:dyDescent="0.3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4.25" customHeight="1" x14ac:dyDescent="0.3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4.25" customHeight="1" x14ac:dyDescent="0.3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4.25" customHeight="1" x14ac:dyDescent="0.3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4.25" customHeight="1" x14ac:dyDescent="0.3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4.25" customHeight="1" x14ac:dyDescent="0.3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4.25" customHeight="1" x14ac:dyDescent="0.3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4.25" customHeight="1" x14ac:dyDescent="0.3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4.25" customHeight="1" x14ac:dyDescent="0.3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4.25" customHeight="1" x14ac:dyDescent="0.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4.25" customHeight="1" x14ac:dyDescent="0.3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4.25" customHeight="1" x14ac:dyDescent="0.3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4.25" customHeight="1" x14ac:dyDescent="0.3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4.25" customHeight="1" x14ac:dyDescent="0.3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4.25" customHeight="1" x14ac:dyDescent="0.3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4.25" customHeight="1" x14ac:dyDescent="0.3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4.25" customHeight="1" x14ac:dyDescent="0.3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4.25" customHeight="1" x14ac:dyDescent="0.3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4.25" customHeight="1" x14ac:dyDescent="0.3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4.25" customHeight="1" x14ac:dyDescent="0.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4.25" customHeight="1" x14ac:dyDescent="0.3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4.25" customHeight="1" x14ac:dyDescent="0.3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4.25" customHeight="1" x14ac:dyDescent="0.3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4.25" customHeight="1" x14ac:dyDescent="0.3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4.25" customHeight="1" x14ac:dyDescent="0.3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4.25" customHeight="1" x14ac:dyDescent="0.3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4.25" customHeight="1" x14ac:dyDescent="0.3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4.25" customHeight="1" x14ac:dyDescent="0.3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4.25" customHeight="1" x14ac:dyDescent="0.3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4.25" customHeight="1" x14ac:dyDescent="0.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4.25" customHeight="1" x14ac:dyDescent="0.3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4.25" customHeight="1" x14ac:dyDescent="0.3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4.25" customHeight="1" x14ac:dyDescent="0.3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4.25" customHeight="1" x14ac:dyDescent="0.3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4.25" customHeight="1" x14ac:dyDescent="0.3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4.25" customHeight="1" x14ac:dyDescent="0.3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4.25" customHeight="1" x14ac:dyDescent="0.3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4.25" customHeight="1" x14ac:dyDescent="0.3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4.25" customHeight="1" x14ac:dyDescent="0.3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4.25" customHeight="1" x14ac:dyDescent="0.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4.25" customHeight="1" x14ac:dyDescent="0.3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4.25" customHeight="1" x14ac:dyDescent="0.3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4.25" customHeight="1" x14ac:dyDescent="0.3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4.25" customHeight="1" x14ac:dyDescent="0.3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4.25" customHeight="1" x14ac:dyDescent="0.3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4.25" customHeight="1" x14ac:dyDescent="0.3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4.25" customHeight="1" x14ac:dyDescent="0.3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4.25" customHeight="1" x14ac:dyDescent="0.3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4.25" customHeight="1" x14ac:dyDescent="0.3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4.25" customHeight="1" x14ac:dyDescent="0.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4.25" customHeight="1" x14ac:dyDescent="0.3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4.25" customHeight="1" x14ac:dyDescent="0.3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4.25" customHeight="1" x14ac:dyDescent="0.3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4.25" customHeight="1" x14ac:dyDescent="0.3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4.25" customHeight="1" x14ac:dyDescent="0.3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4.25" customHeight="1" x14ac:dyDescent="0.3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4.25" customHeight="1" x14ac:dyDescent="0.3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4.25" customHeight="1" x14ac:dyDescent="0.3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4.25" customHeight="1" x14ac:dyDescent="0.3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4.25" customHeight="1" x14ac:dyDescent="0.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4.25" customHeight="1" x14ac:dyDescent="0.3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4.25" customHeight="1" x14ac:dyDescent="0.3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4.25" customHeight="1" x14ac:dyDescent="0.3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4.25" customHeight="1" x14ac:dyDescent="0.3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4.25" customHeight="1" x14ac:dyDescent="0.3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4.25" customHeight="1" x14ac:dyDescent="0.3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4.25" customHeight="1" x14ac:dyDescent="0.3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4.25" customHeight="1" x14ac:dyDescent="0.3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4.25" customHeight="1" x14ac:dyDescent="0.3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4.25" customHeight="1" x14ac:dyDescent="0.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4.25" customHeight="1" x14ac:dyDescent="0.3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4.25" customHeight="1" x14ac:dyDescent="0.3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4.25" customHeight="1" x14ac:dyDescent="0.3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4.25" customHeight="1" x14ac:dyDescent="0.3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4.25" customHeight="1" x14ac:dyDescent="0.3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4.25" customHeight="1" x14ac:dyDescent="0.3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4.25" customHeight="1" x14ac:dyDescent="0.3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4.25" customHeight="1" x14ac:dyDescent="0.3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4.25" customHeight="1" x14ac:dyDescent="0.3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4.25" customHeight="1" x14ac:dyDescent="0.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4.25" customHeight="1" x14ac:dyDescent="0.3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4.25" customHeight="1" x14ac:dyDescent="0.3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4.25" customHeight="1" x14ac:dyDescent="0.3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4.25" customHeight="1" x14ac:dyDescent="0.3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4.25" customHeight="1" x14ac:dyDescent="0.3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4.25" customHeight="1" x14ac:dyDescent="0.3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4.25" customHeight="1" x14ac:dyDescent="0.3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4.25" customHeight="1" x14ac:dyDescent="0.3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4.25" customHeight="1" x14ac:dyDescent="0.3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4.25" customHeight="1" x14ac:dyDescent="0.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4.25" customHeight="1" x14ac:dyDescent="0.3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4.25" customHeight="1" x14ac:dyDescent="0.3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4.25" customHeight="1" x14ac:dyDescent="0.3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4.25" customHeight="1" x14ac:dyDescent="0.3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4.25" customHeight="1" x14ac:dyDescent="0.3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4.25" customHeight="1" x14ac:dyDescent="0.3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4.25" customHeight="1" x14ac:dyDescent="0.3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4.25" customHeight="1" x14ac:dyDescent="0.3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4.25" customHeight="1" x14ac:dyDescent="0.3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4.25" customHeight="1" x14ac:dyDescent="0.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4.25" customHeight="1" x14ac:dyDescent="0.3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4.25" customHeight="1" x14ac:dyDescent="0.3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4.25" customHeight="1" x14ac:dyDescent="0.3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4.25" customHeight="1" x14ac:dyDescent="0.3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4.25" customHeight="1" x14ac:dyDescent="0.3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4.25" customHeight="1" x14ac:dyDescent="0.3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4.25" customHeight="1" x14ac:dyDescent="0.3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4.25" customHeight="1" x14ac:dyDescent="0.3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4.25" customHeight="1" x14ac:dyDescent="0.3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4.25" customHeight="1" x14ac:dyDescent="0.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4.25" customHeight="1" x14ac:dyDescent="0.3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4.25" customHeight="1" x14ac:dyDescent="0.3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4.25" customHeight="1" x14ac:dyDescent="0.3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4.25" customHeight="1" x14ac:dyDescent="0.3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4.25" customHeight="1" x14ac:dyDescent="0.3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4.25" customHeight="1" x14ac:dyDescent="0.3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4.25" customHeight="1" x14ac:dyDescent="0.3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4.25" customHeight="1" x14ac:dyDescent="0.3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4.25" customHeight="1" x14ac:dyDescent="0.3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4.25" customHeight="1" x14ac:dyDescent="0.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4.25" customHeight="1" x14ac:dyDescent="0.3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4.25" customHeight="1" x14ac:dyDescent="0.3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4.25" customHeight="1" x14ac:dyDescent="0.3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4.25" customHeight="1" x14ac:dyDescent="0.3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4.25" customHeight="1" x14ac:dyDescent="0.3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4.25" customHeight="1" x14ac:dyDescent="0.3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4.25" customHeight="1" x14ac:dyDescent="0.3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4.25" customHeight="1" x14ac:dyDescent="0.3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4.25" customHeight="1" x14ac:dyDescent="0.3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4.25" customHeight="1" x14ac:dyDescent="0.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4.25" customHeight="1" x14ac:dyDescent="0.3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4.25" customHeight="1" x14ac:dyDescent="0.3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4.25" customHeight="1" x14ac:dyDescent="0.3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4.25" customHeight="1" x14ac:dyDescent="0.3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4.25" customHeight="1" x14ac:dyDescent="0.3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4.25" customHeight="1" x14ac:dyDescent="0.3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4.25" customHeight="1" x14ac:dyDescent="0.3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4.25" customHeight="1" x14ac:dyDescent="0.3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4.25" customHeight="1" x14ac:dyDescent="0.3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4.25" customHeight="1" x14ac:dyDescent="0.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4.25" customHeight="1" x14ac:dyDescent="0.3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4.25" customHeight="1" x14ac:dyDescent="0.3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4.25" customHeight="1" x14ac:dyDescent="0.3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4.25" customHeight="1" x14ac:dyDescent="0.3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4.25" customHeight="1" x14ac:dyDescent="0.3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4.25" customHeight="1" x14ac:dyDescent="0.3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4.25" customHeight="1" x14ac:dyDescent="0.3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4.25" customHeight="1" x14ac:dyDescent="0.3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4.25" customHeight="1" x14ac:dyDescent="0.3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4.25" customHeight="1" x14ac:dyDescent="0.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4.25" customHeight="1" x14ac:dyDescent="0.3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4.25" customHeight="1" x14ac:dyDescent="0.3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4.25" customHeight="1" x14ac:dyDescent="0.3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4.25" customHeight="1" x14ac:dyDescent="0.3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4.25" customHeight="1" x14ac:dyDescent="0.3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4.25" customHeight="1" x14ac:dyDescent="0.3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4.25" customHeight="1" x14ac:dyDescent="0.3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4.25" customHeight="1" x14ac:dyDescent="0.3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4.25" customHeight="1" x14ac:dyDescent="0.3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4.25" customHeight="1" x14ac:dyDescent="0.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4.25" customHeight="1" x14ac:dyDescent="0.3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4.25" customHeight="1" x14ac:dyDescent="0.3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4.25" customHeight="1" x14ac:dyDescent="0.3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4.25" customHeight="1" x14ac:dyDescent="0.3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4.25" customHeight="1" x14ac:dyDescent="0.3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4.25" customHeight="1" x14ac:dyDescent="0.3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4.25" customHeight="1" x14ac:dyDescent="0.3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4.25" customHeight="1" x14ac:dyDescent="0.3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4.25" customHeight="1" x14ac:dyDescent="0.3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4.25" customHeight="1" x14ac:dyDescent="0.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4.25" customHeight="1" x14ac:dyDescent="0.3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4.25" customHeight="1" x14ac:dyDescent="0.3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4.25" customHeight="1" x14ac:dyDescent="0.3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4.25" customHeight="1" x14ac:dyDescent="0.3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4.25" customHeight="1" x14ac:dyDescent="0.3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4.25" customHeight="1" x14ac:dyDescent="0.3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4.25" customHeight="1" x14ac:dyDescent="0.3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4.25" customHeight="1" x14ac:dyDescent="0.3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4.25" customHeight="1" x14ac:dyDescent="0.3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4.25" customHeight="1" x14ac:dyDescent="0.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4.25" customHeight="1" x14ac:dyDescent="0.3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4.25" customHeight="1" x14ac:dyDescent="0.3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4.25" customHeight="1" x14ac:dyDescent="0.3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4.25" customHeight="1" x14ac:dyDescent="0.3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4.25" customHeight="1" x14ac:dyDescent="0.3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4.25" customHeight="1" x14ac:dyDescent="0.3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4.25" customHeight="1" x14ac:dyDescent="0.3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4.25" customHeight="1" x14ac:dyDescent="0.3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4.25" customHeight="1" x14ac:dyDescent="0.3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4.25" customHeight="1" x14ac:dyDescent="0.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4.25" customHeight="1" x14ac:dyDescent="0.3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4.25" customHeight="1" x14ac:dyDescent="0.3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4.25" customHeight="1" x14ac:dyDescent="0.3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4.25" customHeight="1" x14ac:dyDescent="0.3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4.25" customHeight="1" x14ac:dyDescent="0.3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4.25" customHeight="1" x14ac:dyDescent="0.3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4.25" customHeight="1" x14ac:dyDescent="0.3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4.25" customHeight="1" x14ac:dyDescent="0.3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4.25" customHeight="1" x14ac:dyDescent="0.3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4.25" customHeight="1" x14ac:dyDescent="0.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4.25" customHeight="1" x14ac:dyDescent="0.3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4.25" customHeight="1" x14ac:dyDescent="0.3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4.25" customHeight="1" x14ac:dyDescent="0.3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4.25" customHeight="1" x14ac:dyDescent="0.3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4.25" customHeight="1" x14ac:dyDescent="0.3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4.25" customHeight="1" x14ac:dyDescent="0.3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4.25" customHeight="1" x14ac:dyDescent="0.3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4.25" customHeight="1" x14ac:dyDescent="0.3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4.25" customHeight="1" x14ac:dyDescent="0.3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4.25" customHeight="1" x14ac:dyDescent="0.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4.25" customHeight="1" x14ac:dyDescent="0.3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4.25" customHeight="1" x14ac:dyDescent="0.3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4.25" customHeight="1" x14ac:dyDescent="0.3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4.25" customHeight="1" x14ac:dyDescent="0.3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4.25" customHeight="1" x14ac:dyDescent="0.3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4.25" customHeight="1" x14ac:dyDescent="0.3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4.25" customHeight="1" x14ac:dyDescent="0.3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4.25" customHeight="1" x14ac:dyDescent="0.3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4.25" customHeight="1" x14ac:dyDescent="0.3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4.25" customHeight="1" x14ac:dyDescent="0.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4.25" customHeight="1" x14ac:dyDescent="0.3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4.25" customHeight="1" x14ac:dyDescent="0.3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4.25" customHeight="1" x14ac:dyDescent="0.3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4.25" customHeight="1" x14ac:dyDescent="0.3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4.25" customHeight="1" x14ac:dyDescent="0.3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4.25" customHeight="1" x14ac:dyDescent="0.3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4.25" customHeight="1" x14ac:dyDescent="0.3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4.25" customHeight="1" x14ac:dyDescent="0.3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4.25" customHeight="1" x14ac:dyDescent="0.3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4.25" customHeight="1" x14ac:dyDescent="0.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4.25" customHeight="1" x14ac:dyDescent="0.3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4.25" customHeight="1" x14ac:dyDescent="0.3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4.25" customHeight="1" x14ac:dyDescent="0.3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4.25" customHeight="1" x14ac:dyDescent="0.3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4.25" customHeight="1" x14ac:dyDescent="0.3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4.25" customHeight="1" x14ac:dyDescent="0.3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4.25" customHeight="1" x14ac:dyDescent="0.3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4.25" customHeight="1" x14ac:dyDescent="0.3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4.25" customHeight="1" x14ac:dyDescent="0.3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4.25" customHeight="1" x14ac:dyDescent="0.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4.25" customHeight="1" x14ac:dyDescent="0.3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4.25" customHeight="1" x14ac:dyDescent="0.3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4.25" customHeight="1" x14ac:dyDescent="0.3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4.25" customHeight="1" x14ac:dyDescent="0.3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4.25" customHeight="1" x14ac:dyDescent="0.3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4.25" customHeight="1" x14ac:dyDescent="0.3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4.25" customHeight="1" x14ac:dyDescent="0.3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4.25" customHeight="1" x14ac:dyDescent="0.3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4.25" customHeight="1" x14ac:dyDescent="0.3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4.25" customHeight="1" x14ac:dyDescent="0.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4.25" customHeight="1" x14ac:dyDescent="0.3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4.25" customHeight="1" x14ac:dyDescent="0.3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4.25" customHeight="1" x14ac:dyDescent="0.3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4.25" customHeight="1" x14ac:dyDescent="0.3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4.25" customHeight="1" x14ac:dyDescent="0.3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4.25" customHeight="1" x14ac:dyDescent="0.3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4.25" customHeight="1" x14ac:dyDescent="0.3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4.25" customHeight="1" x14ac:dyDescent="0.3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4.25" customHeight="1" x14ac:dyDescent="0.3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4.25" customHeight="1" x14ac:dyDescent="0.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4.25" customHeight="1" x14ac:dyDescent="0.3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4.25" customHeight="1" x14ac:dyDescent="0.3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4.25" customHeight="1" x14ac:dyDescent="0.3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4.25" customHeight="1" x14ac:dyDescent="0.3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4.25" customHeight="1" x14ac:dyDescent="0.3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4.25" customHeight="1" x14ac:dyDescent="0.3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4.25" customHeight="1" x14ac:dyDescent="0.3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4.25" customHeight="1" x14ac:dyDescent="0.3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4.25" customHeight="1" x14ac:dyDescent="0.3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4.25" customHeight="1" x14ac:dyDescent="0.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4.25" customHeight="1" x14ac:dyDescent="0.3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4.25" customHeight="1" x14ac:dyDescent="0.3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4.25" customHeight="1" x14ac:dyDescent="0.3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4.25" customHeight="1" x14ac:dyDescent="0.3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4.25" customHeight="1" x14ac:dyDescent="0.3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4.25" customHeight="1" x14ac:dyDescent="0.3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4.25" customHeight="1" x14ac:dyDescent="0.3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4.25" customHeight="1" x14ac:dyDescent="0.3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4.25" customHeight="1" x14ac:dyDescent="0.3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4.25" customHeight="1" x14ac:dyDescent="0.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4.25" customHeight="1" x14ac:dyDescent="0.3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4.25" customHeight="1" x14ac:dyDescent="0.3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4.25" customHeight="1" x14ac:dyDescent="0.3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4.25" customHeight="1" x14ac:dyDescent="0.3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4.25" customHeight="1" x14ac:dyDescent="0.3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4.25" customHeight="1" x14ac:dyDescent="0.3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4.25" customHeight="1" x14ac:dyDescent="0.3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4.25" customHeight="1" x14ac:dyDescent="0.3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4.25" customHeight="1" x14ac:dyDescent="0.3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4.25" customHeight="1" x14ac:dyDescent="0.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4.25" customHeight="1" x14ac:dyDescent="0.3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4.25" customHeight="1" x14ac:dyDescent="0.3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4.25" customHeight="1" x14ac:dyDescent="0.3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4.25" customHeight="1" x14ac:dyDescent="0.3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4.25" customHeight="1" x14ac:dyDescent="0.3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4.25" customHeight="1" x14ac:dyDescent="0.3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4.25" customHeight="1" x14ac:dyDescent="0.3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4.25" customHeight="1" x14ac:dyDescent="0.3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4.25" customHeight="1" x14ac:dyDescent="0.3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4.25" customHeight="1" x14ac:dyDescent="0.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4.25" customHeight="1" x14ac:dyDescent="0.3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4.25" customHeight="1" x14ac:dyDescent="0.3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4.25" customHeight="1" x14ac:dyDescent="0.3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4.25" customHeight="1" x14ac:dyDescent="0.3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4.25" customHeight="1" x14ac:dyDescent="0.3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4.25" customHeight="1" x14ac:dyDescent="0.3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4.25" customHeight="1" x14ac:dyDescent="0.3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4.25" customHeight="1" x14ac:dyDescent="0.3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4.25" customHeight="1" x14ac:dyDescent="0.3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4.25" customHeight="1" x14ac:dyDescent="0.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4.25" customHeight="1" x14ac:dyDescent="0.3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4.25" customHeight="1" x14ac:dyDescent="0.3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4.25" customHeight="1" x14ac:dyDescent="0.3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4.25" customHeight="1" x14ac:dyDescent="0.3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4.25" customHeight="1" x14ac:dyDescent="0.3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4.25" customHeight="1" x14ac:dyDescent="0.3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4.25" customHeight="1" x14ac:dyDescent="0.3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4.25" customHeight="1" x14ac:dyDescent="0.3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4.25" customHeight="1" x14ac:dyDescent="0.3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4.25" customHeight="1" x14ac:dyDescent="0.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4.25" customHeight="1" x14ac:dyDescent="0.3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4.25" customHeight="1" x14ac:dyDescent="0.3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4.25" customHeight="1" x14ac:dyDescent="0.3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4.25" customHeight="1" x14ac:dyDescent="0.3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4.25" customHeight="1" x14ac:dyDescent="0.3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4.25" customHeight="1" x14ac:dyDescent="0.3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4.25" customHeight="1" x14ac:dyDescent="0.3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4.25" customHeight="1" x14ac:dyDescent="0.3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4.25" customHeight="1" x14ac:dyDescent="0.3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4.25" customHeight="1" x14ac:dyDescent="0.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4.25" customHeight="1" x14ac:dyDescent="0.3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4.25" customHeight="1" x14ac:dyDescent="0.3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4.25" customHeight="1" x14ac:dyDescent="0.3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4.25" customHeight="1" x14ac:dyDescent="0.3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4.25" customHeight="1" x14ac:dyDescent="0.3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4.25" customHeight="1" x14ac:dyDescent="0.3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4.25" customHeight="1" x14ac:dyDescent="0.3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4.25" customHeight="1" x14ac:dyDescent="0.3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4.25" customHeight="1" x14ac:dyDescent="0.3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4.25" customHeight="1" x14ac:dyDescent="0.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4.25" customHeight="1" x14ac:dyDescent="0.3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4.25" customHeight="1" x14ac:dyDescent="0.3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4.25" customHeight="1" x14ac:dyDescent="0.3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4.25" customHeight="1" x14ac:dyDescent="0.3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4.25" customHeight="1" x14ac:dyDescent="0.3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4.25" customHeight="1" x14ac:dyDescent="0.3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4.25" customHeight="1" x14ac:dyDescent="0.3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4.25" customHeight="1" x14ac:dyDescent="0.3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4.25" customHeight="1" x14ac:dyDescent="0.3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4.25" customHeight="1" x14ac:dyDescent="0.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4.25" customHeight="1" x14ac:dyDescent="0.3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4.25" customHeight="1" x14ac:dyDescent="0.3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4.25" customHeight="1" x14ac:dyDescent="0.3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4.25" customHeight="1" x14ac:dyDescent="0.3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4.25" customHeight="1" x14ac:dyDescent="0.3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4.25" customHeight="1" x14ac:dyDescent="0.3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4.25" customHeight="1" x14ac:dyDescent="0.3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4.25" customHeight="1" x14ac:dyDescent="0.3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4.25" customHeight="1" x14ac:dyDescent="0.3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4.25" customHeight="1" x14ac:dyDescent="0.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4.25" customHeight="1" x14ac:dyDescent="0.3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4.25" customHeight="1" x14ac:dyDescent="0.3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4.25" customHeight="1" x14ac:dyDescent="0.3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4.25" customHeight="1" x14ac:dyDescent="0.3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4.25" customHeight="1" x14ac:dyDescent="0.3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4.25" customHeight="1" x14ac:dyDescent="0.3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4.25" customHeight="1" x14ac:dyDescent="0.3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4.25" customHeight="1" x14ac:dyDescent="0.3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4.25" customHeight="1" x14ac:dyDescent="0.3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4.25" customHeight="1" x14ac:dyDescent="0.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4.25" customHeight="1" x14ac:dyDescent="0.3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4.25" customHeight="1" x14ac:dyDescent="0.3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4.25" customHeight="1" x14ac:dyDescent="0.3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4.25" customHeight="1" x14ac:dyDescent="0.3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4.25" customHeight="1" x14ac:dyDescent="0.3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4.25" customHeight="1" x14ac:dyDescent="0.3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4.25" customHeight="1" x14ac:dyDescent="0.3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4.25" customHeight="1" x14ac:dyDescent="0.3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4.25" customHeight="1" x14ac:dyDescent="0.3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4.25" customHeight="1" x14ac:dyDescent="0.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4.25" customHeight="1" x14ac:dyDescent="0.3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4.25" customHeight="1" x14ac:dyDescent="0.3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4.25" customHeight="1" x14ac:dyDescent="0.3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4.25" customHeight="1" x14ac:dyDescent="0.3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4.25" customHeight="1" x14ac:dyDescent="0.3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4.25" customHeight="1" x14ac:dyDescent="0.3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4.25" customHeight="1" x14ac:dyDescent="0.3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4.25" customHeight="1" x14ac:dyDescent="0.3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4.25" customHeight="1" x14ac:dyDescent="0.3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4.25" customHeight="1" x14ac:dyDescent="0.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4.25" customHeight="1" x14ac:dyDescent="0.3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4.25" customHeight="1" x14ac:dyDescent="0.3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4.25" customHeight="1" x14ac:dyDescent="0.3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4.25" customHeight="1" x14ac:dyDescent="0.3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4.25" customHeight="1" x14ac:dyDescent="0.3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4.25" customHeight="1" x14ac:dyDescent="0.3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4.25" customHeight="1" x14ac:dyDescent="0.3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4.25" customHeight="1" x14ac:dyDescent="0.3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4.25" customHeight="1" x14ac:dyDescent="0.3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4.25" customHeight="1" x14ac:dyDescent="0.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4.25" customHeight="1" x14ac:dyDescent="0.3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4.25" customHeight="1" x14ac:dyDescent="0.3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4.25" customHeight="1" x14ac:dyDescent="0.3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4.25" customHeight="1" x14ac:dyDescent="0.3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4.25" customHeight="1" x14ac:dyDescent="0.3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4.25" customHeight="1" x14ac:dyDescent="0.3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4.25" customHeight="1" x14ac:dyDescent="0.3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4.25" customHeight="1" x14ac:dyDescent="0.3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4.25" customHeight="1" x14ac:dyDescent="0.3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4.25" customHeight="1" x14ac:dyDescent="0.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4.25" customHeight="1" x14ac:dyDescent="0.3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4.25" customHeight="1" x14ac:dyDescent="0.3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4.25" customHeight="1" x14ac:dyDescent="0.3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4.25" customHeight="1" x14ac:dyDescent="0.3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4.25" customHeight="1" x14ac:dyDescent="0.3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4.25" customHeight="1" x14ac:dyDescent="0.3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4.25" customHeight="1" x14ac:dyDescent="0.3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4.25" customHeight="1" x14ac:dyDescent="0.3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4.25" customHeight="1" x14ac:dyDescent="0.3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4.25" customHeight="1" x14ac:dyDescent="0.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4.25" customHeight="1" x14ac:dyDescent="0.3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4.25" customHeight="1" x14ac:dyDescent="0.3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4.25" customHeight="1" x14ac:dyDescent="0.3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4.25" customHeight="1" x14ac:dyDescent="0.3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4.25" customHeight="1" x14ac:dyDescent="0.3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4.25" customHeight="1" x14ac:dyDescent="0.3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4.25" customHeight="1" x14ac:dyDescent="0.3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4.25" customHeight="1" x14ac:dyDescent="0.3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4.25" customHeight="1" x14ac:dyDescent="0.3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4.25" customHeight="1" x14ac:dyDescent="0.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4.25" customHeight="1" x14ac:dyDescent="0.3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4.25" customHeight="1" x14ac:dyDescent="0.3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4.25" customHeight="1" x14ac:dyDescent="0.3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4.25" customHeight="1" x14ac:dyDescent="0.3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4.25" customHeight="1" x14ac:dyDescent="0.3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4.25" customHeight="1" x14ac:dyDescent="0.3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4.25" customHeight="1" x14ac:dyDescent="0.3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4.25" customHeight="1" x14ac:dyDescent="0.3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4.25" customHeight="1" x14ac:dyDescent="0.3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4.25" customHeight="1" x14ac:dyDescent="0.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4.25" customHeight="1" x14ac:dyDescent="0.3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4.25" customHeight="1" x14ac:dyDescent="0.3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4.25" customHeight="1" x14ac:dyDescent="0.3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4.25" customHeight="1" x14ac:dyDescent="0.3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4.25" customHeight="1" x14ac:dyDescent="0.3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4.25" customHeight="1" x14ac:dyDescent="0.3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4.25" customHeight="1" x14ac:dyDescent="0.3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4.25" customHeight="1" x14ac:dyDescent="0.3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4.25" customHeight="1" x14ac:dyDescent="0.3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4.25" customHeight="1" x14ac:dyDescent="0.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4.25" customHeight="1" x14ac:dyDescent="0.3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4.25" customHeight="1" x14ac:dyDescent="0.3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4.25" customHeight="1" x14ac:dyDescent="0.3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4.25" customHeight="1" x14ac:dyDescent="0.3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4.25" customHeight="1" x14ac:dyDescent="0.3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4.25" customHeight="1" x14ac:dyDescent="0.3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4.25" customHeight="1" x14ac:dyDescent="0.3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4.25" customHeight="1" x14ac:dyDescent="0.3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4.25" customHeight="1" x14ac:dyDescent="0.3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4.25" customHeight="1" x14ac:dyDescent="0.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4.25" customHeight="1" x14ac:dyDescent="0.3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4.25" customHeight="1" x14ac:dyDescent="0.3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4.25" customHeight="1" x14ac:dyDescent="0.3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4.25" customHeight="1" x14ac:dyDescent="0.3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4.25" customHeight="1" x14ac:dyDescent="0.3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4.25" customHeight="1" x14ac:dyDescent="0.3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4.25" customHeight="1" x14ac:dyDescent="0.3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4.25" customHeight="1" x14ac:dyDescent="0.3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4.25" customHeight="1" x14ac:dyDescent="0.3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4.25" customHeight="1" x14ac:dyDescent="0.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4.25" customHeight="1" x14ac:dyDescent="0.3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4.25" customHeight="1" x14ac:dyDescent="0.3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4.25" customHeight="1" x14ac:dyDescent="0.3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4.25" customHeight="1" x14ac:dyDescent="0.3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4.25" customHeight="1" x14ac:dyDescent="0.3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4.25" customHeight="1" x14ac:dyDescent="0.3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4.25" customHeight="1" x14ac:dyDescent="0.3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4.25" customHeight="1" x14ac:dyDescent="0.3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4.25" customHeight="1" x14ac:dyDescent="0.3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4.25" customHeight="1" x14ac:dyDescent="0.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4.25" customHeight="1" x14ac:dyDescent="0.3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4.25" customHeight="1" x14ac:dyDescent="0.3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4.25" customHeight="1" x14ac:dyDescent="0.3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4.25" customHeight="1" x14ac:dyDescent="0.3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4.25" customHeight="1" x14ac:dyDescent="0.3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4.25" customHeight="1" x14ac:dyDescent="0.3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4.25" customHeight="1" x14ac:dyDescent="0.3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4.25" customHeight="1" x14ac:dyDescent="0.3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4.25" customHeight="1" x14ac:dyDescent="0.3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4.25" customHeight="1" x14ac:dyDescent="0.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4.25" customHeight="1" x14ac:dyDescent="0.3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4.25" customHeight="1" x14ac:dyDescent="0.3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4.25" customHeight="1" x14ac:dyDescent="0.3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4.25" customHeight="1" x14ac:dyDescent="0.3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4.25" customHeight="1" x14ac:dyDescent="0.3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4.25" customHeight="1" x14ac:dyDescent="0.3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4.25" customHeight="1" x14ac:dyDescent="0.3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4.25" customHeight="1" x14ac:dyDescent="0.3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4.25" customHeight="1" x14ac:dyDescent="0.3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4.25" customHeight="1" x14ac:dyDescent="0.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4.25" customHeight="1" x14ac:dyDescent="0.3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4.25" customHeight="1" x14ac:dyDescent="0.3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4.25" customHeight="1" x14ac:dyDescent="0.3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4.25" customHeight="1" x14ac:dyDescent="0.3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4.25" customHeight="1" x14ac:dyDescent="0.3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4.25" customHeight="1" x14ac:dyDescent="0.3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4.25" customHeight="1" x14ac:dyDescent="0.3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4.25" customHeight="1" x14ac:dyDescent="0.3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4.25" customHeight="1" x14ac:dyDescent="0.3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4.25" customHeight="1" x14ac:dyDescent="0.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4.25" customHeight="1" x14ac:dyDescent="0.3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4.25" customHeight="1" x14ac:dyDescent="0.3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4.25" customHeight="1" x14ac:dyDescent="0.3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4.25" customHeight="1" x14ac:dyDescent="0.3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4.25" customHeight="1" x14ac:dyDescent="0.3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4.25" customHeight="1" x14ac:dyDescent="0.3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4.25" customHeight="1" x14ac:dyDescent="0.3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4.25" customHeight="1" x14ac:dyDescent="0.3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4.25" customHeight="1" x14ac:dyDescent="0.3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4.25" customHeight="1" x14ac:dyDescent="0.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4.25" customHeight="1" x14ac:dyDescent="0.3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4.25" customHeight="1" x14ac:dyDescent="0.3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4.25" customHeight="1" x14ac:dyDescent="0.3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4.25" customHeight="1" x14ac:dyDescent="0.3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4.25" customHeight="1" x14ac:dyDescent="0.3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4.25" customHeight="1" x14ac:dyDescent="0.3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4.25" customHeight="1" x14ac:dyDescent="0.3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4.25" customHeight="1" x14ac:dyDescent="0.3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4.25" customHeight="1" x14ac:dyDescent="0.3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4.25" customHeight="1" x14ac:dyDescent="0.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4.25" customHeight="1" x14ac:dyDescent="0.3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4.25" customHeight="1" x14ac:dyDescent="0.3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4.25" customHeight="1" x14ac:dyDescent="0.3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4.25" customHeight="1" x14ac:dyDescent="0.3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4.25" customHeight="1" x14ac:dyDescent="0.3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4.25" customHeight="1" x14ac:dyDescent="0.3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4.25" customHeight="1" x14ac:dyDescent="0.3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4.25" customHeight="1" x14ac:dyDescent="0.3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4.25" customHeight="1" x14ac:dyDescent="0.3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4.25" customHeight="1" x14ac:dyDescent="0.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4.25" customHeight="1" x14ac:dyDescent="0.3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4.25" customHeight="1" x14ac:dyDescent="0.3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4.25" customHeight="1" x14ac:dyDescent="0.3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4.25" customHeight="1" x14ac:dyDescent="0.3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4.25" customHeight="1" x14ac:dyDescent="0.3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4.25" customHeight="1" x14ac:dyDescent="0.3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4.25" customHeight="1" x14ac:dyDescent="0.3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4.25" customHeight="1" x14ac:dyDescent="0.3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4.25" customHeight="1" x14ac:dyDescent="0.3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4.25" customHeight="1" x14ac:dyDescent="0.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4.25" customHeight="1" x14ac:dyDescent="0.3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4.25" customHeight="1" x14ac:dyDescent="0.3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4.25" customHeight="1" x14ac:dyDescent="0.3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4.25" customHeight="1" x14ac:dyDescent="0.3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4.25" customHeight="1" x14ac:dyDescent="0.3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4.25" customHeight="1" x14ac:dyDescent="0.3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4.25" customHeight="1" x14ac:dyDescent="0.3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4.25" customHeight="1" x14ac:dyDescent="0.3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4.25" customHeight="1" x14ac:dyDescent="0.3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4.25" customHeight="1" x14ac:dyDescent="0.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4.25" customHeight="1" x14ac:dyDescent="0.3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4.25" customHeight="1" x14ac:dyDescent="0.3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4.25" customHeight="1" x14ac:dyDescent="0.3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4.25" customHeight="1" x14ac:dyDescent="0.3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4.25" customHeight="1" x14ac:dyDescent="0.3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4.25" customHeight="1" x14ac:dyDescent="0.3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4.25" customHeight="1" x14ac:dyDescent="0.3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4.25" customHeight="1" x14ac:dyDescent="0.3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4.25" customHeight="1" x14ac:dyDescent="0.3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4.25" customHeight="1" x14ac:dyDescent="0.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4.25" customHeight="1" x14ac:dyDescent="0.3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4.25" customHeight="1" x14ac:dyDescent="0.3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4.25" customHeight="1" x14ac:dyDescent="0.3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4.25" customHeight="1" x14ac:dyDescent="0.3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4.25" customHeight="1" x14ac:dyDescent="0.3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4.25" customHeight="1" x14ac:dyDescent="0.3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4.25" customHeight="1" x14ac:dyDescent="0.3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4.25" customHeight="1" x14ac:dyDescent="0.3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4.25" customHeight="1" x14ac:dyDescent="0.3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4.25" customHeight="1" x14ac:dyDescent="0.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4.25" customHeight="1" x14ac:dyDescent="0.3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4.25" customHeight="1" x14ac:dyDescent="0.3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4.25" customHeight="1" x14ac:dyDescent="0.3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4.25" customHeight="1" x14ac:dyDescent="0.3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4.25" customHeight="1" x14ac:dyDescent="0.3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4.25" customHeight="1" x14ac:dyDescent="0.3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4.25" customHeight="1" x14ac:dyDescent="0.3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4.25" customHeight="1" x14ac:dyDescent="0.3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4.25" customHeight="1" x14ac:dyDescent="0.3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4.25" customHeight="1" x14ac:dyDescent="0.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4.25" customHeight="1" x14ac:dyDescent="0.3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4.25" customHeight="1" x14ac:dyDescent="0.3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4.25" customHeight="1" x14ac:dyDescent="0.3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4.25" customHeight="1" x14ac:dyDescent="0.3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4.25" customHeight="1" x14ac:dyDescent="0.3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4.25" customHeight="1" x14ac:dyDescent="0.3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4.25" customHeight="1" x14ac:dyDescent="0.3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4.25" customHeight="1" x14ac:dyDescent="0.3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4.25" customHeight="1" x14ac:dyDescent="0.3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4.25" customHeight="1" x14ac:dyDescent="0.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4.25" customHeight="1" x14ac:dyDescent="0.3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4.25" customHeight="1" x14ac:dyDescent="0.3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4.25" customHeight="1" x14ac:dyDescent="0.3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4.25" customHeight="1" x14ac:dyDescent="0.3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4.25" customHeight="1" x14ac:dyDescent="0.3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4.25" customHeight="1" x14ac:dyDescent="0.3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4.25" customHeight="1" x14ac:dyDescent="0.3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4.25" customHeight="1" x14ac:dyDescent="0.3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4.25" customHeight="1" x14ac:dyDescent="0.3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4.25" customHeight="1" x14ac:dyDescent="0.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4.25" customHeight="1" x14ac:dyDescent="0.3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4.25" customHeight="1" x14ac:dyDescent="0.3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4.25" customHeight="1" x14ac:dyDescent="0.3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4.25" customHeight="1" x14ac:dyDescent="0.3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4.25" customHeight="1" x14ac:dyDescent="0.3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4.25" customHeight="1" x14ac:dyDescent="0.3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4.25" customHeight="1" x14ac:dyDescent="0.3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4.25" customHeight="1" x14ac:dyDescent="0.3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4.25" customHeight="1" x14ac:dyDescent="0.3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4.25" customHeight="1" x14ac:dyDescent="0.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4.25" customHeight="1" x14ac:dyDescent="0.3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4.25" customHeight="1" x14ac:dyDescent="0.3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4.25" customHeight="1" x14ac:dyDescent="0.3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4.25" customHeight="1" x14ac:dyDescent="0.3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4.25" customHeight="1" x14ac:dyDescent="0.3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4.25" customHeight="1" x14ac:dyDescent="0.3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4.25" customHeight="1" x14ac:dyDescent="0.3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4.25" customHeight="1" x14ac:dyDescent="0.3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4.25" customHeight="1" x14ac:dyDescent="0.3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4.25" customHeight="1" x14ac:dyDescent="0.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4.25" customHeight="1" x14ac:dyDescent="0.3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4.25" customHeight="1" x14ac:dyDescent="0.3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4.25" customHeight="1" x14ac:dyDescent="0.3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4.25" customHeight="1" x14ac:dyDescent="0.3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4.25" customHeight="1" x14ac:dyDescent="0.3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4.25" customHeight="1" x14ac:dyDescent="0.3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4.25" customHeight="1" x14ac:dyDescent="0.3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4.25" customHeight="1" x14ac:dyDescent="0.3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4.25" customHeight="1" x14ac:dyDescent="0.3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4.25" customHeight="1" x14ac:dyDescent="0.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4.25" customHeight="1" x14ac:dyDescent="0.3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4.25" customHeight="1" x14ac:dyDescent="0.3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4.25" customHeight="1" x14ac:dyDescent="0.3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4.25" customHeight="1" x14ac:dyDescent="0.3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4.25" customHeight="1" x14ac:dyDescent="0.3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4.25" customHeight="1" x14ac:dyDescent="0.3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4.25" customHeight="1" x14ac:dyDescent="0.3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4.25" customHeight="1" x14ac:dyDescent="0.3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4.25" customHeight="1" x14ac:dyDescent="0.3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4.25" customHeight="1" x14ac:dyDescent="0.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4.25" customHeight="1" x14ac:dyDescent="0.3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4.25" customHeight="1" x14ac:dyDescent="0.3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4.25" customHeight="1" x14ac:dyDescent="0.3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4.25" customHeight="1" x14ac:dyDescent="0.3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4.25" customHeight="1" x14ac:dyDescent="0.3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4.25" customHeight="1" x14ac:dyDescent="0.3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4.25" customHeight="1" x14ac:dyDescent="0.3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4.25" customHeight="1" x14ac:dyDescent="0.3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4.25" customHeight="1" x14ac:dyDescent="0.3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4.25" customHeight="1" x14ac:dyDescent="0.3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4.25" customHeight="1" x14ac:dyDescent="0.3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4.25" customHeight="1" x14ac:dyDescent="0.3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4.25" customHeight="1" x14ac:dyDescent="0.3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4.25" customHeight="1" x14ac:dyDescent="0.3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4.25" customHeight="1" x14ac:dyDescent="0.3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4.25" customHeight="1" x14ac:dyDescent="0.3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4.25" customHeight="1" x14ac:dyDescent="0.3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4.25" customHeight="1" x14ac:dyDescent="0.3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4.25" customHeight="1" x14ac:dyDescent="0.3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4.25" customHeight="1" x14ac:dyDescent="0.3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4.25" customHeight="1" x14ac:dyDescent="0.3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4.25" customHeight="1" x14ac:dyDescent="0.3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4.25" customHeight="1" x14ac:dyDescent="0.3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4.25" customHeight="1" x14ac:dyDescent="0.3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4.25" customHeight="1" x14ac:dyDescent="0.3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4.25" customHeight="1" x14ac:dyDescent="0.3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4.25" customHeight="1" x14ac:dyDescent="0.3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  <row r="1001" spans="1:26" ht="14.25" customHeight="1" x14ac:dyDescent="0.3">
      <c r="A1001" s="36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</row>
  </sheetData>
  <mergeCells count="4">
    <mergeCell ref="S2:U2"/>
    <mergeCell ref="S3:U3"/>
    <mergeCell ref="D13:E13"/>
    <mergeCell ref="G13:H13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7"/>
  <sheetViews>
    <sheetView showGridLines="0" workbookViewId="0"/>
  </sheetViews>
  <sheetFormatPr baseColWidth="10" defaultColWidth="12.6640625" defaultRowHeight="15" customHeight="1" x14ac:dyDescent="0.3"/>
  <cols>
    <col min="3" max="4" width="17" customWidth="1"/>
  </cols>
  <sheetData>
    <row r="1" spans="1:26" x14ac:dyDescent="0.3">
      <c r="A1" s="147" t="s">
        <v>267</v>
      </c>
      <c r="B1" s="147" t="s">
        <v>146</v>
      </c>
      <c r="C1" s="147" t="s">
        <v>302</v>
      </c>
      <c r="D1" s="147" t="s">
        <v>303</v>
      </c>
      <c r="E1" s="147" t="s">
        <v>304</v>
      </c>
      <c r="F1" s="147" t="s">
        <v>276</v>
      </c>
      <c r="G1" s="148"/>
      <c r="H1" s="149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</row>
    <row r="2" spans="1:26" x14ac:dyDescent="0.3">
      <c r="A2" s="122" t="s">
        <v>282</v>
      </c>
      <c r="B2" s="124">
        <v>1716.481</v>
      </c>
      <c r="C2" s="124">
        <v>1091.356</v>
      </c>
      <c r="D2" s="151">
        <f t="shared" ref="D2:D6" si="0">+B2/C2</f>
        <v>1.5727965943285234</v>
      </c>
      <c r="E2" s="152" t="s">
        <v>305</v>
      </c>
      <c r="F2" s="153">
        <v>8.5000000000000006E-3</v>
      </c>
      <c r="G2" s="122"/>
      <c r="H2" s="36"/>
    </row>
    <row r="3" spans="1:26" x14ac:dyDescent="0.3">
      <c r="A3" s="122" t="s">
        <v>283</v>
      </c>
      <c r="B3" s="124">
        <f>1064+391</f>
        <v>1455</v>
      </c>
      <c r="C3" s="124">
        <v>391</v>
      </c>
      <c r="D3" s="151">
        <f t="shared" si="0"/>
        <v>3.7212276214833762</v>
      </c>
      <c r="E3" s="152" t="s">
        <v>306</v>
      </c>
      <c r="F3" s="153">
        <v>1.83E-2</v>
      </c>
      <c r="G3" s="122"/>
      <c r="H3" s="36"/>
    </row>
    <row r="4" spans="1:26" x14ac:dyDescent="0.3">
      <c r="A4" s="122" t="s">
        <v>307</v>
      </c>
      <c r="B4" s="124">
        <f>7692+6393</f>
        <v>14085</v>
      </c>
      <c r="C4" s="124">
        <v>6393</v>
      </c>
      <c r="D4" s="151">
        <f t="shared" si="0"/>
        <v>2.2031909901454716</v>
      </c>
      <c r="E4" s="152" t="s">
        <v>308</v>
      </c>
      <c r="F4" s="153">
        <v>7.7000000000000002E-3</v>
      </c>
      <c r="G4" s="122"/>
      <c r="H4" s="36"/>
    </row>
    <row r="5" spans="1:26" x14ac:dyDescent="0.3">
      <c r="A5" s="122" t="s">
        <v>285</v>
      </c>
      <c r="B5" s="124">
        <v>3148</v>
      </c>
      <c r="C5" s="124">
        <v>4191</v>
      </c>
      <c r="D5" s="151">
        <f t="shared" si="0"/>
        <v>0.75113338105464089</v>
      </c>
      <c r="E5" s="152" t="s">
        <v>309</v>
      </c>
      <c r="F5" s="153">
        <v>1.55E-2</v>
      </c>
      <c r="G5" s="122"/>
      <c r="H5" s="36"/>
    </row>
    <row r="6" spans="1:26" x14ac:dyDescent="0.3">
      <c r="A6" s="122" t="s">
        <v>289</v>
      </c>
      <c r="B6" s="124">
        <v>80589</v>
      </c>
      <c r="C6" s="124">
        <v>2000</v>
      </c>
      <c r="D6" s="151">
        <f t="shared" si="0"/>
        <v>40.294499999999999</v>
      </c>
      <c r="E6" s="152" t="s">
        <v>306</v>
      </c>
      <c r="F6" s="153">
        <v>4.4999999999999997E-3</v>
      </c>
      <c r="G6" s="122"/>
      <c r="H6" s="36"/>
    </row>
    <row r="7" spans="1:26" x14ac:dyDescent="0.3">
      <c r="A7" s="122"/>
      <c r="B7" s="122"/>
      <c r="C7" s="122"/>
      <c r="D7" s="122"/>
      <c r="E7" s="122"/>
      <c r="F7" s="122"/>
      <c r="G7" s="122"/>
      <c r="H7" s="3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S1000"/>
  <sheetViews>
    <sheetView showGridLines="0" topLeftCell="A14" workbookViewId="0">
      <selection activeCell="L29" sqref="L29"/>
    </sheetView>
  </sheetViews>
  <sheetFormatPr baseColWidth="10" defaultColWidth="12.6640625" defaultRowHeight="15" customHeight="1" x14ac:dyDescent="0.3"/>
  <cols>
    <col min="1" max="1" width="3.109375" customWidth="1"/>
    <col min="2" max="2" width="36.77734375" customWidth="1"/>
    <col min="3" max="3" width="13.77734375" customWidth="1"/>
    <col min="4" max="4" width="12.44140625" customWidth="1"/>
    <col min="5" max="5" width="14.44140625" customWidth="1"/>
    <col min="6" max="6" width="14.77734375" customWidth="1"/>
    <col min="7" max="7" width="15.77734375" customWidth="1"/>
    <col min="8" max="8" width="17.44140625" customWidth="1"/>
    <col min="9" max="9" width="18.44140625" customWidth="1"/>
    <col min="10" max="10" width="3.88671875" customWidth="1"/>
    <col min="11" max="11" width="12.33203125" customWidth="1"/>
    <col min="12" max="12" width="14" customWidth="1"/>
    <col min="13" max="15" width="12.21875" customWidth="1"/>
    <col min="16" max="26" width="10.6640625" customWidth="1"/>
  </cols>
  <sheetData>
    <row r="1" spans="2:18" ht="14.25" customHeight="1" x14ac:dyDescent="0.3">
      <c r="B1" s="1"/>
      <c r="C1" s="1"/>
      <c r="D1" s="1">
        <v>0</v>
      </c>
      <c r="E1" s="154">
        <v>1</v>
      </c>
      <c r="F1" s="1">
        <v>2</v>
      </c>
      <c r="G1" s="1">
        <v>3</v>
      </c>
      <c r="H1" s="1">
        <v>4</v>
      </c>
      <c r="I1" s="1">
        <v>5</v>
      </c>
    </row>
    <row r="2" spans="2:18" ht="14.25" customHeight="1" x14ac:dyDescent="0.3">
      <c r="B2" s="3" t="s">
        <v>2</v>
      </c>
      <c r="C2" s="4">
        <v>2024</v>
      </c>
      <c r="D2" s="4">
        <v>2025</v>
      </c>
      <c r="E2" s="155">
        <v>2026</v>
      </c>
      <c r="F2" s="4">
        <v>2027</v>
      </c>
      <c r="G2" s="4">
        <v>2028</v>
      </c>
      <c r="H2" s="4">
        <v>2029</v>
      </c>
      <c r="I2" s="4">
        <v>2030</v>
      </c>
    </row>
    <row r="3" spans="2:18" ht="14.25" customHeight="1" x14ac:dyDescent="0.3">
      <c r="B3" s="156" t="s">
        <v>45</v>
      </c>
      <c r="C3" s="11"/>
      <c r="D3" s="11"/>
      <c r="E3" s="157"/>
      <c r="F3" s="158"/>
      <c r="G3" s="158"/>
      <c r="H3" s="158"/>
      <c r="I3" s="158"/>
      <c r="K3" s="159" t="s">
        <v>310</v>
      </c>
      <c r="L3" s="159" t="s">
        <v>311</v>
      </c>
      <c r="M3" s="159" t="s">
        <v>312</v>
      </c>
    </row>
    <row r="4" spans="2:18" ht="14.25" customHeight="1" x14ac:dyDescent="0.3">
      <c r="B4" s="1" t="s">
        <v>46</v>
      </c>
      <c r="C4" s="6">
        <v>154800</v>
      </c>
      <c r="D4" s="6">
        <v>230946</v>
      </c>
      <c r="E4" s="160">
        <f t="shared" ref="E4:I4" si="0">D4*(1+($K4-$M4*E$1))</f>
        <v>324514.26264773245</v>
      </c>
      <c r="F4" s="6">
        <f t="shared" si="0"/>
        <v>427841.23458665243</v>
      </c>
      <c r="G4" s="6">
        <f t="shared" si="0"/>
        <v>526954.04731669591</v>
      </c>
      <c r="H4" s="6">
        <f t="shared" si="0"/>
        <v>603315.39324256976</v>
      </c>
      <c r="I4" s="6">
        <f t="shared" si="0"/>
        <v>638406.46416758152</v>
      </c>
      <c r="K4" s="161">
        <f t="shared" ref="K4:K6" si="1">D4/C4 -1</f>
        <v>0.49189922480620152</v>
      </c>
      <c r="L4" s="162">
        <v>5.816372550418758E-2</v>
      </c>
      <c r="M4" s="162">
        <f t="shared" ref="M4:M6" si="2">(K4-L4)/5</f>
        <v>8.6747099860402785E-2</v>
      </c>
      <c r="N4" s="247" t="s">
        <v>313</v>
      </c>
      <c r="O4" s="239"/>
      <c r="P4" s="239"/>
      <c r="Q4" s="239"/>
      <c r="R4" s="239"/>
    </row>
    <row r="5" spans="2:18" ht="14.25" customHeight="1" x14ac:dyDescent="0.3">
      <c r="B5" s="1" t="s">
        <v>47</v>
      </c>
      <c r="C5" s="6">
        <v>56095</v>
      </c>
      <c r="D5" s="6">
        <v>73045</v>
      </c>
      <c r="E5" s="160">
        <f t="shared" ref="E5:I5" si="3">D5*(1+($K5-$M5*E$1))</f>
        <v>91552.084398023668</v>
      </c>
      <c r="F5" s="6">
        <f t="shared" si="3"/>
        <v>110280.44306777725</v>
      </c>
      <c r="G5" s="6">
        <f t="shared" si="3"/>
        <v>127458.23467133043</v>
      </c>
      <c r="H5" s="6">
        <f t="shared" si="3"/>
        <v>141091.69947425355</v>
      </c>
      <c r="I5" s="6">
        <f t="shared" si="3"/>
        <v>149298.11835339337</v>
      </c>
      <c r="K5" s="161">
        <f t="shared" si="1"/>
        <v>0.30216596844638555</v>
      </c>
      <c r="L5" s="162">
        <v>5.816372550418758E-2</v>
      </c>
      <c r="M5" s="162">
        <f t="shared" si="2"/>
        <v>4.8800448588439592E-2</v>
      </c>
      <c r="N5" s="239"/>
      <c r="O5" s="239"/>
      <c r="P5" s="239"/>
      <c r="Q5" s="239"/>
      <c r="R5" s="239"/>
    </row>
    <row r="6" spans="2:18" ht="14.25" customHeight="1" x14ac:dyDescent="0.3">
      <c r="B6" s="1" t="s">
        <v>48</v>
      </c>
      <c r="C6" s="6">
        <v>5819</v>
      </c>
      <c r="D6" s="6">
        <v>4868</v>
      </c>
      <c r="E6" s="160">
        <f t="shared" ref="E6:I6" si="4">D6*(1+($K6-$M6*E$1))</f>
        <v>4288.1658556684915</v>
      </c>
      <c r="F6" s="6">
        <f t="shared" si="4"/>
        <v>3967.4428019029751</v>
      </c>
      <c r="G6" s="6">
        <f t="shared" si="4"/>
        <v>3846.5396571466704</v>
      </c>
      <c r="H6" s="6">
        <f t="shared" si="4"/>
        <v>3899.7948135894212</v>
      </c>
      <c r="I6" s="6">
        <f t="shared" si="4"/>
        <v>4126.6214086496902</v>
      </c>
      <c r="K6" s="161">
        <f t="shared" si="1"/>
        <v>-0.16343014263619182</v>
      </c>
      <c r="L6" s="162">
        <v>5.816372550418758E-2</v>
      </c>
      <c r="M6" s="162">
        <f t="shared" si="2"/>
        <v>-4.4318773628075882E-2</v>
      </c>
      <c r="N6" s="239"/>
      <c r="O6" s="239"/>
      <c r="P6" s="239"/>
      <c r="Q6" s="239"/>
      <c r="R6" s="239"/>
    </row>
    <row r="7" spans="2:18" ht="14.25" customHeight="1" x14ac:dyDescent="0.3">
      <c r="B7" s="4" t="s">
        <v>49</v>
      </c>
      <c r="C7" s="8">
        <f>SUM(C4:C6)</f>
        <v>216714</v>
      </c>
      <c r="D7" s="8">
        <f t="shared" ref="D7:I7" si="5">+SUM(D4:D6)</f>
        <v>308859</v>
      </c>
      <c r="E7" s="163">
        <f t="shared" si="5"/>
        <v>420354.5129014246</v>
      </c>
      <c r="F7" s="8">
        <f t="shared" si="5"/>
        <v>542089.12045633269</v>
      </c>
      <c r="G7" s="8">
        <f t="shared" si="5"/>
        <v>658258.82164517301</v>
      </c>
      <c r="H7" s="8">
        <f t="shared" si="5"/>
        <v>748306.88753041276</v>
      </c>
      <c r="I7" s="8">
        <f t="shared" si="5"/>
        <v>791831.20392962464</v>
      </c>
      <c r="K7" s="161"/>
      <c r="M7" s="164"/>
      <c r="N7" s="164"/>
    </row>
    <row r="8" spans="2:18" ht="14.25" customHeight="1" x14ac:dyDescent="0.3">
      <c r="B8" s="11" t="s">
        <v>50</v>
      </c>
      <c r="C8" s="13"/>
      <c r="D8" s="13"/>
      <c r="E8" s="165"/>
      <c r="F8" s="166"/>
      <c r="G8" s="166"/>
      <c r="H8" s="166"/>
      <c r="I8" s="166"/>
      <c r="K8" s="159">
        <v>2024</v>
      </c>
      <c r="L8" s="159">
        <v>2025</v>
      </c>
      <c r="M8" s="159" t="s">
        <v>314</v>
      </c>
    </row>
    <row r="9" spans="2:18" ht="14.25" customHeight="1" x14ac:dyDescent="0.3">
      <c r="B9" s="1" t="s">
        <v>51</v>
      </c>
      <c r="C9" s="6">
        <v>22898</v>
      </c>
      <c r="D9" s="6">
        <v>30964</v>
      </c>
      <c r="E9" s="167">
        <f t="shared" ref="E9:I9" si="6">$M9*E7</f>
        <v>44228.364301367052</v>
      </c>
      <c r="F9" s="168">
        <f t="shared" si="6"/>
        <v>57036.892355126831</v>
      </c>
      <c r="G9" s="168">
        <f t="shared" si="6"/>
        <v>69259.898668290582</v>
      </c>
      <c r="H9" s="168">
        <f t="shared" si="6"/>
        <v>78734.469632489665</v>
      </c>
      <c r="I9" s="168">
        <f t="shared" si="6"/>
        <v>83313.959711911579</v>
      </c>
      <c r="K9" s="159">
        <f t="shared" ref="K9:L9" si="7">C9/(C4+C5)</f>
        <v>0.10857535740534389</v>
      </c>
      <c r="L9" s="159">
        <f t="shared" si="7"/>
        <v>0.10185827869904043</v>
      </c>
      <c r="M9" s="159">
        <f t="shared" ref="M9:M12" si="8">AVERAGE(K9:L9)</f>
        <v>0.10521681805219216</v>
      </c>
      <c r="N9" s="159" t="s">
        <v>315</v>
      </c>
      <c r="O9" s="247" t="s">
        <v>316</v>
      </c>
      <c r="P9" s="239"/>
      <c r="Q9" s="239"/>
      <c r="R9" s="239"/>
    </row>
    <row r="10" spans="2:18" ht="14.25" customHeight="1" x14ac:dyDescent="0.3">
      <c r="B10" s="1" t="s">
        <v>52</v>
      </c>
      <c r="C10" s="6">
        <v>57558</v>
      </c>
      <c r="D10" s="6">
        <v>64515</v>
      </c>
      <c r="E10" s="160">
        <f>M10*E7</f>
        <v>101967.3324822849</v>
      </c>
      <c r="F10" s="6">
        <f t="shared" ref="F10:I10" si="9">$M10*F7</f>
        <v>131497.05756474804</v>
      </c>
      <c r="G10" s="6">
        <f t="shared" si="9"/>
        <v>159676.87764977236</v>
      </c>
      <c r="H10" s="6">
        <f t="shared" si="9"/>
        <v>181520.25221028327</v>
      </c>
      <c r="I10" s="6">
        <f t="shared" si="9"/>
        <v>192078.14633329309</v>
      </c>
      <c r="K10" s="159">
        <f t="shared" ref="K10:L10" si="10">C10/(C5+C4)</f>
        <v>0.27292254439412977</v>
      </c>
      <c r="L10" s="159">
        <f t="shared" si="10"/>
        <v>0.21222667776348642</v>
      </c>
      <c r="M10" s="159">
        <f t="shared" si="8"/>
        <v>0.24257461107880809</v>
      </c>
      <c r="N10" s="159" t="s">
        <v>315</v>
      </c>
      <c r="O10" s="239"/>
      <c r="P10" s="239"/>
      <c r="Q10" s="239"/>
      <c r="R10" s="239"/>
    </row>
    <row r="11" spans="2:18" ht="14.25" customHeight="1" x14ac:dyDescent="0.3">
      <c r="B11" s="1" t="s">
        <v>53</v>
      </c>
      <c r="C11" s="6">
        <v>23766</v>
      </c>
      <c r="D11" s="6">
        <v>29092</v>
      </c>
      <c r="E11" s="160">
        <f t="shared" ref="E11:I11" si="11">$M11*E7</f>
        <v>43799.12247902088</v>
      </c>
      <c r="F11" s="6">
        <f t="shared" si="11"/>
        <v>56483.34216166602</v>
      </c>
      <c r="G11" s="6">
        <f t="shared" si="11"/>
        <v>68587.722665639507</v>
      </c>
      <c r="H11" s="6">
        <f t="shared" si="11"/>
        <v>77970.341730398897</v>
      </c>
      <c r="I11" s="6">
        <f t="shared" si="11"/>
        <v>82505.387284273529</v>
      </c>
      <c r="K11" s="159">
        <f t="shared" ref="K11:L11" si="12">C11/(C4+C5)</f>
        <v>0.11269114962422058</v>
      </c>
      <c r="L11" s="159">
        <f t="shared" si="12"/>
        <v>9.5700201650706765E-2</v>
      </c>
      <c r="M11" s="159">
        <f t="shared" si="8"/>
        <v>0.10419567563746368</v>
      </c>
      <c r="N11" s="159" t="s">
        <v>315</v>
      </c>
      <c r="O11" s="239"/>
      <c r="P11" s="239"/>
      <c r="Q11" s="239"/>
      <c r="R11" s="239"/>
    </row>
    <row r="12" spans="2:18" ht="14.25" customHeight="1" x14ac:dyDescent="0.3">
      <c r="B12" s="1" t="s">
        <v>54</v>
      </c>
      <c r="C12" s="6">
        <v>21150</v>
      </c>
      <c r="D12" s="6">
        <v>52196</v>
      </c>
      <c r="E12" s="160">
        <f t="shared" ref="E12:I12" si="13">$M12*E7</f>
        <v>57165.969971910163</v>
      </c>
      <c r="F12" s="6">
        <f t="shared" si="13"/>
        <v>73721.226800229459</v>
      </c>
      <c r="G12" s="6">
        <f t="shared" si="13"/>
        <v>89519.686067310919</v>
      </c>
      <c r="H12" s="6">
        <f t="shared" si="13"/>
        <v>101765.74236606027</v>
      </c>
      <c r="I12" s="6">
        <f t="shared" si="13"/>
        <v>107684.81707076966</v>
      </c>
      <c r="K12" s="159">
        <f t="shared" ref="K12:L12" si="14">C12/(C4+C5)</f>
        <v>0.10028687261433415</v>
      </c>
      <c r="L12" s="159">
        <f t="shared" si="14"/>
        <v>0.17170245171732057</v>
      </c>
      <c r="M12" s="159">
        <f t="shared" si="8"/>
        <v>0.13599466216582737</v>
      </c>
      <c r="N12" s="159" t="s">
        <v>315</v>
      </c>
      <c r="O12" s="239"/>
      <c r="P12" s="239"/>
      <c r="Q12" s="239"/>
      <c r="R12" s="239"/>
    </row>
    <row r="13" spans="2:18" ht="14.25" customHeight="1" x14ac:dyDescent="0.3">
      <c r="B13" s="5" t="s">
        <v>55</v>
      </c>
      <c r="C13" s="15">
        <v>9767</v>
      </c>
      <c r="D13" s="15">
        <v>10619</v>
      </c>
      <c r="E13" s="169">
        <f>AVERAGE(C13:D13)</f>
        <v>10193</v>
      </c>
      <c r="F13" s="15">
        <f t="shared" ref="F13:I13" si="15">E13</f>
        <v>10193</v>
      </c>
      <c r="G13" s="15">
        <f t="shared" si="15"/>
        <v>10193</v>
      </c>
      <c r="H13" s="15">
        <f t="shared" si="15"/>
        <v>10193</v>
      </c>
      <c r="I13" s="15">
        <f t="shared" si="15"/>
        <v>10193</v>
      </c>
      <c r="K13" s="159" t="s">
        <v>317</v>
      </c>
    </row>
    <row r="14" spans="2:18" ht="14.25" customHeight="1" x14ac:dyDescent="0.3">
      <c r="B14" s="2" t="s">
        <v>56</v>
      </c>
      <c r="C14" s="8">
        <f t="shared" ref="C14:I14" si="16">SUM(C9:C13)</f>
        <v>135139</v>
      </c>
      <c r="D14" s="170">
        <f t="shared" si="16"/>
        <v>187386</v>
      </c>
      <c r="E14" s="8">
        <f t="shared" si="16"/>
        <v>257353.78923458298</v>
      </c>
      <c r="F14" s="8">
        <f t="shared" si="16"/>
        <v>328931.51888177032</v>
      </c>
      <c r="G14" s="8">
        <f t="shared" si="16"/>
        <v>397237.18505101337</v>
      </c>
      <c r="H14" s="8">
        <f t="shared" si="16"/>
        <v>450183.80593923212</v>
      </c>
      <c r="I14" s="8">
        <f t="shared" si="16"/>
        <v>475775.31040024786</v>
      </c>
    </row>
    <row r="15" spans="2:18" ht="14.25" customHeight="1" x14ac:dyDescent="0.3">
      <c r="B15" s="5" t="s">
        <v>58</v>
      </c>
      <c r="C15" s="15">
        <v>986</v>
      </c>
      <c r="D15" s="15">
        <v>-20566</v>
      </c>
      <c r="E15" s="160">
        <f t="shared" ref="E15:I15" si="17">$C15</f>
        <v>986</v>
      </c>
      <c r="F15" s="6">
        <f t="shared" si="17"/>
        <v>986</v>
      </c>
      <c r="G15" s="6">
        <f t="shared" si="17"/>
        <v>986</v>
      </c>
      <c r="H15" s="6">
        <f t="shared" si="17"/>
        <v>986</v>
      </c>
      <c r="I15" s="6">
        <f t="shared" si="17"/>
        <v>986</v>
      </c>
      <c r="J15" s="161"/>
      <c r="K15" s="248" t="s">
        <v>318</v>
      </c>
      <c r="L15" s="239"/>
      <c r="M15" s="239"/>
      <c r="N15" s="239"/>
      <c r="O15" s="239"/>
      <c r="P15" s="239"/>
      <c r="Q15" s="239"/>
      <c r="R15" s="239"/>
    </row>
    <row r="16" spans="2:18" ht="14.25" customHeight="1" x14ac:dyDescent="0.3">
      <c r="B16" s="2" t="s">
        <v>146</v>
      </c>
      <c r="C16" s="8">
        <f t="shared" ref="C16:I16" si="18">+C7-C14-C15</f>
        <v>80589</v>
      </c>
      <c r="D16" s="8">
        <f t="shared" si="18"/>
        <v>142039</v>
      </c>
      <c r="E16" s="172">
        <f t="shared" si="18"/>
        <v>162014.72366684163</v>
      </c>
      <c r="F16" s="173">
        <f t="shared" si="18"/>
        <v>212171.60157456237</v>
      </c>
      <c r="G16" s="173">
        <f t="shared" si="18"/>
        <v>260035.63659415965</v>
      </c>
      <c r="H16" s="173">
        <f t="shared" si="18"/>
        <v>297137.08159118064</v>
      </c>
      <c r="I16" s="173">
        <f t="shared" si="18"/>
        <v>315069.89352937677</v>
      </c>
      <c r="K16" s="161"/>
    </row>
    <row r="17" spans="2:19" ht="14.25" customHeight="1" x14ac:dyDescent="0.3">
      <c r="B17" s="1" t="s">
        <v>60</v>
      </c>
      <c r="C17" s="6">
        <v>1623</v>
      </c>
      <c r="D17" s="174">
        <v>-55218</v>
      </c>
      <c r="E17" s="175">
        <f t="shared" ref="E17:I17" si="19">E16*$K17</f>
        <v>19441.766840020995</v>
      </c>
      <c r="F17" s="176">
        <f t="shared" si="19"/>
        <v>25460.592188947485</v>
      </c>
      <c r="G17" s="176">
        <f t="shared" si="19"/>
        <v>31204.276391299158</v>
      </c>
      <c r="H17" s="176">
        <f t="shared" si="19"/>
        <v>35656.449790941675</v>
      </c>
      <c r="I17" s="176">
        <f t="shared" si="19"/>
        <v>37808.387223525213</v>
      </c>
      <c r="K17" s="177">
        <v>0.12</v>
      </c>
      <c r="L17" s="249" t="s">
        <v>319</v>
      </c>
      <c r="M17" s="239"/>
      <c r="N17" s="239"/>
      <c r="O17" s="239"/>
      <c r="P17" s="239"/>
      <c r="Q17" s="239"/>
      <c r="R17" s="239"/>
      <c r="S17" s="239"/>
    </row>
    <row r="18" spans="2:19" ht="14.25" customHeight="1" x14ac:dyDescent="0.3">
      <c r="B18" s="7" t="s">
        <v>320</v>
      </c>
      <c r="C18" s="8">
        <f t="shared" ref="C18:I18" si="20">+C16-C17</f>
        <v>78966</v>
      </c>
      <c r="D18" s="8">
        <f t="shared" si="20"/>
        <v>197257</v>
      </c>
      <c r="E18" s="178">
        <f t="shared" si="20"/>
        <v>142572.95682682062</v>
      </c>
      <c r="F18" s="179">
        <f t="shared" si="20"/>
        <v>186711.00938561489</v>
      </c>
      <c r="G18" s="179">
        <f t="shared" si="20"/>
        <v>228831.36020286049</v>
      </c>
      <c r="H18" s="179">
        <f t="shared" si="20"/>
        <v>261480.63180023897</v>
      </c>
      <c r="I18" s="179">
        <f t="shared" si="20"/>
        <v>277261.50630585157</v>
      </c>
      <c r="K18" s="161"/>
      <c r="L18" s="239"/>
      <c r="M18" s="239"/>
      <c r="N18" s="239"/>
      <c r="O18" s="239"/>
      <c r="P18" s="239"/>
      <c r="Q18" s="239"/>
      <c r="R18" s="239"/>
      <c r="S18" s="239"/>
    </row>
    <row r="19" spans="2:19" ht="14.25" customHeight="1" x14ac:dyDescent="0.3">
      <c r="B19" s="1"/>
      <c r="C19" s="6"/>
      <c r="D19" s="6"/>
    </row>
    <row r="20" spans="2:19" ht="14.25" customHeight="1" x14ac:dyDescent="0.3">
      <c r="B20" s="180"/>
      <c r="C20" s="181"/>
      <c r="D20" s="181"/>
      <c r="K20" s="161"/>
      <c r="L20" s="161"/>
    </row>
    <row r="21" spans="2:19" ht="14.25" customHeight="1" x14ac:dyDescent="0.3">
      <c r="B21" s="36"/>
      <c r="C21" s="182"/>
      <c r="D21" s="36"/>
      <c r="E21" s="36"/>
      <c r="F21" s="36"/>
      <c r="G21" s="36"/>
      <c r="H21" s="36"/>
      <c r="I21" s="36"/>
      <c r="K21" s="182"/>
      <c r="L21" s="182"/>
      <c r="M21" s="161"/>
      <c r="N21" s="161"/>
      <c r="O21" s="161"/>
    </row>
    <row r="22" spans="2:19" ht="14.25" customHeight="1" x14ac:dyDescent="0.3">
      <c r="B22" s="2"/>
      <c r="C22" s="177"/>
      <c r="D22" s="183"/>
      <c r="E22" s="177"/>
      <c r="F22" s="183"/>
      <c r="G22" s="183"/>
      <c r="H22" s="183"/>
      <c r="I22" s="183"/>
      <c r="N22" s="184"/>
      <c r="O22" s="184"/>
    </row>
    <row r="23" spans="2:19" ht="14.25" customHeight="1" x14ac:dyDescent="0.3">
      <c r="B23" s="185" t="s">
        <v>321</v>
      </c>
      <c r="C23" s="186"/>
      <c r="D23" s="186">
        <v>0</v>
      </c>
      <c r="E23" s="186">
        <v>1</v>
      </c>
      <c r="F23" s="186">
        <v>2</v>
      </c>
      <c r="G23" s="186">
        <v>3</v>
      </c>
      <c r="H23" s="186">
        <v>4</v>
      </c>
      <c r="I23" s="186">
        <v>5</v>
      </c>
    </row>
    <row r="24" spans="2:19" ht="14.25" customHeight="1" x14ac:dyDescent="0.3">
      <c r="B24" s="1" t="s">
        <v>146</v>
      </c>
      <c r="C24" s="6">
        <f t="shared" ref="C24:I24" si="21">C18+C17</f>
        <v>80589</v>
      </c>
      <c r="D24" s="6">
        <f t="shared" si="21"/>
        <v>142039</v>
      </c>
      <c r="E24" s="6">
        <f t="shared" si="21"/>
        <v>162014.72366684163</v>
      </c>
      <c r="F24" s="6">
        <f t="shared" si="21"/>
        <v>212171.60157456237</v>
      </c>
      <c r="G24" s="6">
        <f t="shared" si="21"/>
        <v>260035.63659415965</v>
      </c>
      <c r="H24" s="6">
        <f t="shared" si="21"/>
        <v>297137.08159118064</v>
      </c>
      <c r="I24" s="6">
        <f t="shared" si="21"/>
        <v>315069.89352937677</v>
      </c>
    </row>
    <row r="25" spans="2:19" ht="14.25" customHeight="1" x14ac:dyDescent="0.3">
      <c r="B25" s="1" t="s">
        <v>320</v>
      </c>
      <c r="E25" s="182">
        <f t="shared" ref="E25:I25" si="22">E18</f>
        <v>142572.95682682062</v>
      </c>
      <c r="F25" s="182">
        <f t="shared" si="22"/>
        <v>186711.00938561489</v>
      </c>
      <c r="G25" s="182">
        <f t="shared" si="22"/>
        <v>228831.36020286049</v>
      </c>
      <c r="H25" s="182">
        <f t="shared" si="22"/>
        <v>261480.63180023897</v>
      </c>
      <c r="I25" s="182">
        <f t="shared" si="22"/>
        <v>277261.50630585157</v>
      </c>
    </row>
    <row r="26" spans="2:19" ht="14.25" customHeight="1" x14ac:dyDescent="0.3">
      <c r="B26" s="1" t="s">
        <v>322</v>
      </c>
      <c r="C26" s="182"/>
      <c r="D26" s="182"/>
      <c r="E26" s="182">
        <f>'BS pronostico'!$F56*'BS pronostico'!E17</f>
        <v>6869.1750366230908</v>
      </c>
      <c r="F26" s="182">
        <f>'BS pronostico'!$F56*'BS pronostico'!F17</f>
        <v>7357.150533762936</v>
      </c>
      <c r="G26" s="182">
        <f>'BS pronostico'!$F56*'BS pronostico'!G17</f>
        <v>7879.7910502885643</v>
      </c>
      <c r="H26" s="182">
        <f>'BS pronostico'!$F56*'BS pronostico'!H17</f>
        <v>8439.5591351928251</v>
      </c>
      <c r="I26" s="182">
        <f>'BS pronostico'!$F56*'BS pronostico'!I17</f>
        <v>9039.0922731140581</v>
      </c>
      <c r="K26" s="159" t="s">
        <v>323</v>
      </c>
      <c r="L26" s="162">
        <f>L4</f>
        <v>5.816372550418758E-2</v>
      </c>
    </row>
    <row r="27" spans="2:19" ht="14.25" customHeight="1" x14ac:dyDescent="0.3">
      <c r="B27" s="187" t="s">
        <v>324</v>
      </c>
      <c r="C27" s="188"/>
      <c r="D27" s="188"/>
      <c r="E27" s="189">
        <f t="shared" ref="E27:I27" si="23">E25+E26</f>
        <v>149442.1318634437</v>
      </c>
      <c r="F27" s="189">
        <f t="shared" si="23"/>
        <v>194068.15991937782</v>
      </c>
      <c r="G27" s="189">
        <f t="shared" si="23"/>
        <v>236711.15125314906</v>
      </c>
      <c r="H27" s="189">
        <f t="shared" si="23"/>
        <v>269920.1909354318</v>
      </c>
      <c r="I27" s="189">
        <f t="shared" si="23"/>
        <v>286300.59857896564</v>
      </c>
      <c r="K27" s="159" t="s">
        <v>325</v>
      </c>
      <c r="L27" s="190">
        <f>WACC!E26</f>
        <v>0.1027003314326921</v>
      </c>
    </row>
    <row r="28" spans="2:19" ht="14.25" customHeight="1" x14ac:dyDescent="0.3">
      <c r="B28" s="1" t="s">
        <v>155</v>
      </c>
      <c r="D28" s="182">
        <f>'BS pronostico'!$E52*('P&amp;L pronostico yDCF'!D4+'P&amp;L pronostico yDCF'!D5)</f>
        <v>159228.29419379312</v>
      </c>
      <c r="E28" s="182">
        <f>'BS pronostico'!$E52*('P&amp;L pronostico yDCF'!E4+'P&amp;L pronostico yDCF'!E5)</f>
        <v>217932.55297537913</v>
      </c>
      <c r="F28" s="182">
        <f>'BS pronostico'!$E52*('P&amp;L pronostico yDCF'!F4+'P&amp;L pronostico yDCF'!F5)</f>
        <v>281864.25519708492</v>
      </c>
      <c r="G28" s="182">
        <f>'BS pronostico'!$E52*('P&amp;L pronostico yDCF'!G4+'P&amp;L pronostico yDCF'!G5)</f>
        <v>342776.43535637885</v>
      </c>
      <c r="H28" s="182">
        <f>'BS pronostico'!$E52*('P&amp;L pronostico yDCF'!H4+'P&amp;L pronostico yDCF'!H5)</f>
        <v>389915.06840354012</v>
      </c>
      <c r="I28" s="182">
        <f>'BS pronostico'!$E52*('P&amp;L pronostico yDCF'!I4+'P&amp;L pronostico yDCF'!I5)</f>
        <v>412593.98141211015</v>
      </c>
    </row>
    <row r="29" spans="2:19" ht="14.25" customHeight="1" x14ac:dyDescent="0.3">
      <c r="B29" s="187" t="s">
        <v>326</v>
      </c>
      <c r="C29" s="188"/>
      <c r="D29" s="188"/>
      <c r="E29" s="189">
        <f t="shared" ref="E29:I29" si="24">E28-D28</f>
        <v>58704.258781586017</v>
      </c>
      <c r="F29" s="189">
        <f t="shared" si="24"/>
        <v>63931.702221705782</v>
      </c>
      <c r="G29" s="189">
        <f t="shared" si="24"/>
        <v>60912.18015929393</v>
      </c>
      <c r="H29" s="189">
        <f t="shared" si="24"/>
        <v>47138.633047161275</v>
      </c>
      <c r="I29" s="189">
        <f t="shared" si="24"/>
        <v>22678.913008570031</v>
      </c>
      <c r="K29" s="159" t="s">
        <v>327</v>
      </c>
      <c r="L29" s="182">
        <f>I25*Múltiplos!L28</f>
        <v>6637425.5183707736</v>
      </c>
    </row>
    <row r="30" spans="2:19" ht="14.25" customHeight="1" x14ac:dyDescent="0.3">
      <c r="B30" s="1" t="s">
        <v>328</v>
      </c>
      <c r="D30" s="182">
        <f>'BS pronostico'!D17</f>
        <v>14723</v>
      </c>
      <c r="E30" s="182">
        <f>'BS pronostico'!E17</f>
        <v>15768.898991667251</v>
      </c>
      <c r="F30" s="182">
        <f>'BS pronostico'!F17</f>
        <v>16889.097018909491</v>
      </c>
      <c r="G30" s="182">
        <f>'BS pronostico'!G17</f>
        <v>18088.872169507045</v>
      </c>
      <c r="H30" s="182">
        <f>'BS pronostico'!H17</f>
        <v>19373.877478376515</v>
      </c>
      <c r="I30" s="182">
        <f>'BS pronostico'!I17</f>
        <v>20750.167563231425</v>
      </c>
      <c r="L30" s="182">
        <f>L29/(1+L27)^5</f>
        <v>4071103.4206344141</v>
      </c>
    </row>
    <row r="31" spans="2:19" ht="14.25" customHeight="1" x14ac:dyDescent="0.3">
      <c r="B31" s="187" t="s">
        <v>329</v>
      </c>
      <c r="C31" s="188"/>
      <c r="D31" s="188"/>
      <c r="E31" s="189">
        <f t="shared" ref="E31:I31" si="25">E30-D30</f>
        <v>1045.8989916672508</v>
      </c>
      <c r="F31" s="189">
        <f t="shared" si="25"/>
        <v>1120.1980272422406</v>
      </c>
      <c r="G31" s="189">
        <f t="shared" si="25"/>
        <v>1199.7751505975539</v>
      </c>
      <c r="H31" s="189">
        <f t="shared" si="25"/>
        <v>1285.0053088694694</v>
      </c>
      <c r="I31" s="189">
        <f t="shared" si="25"/>
        <v>1376.2900848549107</v>
      </c>
    </row>
    <row r="32" spans="2:19" ht="14.25" customHeight="1" x14ac:dyDescent="0.3">
      <c r="B32" s="5" t="s">
        <v>330</v>
      </c>
      <c r="C32" s="186"/>
      <c r="D32" s="186"/>
      <c r="E32" s="191">
        <f t="shared" ref="E32:I32" si="26">E27-E29-E31</f>
        <v>89691.97409019043</v>
      </c>
      <c r="F32" s="191">
        <f t="shared" si="26"/>
        <v>129016.2596704298</v>
      </c>
      <c r="G32" s="191">
        <f t="shared" si="26"/>
        <v>174599.19594325757</v>
      </c>
      <c r="H32" s="191">
        <f t="shared" si="26"/>
        <v>221496.55257940106</v>
      </c>
      <c r="I32" s="191">
        <f t="shared" si="26"/>
        <v>262245.39548554068</v>
      </c>
    </row>
    <row r="33" spans="2:9" ht="14.25" customHeight="1" x14ac:dyDescent="0.3">
      <c r="B33" s="1" t="s">
        <v>331</v>
      </c>
      <c r="E33" s="182">
        <f t="shared" ref="E33:I33" si="27">E32/(1+$L27)^E1</f>
        <v>81338.484748306379</v>
      </c>
      <c r="F33" s="182">
        <f t="shared" si="27"/>
        <v>106103.43324585936</v>
      </c>
      <c r="G33" s="182">
        <f t="shared" si="27"/>
        <v>130217.61118923906</v>
      </c>
      <c r="H33" s="182">
        <f t="shared" si="27"/>
        <v>149808.6708122628</v>
      </c>
      <c r="I33" s="182">
        <f t="shared" si="27"/>
        <v>160849.73362817787</v>
      </c>
    </row>
    <row r="34" spans="2:9" ht="14.25" customHeight="1" x14ac:dyDescent="0.3">
      <c r="B34" s="1" t="s">
        <v>233</v>
      </c>
      <c r="C34" s="8">
        <f>L30+SUM(E33:I33)</f>
        <v>4699421.3542582598</v>
      </c>
    </row>
    <row r="35" spans="2:9" ht="14.25" customHeight="1" x14ac:dyDescent="0.3"/>
    <row r="36" spans="2:9" ht="14.25" customHeight="1" x14ac:dyDescent="0.3"/>
    <row r="37" spans="2:9" ht="14.25" customHeight="1" x14ac:dyDescent="0.3"/>
    <row r="38" spans="2:9" ht="14.25" customHeight="1" x14ac:dyDescent="0.3"/>
    <row r="39" spans="2:9" ht="14.25" customHeight="1" x14ac:dyDescent="0.3"/>
    <row r="40" spans="2:9" ht="14.25" customHeight="1" x14ac:dyDescent="0.3"/>
    <row r="41" spans="2:9" ht="14.25" customHeight="1" x14ac:dyDescent="0.3"/>
    <row r="42" spans="2:9" ht="14.25" customHeight="1" x14ac:dyDescent="0.3"/>
    <row r="43" spans="2:9" ht="14.25" customHeight="1" x14ac:dyDescent="0.3"/>
    <row r="44" spans="2:9" ht="14.25" customHeight="1" x14ac:dyDescent="0.3"/>
    <row r="45" spans="2:9" ht="14.25" customHeight="1" x14ac:dyDescent="0.3"/>
    <row r="46" spans="2:9" ht="14.25" customHeight="1" x14ac:dyDescent="0.3"/>
    <row r="47" spans="2:9" ht="14.25" customHeight="1" x14ac:dyDescent="0.3"/>
    <row r="48" spans="2:9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4">
    <mergeCell ref="N4:R6"/>
    <mergeCell ref="O9:R12"/>
    <mergeCell ref="K15:R15"/>
    <mergeCell ref="L17:S18"/>
  </mergeCells>
  <conditionalFormatting sqref="C34">
    <cfRule type="cellIs" dxfId="47" priority="1" operator="equal">
      <formula>0</formula>
    </cfRule>
    <cfRule type="cellIs" dxfId="46" priority="2" operator="lessThan">
      <formula>0</formula>
    </cfRule>
    <cfRule type="cellIs" dxfId="45" priority="3" operator="greaterThan">
      <formula>0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I7">
    <cfRule type="cellIs" dxfId="44" priority="5" operator="equal">
      <formula>0</formula>
    </cfRule>
    <cfRule type="cellIs" dxfId="43" priority="6" operator="lessThan">
      <formula>0</formula>
    </cfRule>
    <cfRule type="cellIs" dxfId="42" priority="7" operator="greaterThan">
      <formula>0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:I14">
    <cfRule type="cellIs" dxfId="41" priority="9" operator="equal">
      <formula>0</formula>
    </cfRule>
    <cfRule type="cellIs" dxfId="40" priority="10" operator="lessThan">
      <formula>0</formula>
    </cfRule>
    <cfRule type="cellIs" dxfId="39" priority="11" operator="greaterThan">
      <formula>0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:I16">
    <cfRule type="cellIs" dxfId="38" priority="13" operator="equal">
      <formula>0</formula>
    </cfRule>
    <cfRule type="cellIs" dxfId="37" priority="14" operator="lessThan">
      <formula>0</formula>
    </cfRule>
    <cfRule type="cellIs" dxfId="36" priority="15" operator="greaterThan">
      <formula>0</formula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I18">
    <cfRule type="cellIs" dxfId="35" priority="17" operator="equal">
      <formula>0</formula>
    </cfRule>
    <cfRule type="cellIs" dxfId="34" priority="18" operator="lessThan">
      <formula>0</formula>
    </cfRule>
    <cfRule type="cellIs" dxfId="33" priority="19" operator="greaterThan">
      <formula>0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R1000"/>
  <sheetViews>
    <sheetView showGridLines="0" workbookViewId="0"/>
  </sheetViews>
  <sheetFormatPr baseColWidth="10" defaultColWidth="12.6640625" defaultRowHeight="15" customHeight="1" x14ac:dyDescent="0.3"/>
  <cols>
    <col min="1" max="1" width="3.33203125" customWidth="1"/>
    <col min="2" max="2" width="100.109375" customWidth="1"/>
    <col min="3" max="3" width="13.109375" customWidth="1"/>
    <col min="4" max="4" width="12.44140625" customWidth="1"/>
    <col min="5" max="6" width="14.21875" customWidth="1"/>
    <col min="7" max="9" width="14" customWidth="1"/>
    <col min="10" max="26" width="10.6640625" customWidth="1"/>
  </cols>
  <sheetData>
    <row r="1" spans="2:18" ht="14.25" customHeight="1" x14ac:dyDescent="0.3"/>
    <row r="2" spans="2:18" ht="14.25" customHeight="1" x14ac:dyDescent="0.3">
      <c r="B2" s="2" t="s">
        <v>0</v>
      </c>
      <c r="C2" s="1"/>
      <c r="D2" s="1"/>
    </row>
    <row r="3" spans="2:18" ht="14.25" customHeight="1" x14ac:dyDescent="0.3">
      <c r="B3" s="1" t="s">
        <v>1</v>
      </c>
      <c r="C3" s="1"/>
      <c r="D3" s="1"/>
    </row>
    <row r="4" spans="2:18" ht="14.25" customHeight="1" x14ac:dyDescent="0.3">
      <c r="B4" s="1"/>
      <c r="C4" s="1"/>
      <c r="D4" s="1">
        <v>0</v>
      </c>
      <c r="E4" s="159">
        <v>1</v>
      </c>
      <c r="F4" s="1">
        <v>2</v>
      </c>
      <c r="G4" s="159">
        <v>3</v>
      </c>
      <c r="H4" s="1">
        <v>4</v>
      </c>
      <c r="I4" s="159">
        <v>5</v>
      </c>
    </row>
    <row r="5" spans="2:18" ht="14.25" customHeight="1" x14ac:dyDescent="0.3">
      <c r="B5" s="3" t="s">
        <v>2</v>
      </c>
      <c r="C5" s="4">
        <v>2024</v>
      </c>
      <c r="D5" s="4">
        <v>2025</v>
      </c>
      <c r="E5" s="4">
        <v>2026</v>
      </c>
      <c r="F5" s="4">
        <v>2027</v>
      </c>
      <c r="G5" s="4">
        <v>2028</v>
      </c>
      <c r="H5" s="4">
        <v>2029</v>
      </c>
      <c r="I5" s="4">
        <v>2030</v>
      </c>
    </row>
    <row r="6" spans="2:18" ht="14.25" customHeight="1" x14ac:dyDescent="0.3">
      <c r="B6" s="2" t="s">
        <v>3</v>
      </c>
      <c r="C6" s="1"/>
      <c r="D6" s="1"/>
    </row>
    <row r="7" spans="2:18" ht="14.25" customHeight="1" x14ac:dyDescent="0.3">
      <c r="B7" s="4" t="s">
        <v>4</v>
      </c>
      <c r="C7" s="5"/>
      <c r="D7" s="5"/>
      <c r="E7" s="5"/>
      <c r="F7" s="5"/>
      <c r="G7" s="5"/>
      <c r="H7" s="5"/>
      <c r="I7" s="5"/>
    </row>
    <row r="8" spans="2:18" ht="14.25" customHeight="1" x14ac:dyDescent="0.3">
      <c r="B8" s="1" t="s">
        <v>5</v>
      </c>
      <c r="C8" s="6">
        <v>86721</v>
      </c>
      <c r="D8" s="6">
        <v>142860</v>
      </c>
      <c r="E8" s="182">
        <f>$M8*('P&amp;L pronostico yDCF'!E$4+'P&amp;L pronostico yDCF'!E$5)</f>
        <v>183309.00322374888</v>
      </c>
      <c r="F8" s="182">
        <f>$M8*('P&amp;L pronostico yDCF'!F$4+'P&amp;L pronostico yDCF'!F$5)</f>
        <v>237083.69841571679</v>
      </c>
      <c r="G8" s="182">
        <f>$M8*('P&amp;L pronostico yDCF'!G$4+'P&amp;L pronostico yDCF'!G$5)</f>
        <v>288318.59139862529</v>
      </c>
      <c r="H8" s="182">
        <f>$M8*('P&amp;L pronostico yDCF'!H$4+'P&amp;L pronostico yDCF'!H$5)</f>
        <v>327968.17893950734</v>
      </c>
      <c r="I8" s="182">
        <f>$M8*('P&amp;L pronostico yDCF'!I$4+'P&amp;L pronostico yDCF'!I$5)</f>
        <v>347044.03007345309</v>
      </c>
      <c r="K8" s="159">
        <f>C8/('P&amp;L pronostico yDCF'!C4+'P&amp;L pronostico yDCF'!C5)</f>
        <v>0.41120462789539819</v>
      </c>
      <c r="L8" s="159">
        <f>D8/('P&amp;L pronostico yDCF'!D4+'P&amp;L pronostico yDCF'!D5)</f>
        <v>0.46994812346418152</v>
      </c>
      <c r="M8" s="159">
        <f t="shared" ref="M8:M12" si="0">AVERAGE(K8:L8)</f>
        <v>0.44057637567978986</v>
      </c>
      <c r="N8" s="159" t="s">
        <v>315</v>
      </c>
    </row>
    <row r="9" spans="2:18" ht="14.25" customHeight="1" x14ac:dyDescent="0.3">
      <c r="B9" s="1" t="s">
        <v>6</v>
      </c>
      <c r="C9" s="6">
        <v>6461</v>
      </c>
      <c r="D9" s="6">
        <v>9083</v>
      </c>
      <c r="E9" s="182">
        <f t="shared" ref="E9:I9" si="1">$M9*E8</f>
        <v>12655.930431613222</v>
      </c>
      <c r="F9" s="182">
        <f t="shared" si="1"/>
        <v>16368.616602843133</v>
      </c>
      <c r="G9" s="182">
        <f t="shared" si="1"/>
        <v>19905.950993731527</v>
      </c>
      <c r="H9" s="182">
        <f t="shared" si="1"/>
        <v>22643.418399776263</v>
      </c>
      <c r="I9" s="182">
        <f t="shared" si="1"/>
        <v>23960.443972057317</v>
      </c>
      <c r="K9" s="159">
        <f t="shared" ref="K9:L9" si="2">C9/C8</f>
        <v>7.4503292166833865E-2</v>
      </c>
      <c r="L9" s="159">
        <f t="shared" si="2"/>
        <v>6.3579728405431885E-2</v>
      </c>
      <c r="M9" s="159">
        <f t="shared" si="0"/>
        <v>6.9041510286132868E-2</v>
      </c>
      <c r="N9" s="159" t="s">
        <v>332</v>
      </c>
      <c r="O9" s="159" t="s">
        <v>333</v>
      </c>
    </row>
    <row r="10" spans="2:18" ht="14.25" customHeight="1" x14ac:dyDescent="0.3">
      <c r="B10" s="1" t="s">
        <v>7</v>
      </c>
      <c r="C10" s="6">
        <v>69466</v>
      </c>
      <c r="D10" s="6">
        <v>118518</v>
      </c>
      <c r="E10" s="182">
        <f>$M10*('P&amp;L pronostico yDCF'!E$4+'P&amp;L pronostico yDCF'!E$5)</f>
        <v>149629.94996139084</v>
      </c>
      <c r="F10" s="182">
        <f>$M10*('P&amp;L pronostico yDCF'!F$4+'P&amp;L pronostico yDCF'!F$5)</f>
        <v>193524.71131657535</v>
      </c>
      <c r="G10" s="182">
        <f>$M10*('P&amp;L pronostico yDCF'!G$4+'P&amp;L pronostico yDCF'!G$5)</f>
        <v>235346.30402881259</v>
      </c>
      <c r="H10" s="182">
        <f>$M10*('P&amp;L pronostico yDCF'!H$4+'P&amp;L pronostico yDCF'!H$5)</f>
        <v>267711.13988191233</v>
      </c>
      <c r="I10" s="182">
        <f>$M10*('P&amp;L pronostico yDCF'!I$4+'P&amp;L pronostico yDCF'!I$5)</f>
        <v>283282.21713641705</v>
      </c>
      <c r="K10" s="159">
        <f>C10/('P&amp;L pronostico yDCF'!C4+'P&amp;L pronostico yDCF'!C5)</f>
        <v>0.32938666160885749</v>
      </c>
      <c r="L10" s="159">
        <f>D10/('P&amp;L pronostico yDCF'!D4+'P&amp;L pronostico yDCF'!D5)</f>
        <v>0.38987338440940683</v>
      </c>
      <c r="M10" s="159">
        <f t="shared" si="0"/>
        <v>0.35963002300913216</v>
      </c>
      <c r="N10" s="159" t="s">
        <v>315</v>
      </c>
      <c r="O10" s="247" t="s">
        <v>334</v>
      </c>
      <c r="P10" s="239"/>
      <c r="Q10" s="239"/>
      <c r="R10" s="239"/>
    </row>
    <row r="11" spans="2:18" ht="14.25" customHeight="1" x14ac:dyDescent="0.3">
      <c r="B11" s="1" t="s">
        <v>8</v>
      </c>
      <c r="C11" s="6">
        <v>20181</v>
      </c>
      <c r="D11" s="6">
        <v>29127</v>
      </c>
      <c r="E11" s="182">
        <f>$M11*('P&amp;L pronostico yDCF'!E$4+'P&amp;L pronostico yDCF'!E$5)</f>
        <v>26679.069634119216</v>
      </c>
      <c r="F11" s="182">
        <f>$M11*('P&amp;L pronostico yDCF'!F$4+'P&amp;L pronostico yDCF'!F$5)</f>
        <v>34505.52012127226</v>
      </c>
      <c r="G11" s="182">
        <f>$M11*('P&amp;L pronostico yDCF'!G$4+'P&amp;L pronostico yDCF'!G$5)</f>
        <v>41962.323952774248</v>
      </c>
      <c r="H11" s="182">
        <f>$M11*('P&amp;L pronostico yDCF'!H$4+'P&amp;L pronostico yDCF'!H$5)</f>
        <v>47732.984904304918</v>
      </c>
      <c r="I11" s="182">
        <f>$M11*('P&amp;L pronostico yDCF'!I$4+'P&amp;L pronostico yDCF'!I$5)</f>
        <v>50509.313135774435</v>
      </c>
      <c r="K11" s="159">
        <f>C11/('P&amp;L pronostico yDCF'!C4+'P&amp;L pronostico yDCF'!C4)</f>
        <v>6.5184108527131787E-2</v>
      </c>
      <c r="L11" s="159">
        <f>D11/('P&amp;L pronostico yDCF'!D4+'P&amp;L pronostico yDCF'!D4)</f>
        <v>6.3060195889948295E-2</v>
      </c>
      <c r="M11" s="159">
        <f t="shared" si="0"/>
        <v>6.4122152208540034E-2</v>
      </c>
      <c r="N11" s="159" t="s">
        <v>315</v>
      </c>
      <c r="O11" s="239"/>
      <c r="P11" s="239"/>
      <c r="Q11" s="239"/>
      <c r="R11" s="239"/>
    </row>
    <row r="12" spans="2:18" ht="14.25" customHeight="1" x14ac:dyDescent="0.3">
      <c r="B12" s="1" t="s">
        <v>9</v>
      </c>
      <c r="C12" s="6">
        <v>9024</v>
      </c>
      <c r="D12" s="6">
        <v>28057</v>
      </c>
      <c r="E12" s="182">
        <f t="shared" ref="E12:I12" si="3">(1+$M12)*D12</f>
        <v>32164.808668044578</v>
      </c>
      <c r="F12" s="182">
        <f t="shared" si="3"/>
        <v>36874.039157854211</v>
      </c>
      <c r="G12" s="182">
        <f t="shared" si="3"/>
        <v>42272.745280335184</v>
      </c>
      <c r="H12" s="182">
        <f t="shared" si="3"/>
        <v>48461.872752431322</v>
      </c>
      <c r="I12" s="182">
        <f t="shared" si="3"/>
        <v>55557.146693412564</v>
      </c>
      <c r="K12" s="159">
        <f t="shared" ref="K12:L12" si="4">SUM(C12:C13)/(C8+C10)</f>
        <v>0.11353057552805292</v>
      </c>
      <c r="L12" s="159">
        <f t="shared" si="4"/>
        <v>0.17928823389879792</v>
      </c>
      <c r="M12" s="159">
        <f t="shared" si="0"/>
        <v>0.14640940471342542</v>
      </c>
      <c r="N12" s="159" t="s">
        <v>335</v>
      </c>
    </row>
    <row r="13" spans="2:18" ht="14.25" customHeight="1" x14ac:dyDescent="0.3">
      <c r="B13" s="1" t="s">
        <v>10</v>
      </c>
      <c r="C13" s="6">
        <v>8708</v>
      </c>
      <c r="D13" s="6">
        <v>18805</v>
      </c>
      <c r="E13" s="182">
        <f t="shared" ref="E13:I13" si="5">(1+$M13)*D13</f>
        <v>21558.228855635967</v>
      </c>
      <c r="F13" s="182">
        <f t="shared" si="5"/>
        <v>24714.556309065421</v>
      </c>
      <c r="G13" s="182">
        <f t="shared" si="5"/>
        <v>28332.999786032124</v>
      </c>
      <c r="H13" s="182">
        <f t="shared" si="5"/>
        <v>32481.217418450698</v>
      </c>
      <c r="I13" s="182">
        <f t="shared" si="5"/>
        <v>37236.773125053413</v>
      </c>
      <c r="J13" s="192"/>
      <c r="K13" s="162">
        <v>0.11353057552805292</v>
      </c>
      <c r="L13" s="159">
        <v>0.17928823389879792</v>
      </c>
      <c r="M13" s="159">
        <v>0.14640940471342542</v>
      </c>
      <c r="N13" s="159" t="s">
        <v>335</v>
      </c>
    </row>
    <row r="14" spans="2:18" ht="14.25" customHeight="1" x14ac:dyDescent="0.3">
      <c r="B14" s="7" t="s">
        <v>11</v>
      </c>
      <c r="C14" s="8">
        <f t="shared" ref="C14:I14" si="6">SUM(C8:C13)</f>
        <v>200561</v>
      </c>
      <c r="D14" s="8">
        <f t="shared" si="6"/>
        <v>346450</v>
      </c>
      <c r="E14" s="8">
        <f t="shared" si="6"/>
        <v>425996.99077455269</v>
      </c>
      <c r="F14" s="8">
        <f t="shared" si="6"/>
        <v>543071.14192332712</v>
      </c>
      <c r="G14" s="8">
        <f t="shared" si="6"/>
        <v>656138.91544031096</v>
      </c>
      <c r="H14" s="8">
        <f t="shared" si="6"/>
        <v>746998.81229638297</v>
      </c>
      <c r="I14" s="8">
        <f t="shared" si="6"/>
        <v>797589.92413616786</v>
      </c>
    </row>
    <row r="15" spans="2:18" ht="14.25" customHeight="1" x14ac:dyDescent="0.3">
      <c r="B15" s="1" t="s">
        <v>12</v>
      </c>
      <c r="C15" s="6">
        <v>0</v>
      </c>
      <c r="D15" s="6">
        <v>60194</v>
      </c>
      <c r="K15" s="159" t="s">
        <v>336</v>
      </c>
    </row>
    <row r="16" spans="2:18" ht="14.25" customHeight="1" x14ac:dyDescent="0.3">
      <c r="B16" s="1" t="s">
        <v>13</v>
      </c>
      <c r="C16" s="6">
        <v>14295</v>
      </c>
      <c r="D16" s="6">
        <v>11229</v>
      </c>
      <c r="E16" s="182">
        <f t="shared" ref="E16:I16" si="7">D16*(1+$K16)</f>
        <v>12026.690672922065</v>
      </c>
      <c r="F16" s="182">
        <f t="shared" si="7"/>
        <v>12881.048048993729</v>
      </c>
      <c r="G16" s="182">
        <f t="shared" si="7"/>
        <v>13796.097642558894</v>
      </c>
      <c r="H16" s="182">
        <f t="shared" si="7"/>
        <v>14776.150934231466</v>
      </c>
      <c r="I16" s="182">
        <f t="shared" si="7"/>
        <v>15825.82568549383</v>
      </c>
      <c r="K16" s="159">
        <v>7.1038442686086403E-2</v>
      </c>
      <c r="M16" s="247" t="s">
        <v>337</v>
      </c>
      <c r="N16" s="239"/>
      <c r="O16" s="239"/>
      <c r="P16" s="239"/>
    </row>
    <row r="17" spans="2:16" ht="14.25" customHeight="1" x14ac:dyDescent="0.3">
      <c r="B17" s="1" t="s">
        <v>14</v>
      </c>
      <c r="C17" s="6">
        <v>13479</v>
      </c>
      <c r="D17" s="6">
        <v>14723</v>
      </c>
      <c r="E17" s="182">
        <f t="shared" ref="E17:I17" si="8">D17*(1+$K17)</f>
        <v>15768.898991667251</v>
      </c>
      <c r="F17" s="182">
        <f t="shared" si="8"/>
        <v>16889.097018909491</v>
      </c>
      <c r="G17" s="182">
        <f t="shared" si="8"/>
        <v>18088.872169507045</v>
      </c>
      <c r="H17" s="182">
        <f t="shared" si="8"/>
        <v>19373.877478376515</v>
      </c>
      <c r="I17" s="182">
        <f t="shared" si="8"/>
        <v>20750.167563231425</v>
      </c>
      <c r="K17" s="159">
        <f>SUM(C16:C18)/SUM(D16:D18) -1</f>
        <v>7.1038442686086389E-2</v>
      </c>
      <c r="L17" s="159" t="s">
        <v>338</v>
      </c>
      <c r="M17" s="239"/>
      <c r="N17" s="239"/>
      <c r="O17" s="239"/>
      <c r="P17" s="239"/>
    </row>
    <row r="18" spans="2:16" ht="14.25" customHeight="1" x14ac:dyDescent="0.3">
      <c r="B18" s="1" t="s">
        <v>15</v>
      </c>
      <c r="C18" s="9">
        <v>2817</v>
      </c>
      <c r="D18" s="9">
        <v>2610</v>
      </c>
      <c r="E18" s="182">
        <f t="shared" ref="E18:I18" si="9">D18*(1+$K18)</f>
        <v>2795.4103354106855</v>
      </c>
      <c r="F18" s="182">
        <f t="shared" si="9"/>
        <v>2993.9919323068511</v>
      </c>
      <c r="G18" s="182">
        <f t="shared" si="9"/>
        <v>3206.6804565926363</v>
      </c>
      <c r="H18" s="182">
        <f t="shared" si="9"/>
        <v>3434.4780424208857</v>
      </c>
      <c r="I18" s="182">
        <f t="shared" si="9"/>
        <v>3678.458013994024</v>
      </c>
      <c r="K18" s="159">
        <v>7.1038442686086389E-2</v>
      </c>
      <c r="M18" s="239"/>
      <c r="N18" s="239"/>
      <c r="O18" s="239"/>
      <c r="P18" s="239"/>
    </row>
    <row r="19" spans="2:16" ht="14.25" customHeight="1" x14ac:dyDescent="0.3">
      <c r="B19" s="7" t="s">
        <v>15</v>
      </c>
      <c r="C19" s="10">
        <f t="shared" ref="C19:I19" si="10">SUM(C15:C18)</f>
        <v>30591</v>
      </c>
      <c r="D19" s="10">
        <f t="shared" si="10"/>
        <v>88756</v>
      </c>
      <c r="E19" s="10">
        <f t="shared" si="10"/>
        <v>30591</v>
      </c>
      <c r="F19" s="10">
        <f t="shared" si="10"/>
        <v>32764.13700021007</v>
      </c>
      <c r="G19" s="10">
        <f t="shared" si="10"/>
        <v>35091.650268658574</v>
      </c>
      <c r="H19" s="10">
        <f t="shared" si="10"/>
        <v>37584.506455028866</v>
      </c>
      <c r="I19" s="10">
        <f t="shared" si="10"/>
        <v>40254.451262719274</v>
      </c>
    </row>
    <row r="20" spans="2:16" ht="14.25" customHeight="1" x14ac:dyDescent="0.3">
      <c r="B20" s="7" t="s">
        <v>16</v>
      </c>
      <c r="C20" s="10">
        <f t="shared" ref="C20:I20" si="11">+C14+C19</f>
        <v>231152</v>
      </c>
      <c r="D20" s="10">
        <f t="shared" si="11"/>
        <v>435206</v>
      </c>
      <c r="E20" s="10">
        <f t="shared" si="11"/>
        <v>456587.99077455269</v>
      </c>
      <c r="F20" s="10">
        <f t="shared" si="11"/>
        <v>575835.27892353723</v>
      </c>
      <c r="G20" s="10">
        <f t="shared" si="11"/>
        <v>691230.56570896949</v>
      </c>
      <c r="H20" s="10">
        <f t="shared" si="11"/>
        <v>784583.31875141186</v>
      </c>
      <c r="I20" s="10">
        <f t="shared" si="11"/>
        <v>837844.37539888709</v>
      </c>
    </row>
    <row r="21" spans="2:16" ht="14.25" customHeight="1" x14ac:dyDescent="0.3">
      <c r="B21" s="4" t="s">
        <v>17</v>
      </c>
      <c r="C21" s="5"/>
      <c r="D21" s="5"/>
      <c r="E21" s="5"/>
      <c r="F21" s="5"/>
      <c r="G21" s="5"/>
      <c r="H21" s="5"/>
      <c r="I21" s="5"/>
    </row>
    <row r="22" spans="2:16" ht="14.25" customHeight="1" x14ac:dyDescent="0.3">
      <c r="B22" s="4" t="s">
        <v>18</v>
      </c>
      <c r="C22" s="5"/>
      <c r="D22" s="5"/>
      <c r="E22" s="5"/>
      <c r="F22" s="5"/>
      <c r="G22" s="5"/>
      <c r="H22" s="5"/>
      <c r="I22" s="5"/>
    </row>
    <row r="23" spans="2:16" ht="14.25" customHeight="1" x14ac:dyDescent="0.3">
      <c r="B23" s="1" t="s">
        <v>19</v>
      </c>
      <c r="C23" s="6">
        <v>3180</v>
      </c>
      <c r="D23" s="6">
        <v>6467</v>
      </c>
    </row>
    <row r="24" spans="2:16" ht="14.25" customHeight="1" x14ac:dyDescent="0.3">
      <c r="B24" s="1" t="s">
        <v>20</v>
      </c>
      <c r="C24" s="6">
        <v>5570</v>
      </c>
      <c r="D24" s="6">
        <v>7517</v>
      </c>
    </row>
    <row r="25" spans="2:16" ht="14.25" customHeight="1" x14ac:dyDescent="0.3">
      <c r="B25" s="1" t="s">
        <v>21</v>
      </c>
      <c r="C25" s="6">
        <v>2325</v>
      </c>
      <c r="D25" s="6">
        <v>9452</v>
      </c>
    </row>
    <row r="26" spans="2:16" ht="14.25" customHeight="1" x14ac:dyDescent="0.3">
      <c r="B26" s="1" t="s">
        <v>22</v>
      </c>
      <c r="C26" s="6">
        <v>69413</v>
      </c>
      <c r="D26" s="6">
        <v>118174</v>
      </c>
    </row>
    <row r="27" spans="2:16" ht="14.25" customHeight="1" x14ac:dyDescent="0.3">
      <c r="B27" s="1" t="s">
        <v>23</v>
      </c>
      <c r="C27" s="6">
        <v>3397</v>
      </c>
      <c r="D27" s="6">
        <v>3556</v>
      </c>
    </row>
    <row r="28" spans="2:16" ht="14.25" customHeight="1" x14ac:dyDescent="0.3">
      <c r="B28" s="1" t="s">
        <v>24</v>
      </c>
      <c r="C28" s="6">
        <v>46953</v>
      </c>
      <c r="D28" s="6">
        <v>0</v>
      </c>
    </row>
    <row r="29" spans="2:16" ht="14.25" customHeight="1" x14ac:dyDescent="0.3">
      <c r="B29" s="1" t="s">
        <v>25</v>
      </c>
      <c r="C29" s="6">
        <v>9024</v>
      </c>
      <c r="D29" s="6">
        <v>28057</v>
      </c>
    </row>
    <row r="30" spans="2:16" ht="14.25" customHeight="1" x14ac:dyDescent="0.3">
      <c r="B30" s="7" t="s">
        <v>26</v>
      </c>
      <c r="C30" s="8">
        <f t="shared" ref="C30:D30" si="12">SUM(C23:C29)</f>
        <v>139862</v>
      </c>
      <c r="D30" s="8">
        <f t="shared" si="12"/>
        <v>173223</v>
      </c>
      <c r="E30" s="193">
        <f t="shared" ref="E30:I30" si="13">D30*(1+$K30)</f>
        <v>214541.53185997624</v>
      </c>
      <c r="F30" s="193">
        <f t="shared" si="13"/>
        <v>265715.68956100056</v>
      </c>
      <c r="G30" s="193">
        <f t="shared" si="13"/>
        <v>329096.31560270261</v>
      </c>
      <c r="H30" s="193">
        <f t="shared" si="13"/>
        <v>407594.99419175292</v>
      </c>
      <c r="I30" s="193">
        <f t="shared" si="13"/>
        <v>504817.80382718687</v>
      </c>
      <c r="K30" s="159">
        <f>D30/C30 -1</f>
        <v>0.23852797757789812</v>
      </c>
    </row>
    <row r="31" spans="2:16" ht="14.25" customHeight="1" x14ac:dyDescent="0.3">
      <c r="B31" s="1" t="s">
        <v>27</v>
      </c>
      <c r="C31" s="9">
        <v>13351</v>
      </c>
      <c r="D31" s="9">
        <v>9796</v>
      </c>
      <c r="E31" s="182">
        <f t="shared" ref="E31:I31" si="14">$M31*E16</f>
        <v>10862.1878863367</v>
      </c>
      <c r="F31" s="182">
        <f t="shared" si="14"/>
        <v>11633.820797945731</v>
      </c>
      <c r="G31" s="182">
        <f t="shared" si="14"/>
        <v>12460.269309920799</v>
      </c>
      <c r="H31" s="182">
        <f t="shared" si="14"/>
        <v>13345.427437146807</v>
      </c>
      <c r="I31" s="182">
        <f t="shared" si="14"/>
        <v>14293.465819261886</v>
      </c>
      <c r="K31" s="159">
        <f t="shared" ref="K31:L31" si="15">C31/C16</f>
        <v>0.93396292409933546</v>
      </c>
      <c r="L31" s="159">
        <f t="shared" si="15"/>
        <v>0.87238400569952801</v>
      </c>
      <c r="M31" s="159">
        <f>AVERAGE(K31:L31)</f>
        <v>0.90317346489943173</v>
      </c>
      <c r="N31" s="250" t="s">
        <v>339</v>
      </c>
      <c r="O31" s="239"/>
      <c r="P31" s="239"/>
    </row>
    <row r="32" spans="2:16" ht="14.25" customHeight="1" x14ac:dyDescent="0.3">
      <c r="B32" s="1" t="s">
        <v>28</v>
      </c>
      <c r="C32" s="9">
        <v>23921</v>
      </c>
      <c r="D32" s="9">
        <v>0</v>
      </c>
      <c r="K32" s="159" t="s">
        <v>340</v>
      </c>
    </row>
    <row r="33" spans="2:16" ht="14.25" customHeight="1" x14ac:dyDescent="0.3">
      <c r="B33" s="1" t="s">
        <v>29</v>
      </c>
      <c r="C33" s="9">
        <v>7675</v>
      </c>
      <c r="D33" s="9">
        <v>9651</v>
      </c>
      <c r="E33" s="182">
        <f t="shared" ref="E33:I33" si="16">D33*(1+($K33-$M33*E$4))</f>
        <v>11751.059258147336</v>
      </c>
      <c r="F33" s="182">
        <f t="shared" si="16"/>
        <v>13839.704989565924</v>
      </c>
      <c r="G33" s="182">
        <f t="shared" si="16"/>
        <v>15747.950482373051</v>
      </c>
      <c r="H33" s="182">
        <f t="shared" si="16"/>
        <v>17291.609266864383</v>
      </c>
      <c r="I33" s="182">
        <f t="shared" si="16"/>
        <v>18297.35368178795</v>
      </c>
      <c r="K33" s="159">
        <f>D33/C33 -1</f>
        <v>0.25745928338762214</v>
      </c>
      <c r="L33" s="162">
        <v>5.8163725504187601E-2</v>
      </c>
      <c r="M33" s="159">
        <f>(K33-L33)/5</f>
        <v>3.9859111576686909E-2</v>
      </c>
      <c r="N33" s="250" t="s">
        <v>341</v>
      </c>
      <c r="O33" s="239"/>
      <c r="P33" s="239"/>
    </row>
    <row r="34" spans="2:16" ht="14.25" customHeight="1" x14ac:dyDescent="0.3">
      <c r="B34" s="11" t="s">
        <v>30</v>
      </c>
      <c r="C34" s="12">
        <f t="shared" ref="C34:I34" si="17">SUM(C31:C33)</f>
        <v>44947</v>
      </c>
      <c r="D34" s="12">
        <f t="shared" si="17"/>
        <v>19447</v>
      </c>
      <c r="E34" s="12">
        <f t="shared" si="17"/>
        <v>22613.247144484034</v>
      </c>
      <c r="F34" s="12">
        <f t="shared" si="17"/>
        <v>25473.525787511655</v>
      </c>
      <c r="G34" s="12">
        <f t="shared" si="17"/>
        <v>28208.21979229385</v>
      </c>
      <c r="H34" s="12">
        <f t="shared" si="17"/>
        <v>30637.036704011189</v>
      </c>
      <c r="I34" s="12">
        <f t="shared" si="17"/>
        <v>32590.819501049838</v>
      </c>
    </row>
    <row r="35" spans="2:16" ht="14.25" customHeight="1" x14ac:dyDescent="0.3">
      <c r="B35" s="7" t="s">
        <v>31</v>
      </c>
      <c r="C35" s="10">
        <f t="shared" ref="C35:I35" si="18">+C30+C34</f>
        <v>184809</v>
      </c>
      <c r="D35" s="10">
        <f t="shared" si="18"/>
        <v>192670</v>
      </c>
      <c r="E35" s="10">
        <f t="shared" si="18"/>
        <v>237154.77900446026</v>
      </c>
      <c r="F35" s="10">
        <f t="shared" si="18"/>
        <v>291189.21534851223</v>
      </c>
      <c r="G35" s="10">
        <f t="shared" si="18"/>
        <v>357304.53539499646</v>
      </c>
      <c r="H35" s="10">
        <f t="shared" si="18"/>
        <v>438232.03089576412</v>
      </c>
      <c r="I35" s="10">
        <f t="shared" si="18"/>
        <v>537408.62332823675</v>
      </c>
    </row>
    <row r="36" spans="2:16" ht="14.25" customHeight="1" x14ac:dyDescent="0.3">
      <c r="B36" s="1"/>
      <c r="C36" s="1"/>
      <c r="D36" s="1"/>
    </row>
    <row r="37" spans="2:16" ht="14.25" customHeight="1" x14ac:dyDescent="0.3">
      <c r="B37" s="2" t="s">
        <v>32</v>
      </c>
      <c r="C37" s="1"/>
      <c r="D37" s="1"/>
    </row>
    <row r="38" spans="2:16" ht="14.25" customHeight="1" x14ac:dyDescent="0.3">
      <c r="B38" s="1" t="s">
        <v>33</v>
      </c>
      <c r="C38" s="1"/>
      <c r="D38" s="1"/>
    </row>
    <row r="39" spans="2:16" ht="14.25" customHeight="1" x14ac:dyDescent="0.3">
      <c r="B39" s="1" t="s">
        <v>34</v>
      </c>
      <c r="C39" s="1"/>
      <c r="D39" s="1"/>
    </row>
    <row r="40" spans="2:16" ht="14.25" customHeight="1" x14ac:dyDescent="0.3">
      <c r="B40" s="1" t="s">
        <v>35</v>
      </c>
      <c r="C40" s="6">
        <v>227198</v>
      </c>
      <c r="D40" s="6">
        <v>227198</v>
      </c>
      <c r="E40" s="6">
        <v>227198</v>
      </c>
      <c r="F40" s="6">
        <v>227198</v>
      </c>
      <c r="G40" s="6">
        <v>227198</v>
      </c>
      <c r="H40" s="6">
        <v>227198</v>
      </c>
      <c r="I40" s="6">
        <v>227198</v>
      </c>
      <c r="K40" s="159" t="s">
        <v>317</v>
      </c>
    </row>
    <row r="41" spans="2:16" ht="14.25" customHeight="1" x14ac:dyDescent="0.3">
      <c r="B41" s="11" t="s">
        <v>36</v>
      </c>
      <c r="C41" s="13"/>
      <c r="D41" s="13"/>
      <c r="E41" s="13"/>
      <c r="F41" s="13"/>
      <c r="G41" s="13"/>
      <c r="H41" s="13"/>
      <c r="I41" s="13"/>
    </row>
    <row r="42" spans="2:16" ht="14.25" customHeight="1" x14ac:dyDescent="0.3">
      <c r="B42" s="1" t="s">
        <v>37</v>
      </c>
      <c r="C42" s="6"/>
      <c r="D42" s="6"/>
    </row>
    <row r="43" spans="2:16" ht="14.25" customHeight="1" x14ac:dyDescent="0.3">
      <c r="B43" s="1" t="s">
        <v>38</v>
      </c>
      <c r="C43" s="6">
        <v>4</v>
      </c>
      <c r="D43" s="6">
        <v>4</v>
      </c>
    </row>
    <row r="44" spans="2:16" ht="14.25" customHeight="1" x14ac:dyDescent="0.3">
      <c r="B44" s="1" t="s">
        <v>39</v>
      </c>
      <c r="C44" s="6">
        <v>0</v>
      </c>
      <c r="D44" s="6">
        <v>-12593</v>
      </c>
    </row>
    <row r="45" spans="2:16" ht="14.25" customHeight="1" x14ac:dyDescent="0.3">
      <c r="B45" s="1" t="s">
        <v>40</v>
      </c>
      <c r="C45" s="6">
        <v>113523</v>
      </c>
      <c r="D45" s="6">
        <v>127862</v>
      </c>
    </row>
    <row r="46" spans="2:16" ht="14.25" customHeight="1" x14ac:dyDescent="0.3">
      <c r="B46" s="1" t="s">
        <v>41</v>
      </c>
      <c r="C46" s="6">
        <v>-294382</v>
      </c>
      <c r="D46" s="6">
        <v>-99935</v>
      </c>
    </row>
    <row r="47" spans="2:16" ht="14.25" customHeight="1" x14ac:dyDescent="0.3">
      <c r="B47" s="7" t="s">
        <v>42</v>
      </c>
      <c r="C47" s="8">
        <f t="shared" ref="C47:D47" si="19">SUM(C43:C46)</f>
        <v>-180855</v>
      </c>
      <c r="D47" s="8">
        <f t="shared" si="19"/>
        <v>15338</v>
      </c>
      <c r="E47" s="194">
        <f t="shared" ref="E47:I47" si="20">E20-E35-E40</f>
        <v>-7764.7882299075718</v>
      </c>
      <c r="F47" s="194">
        <f t="shared" si="20"/>
        <v>57448.063575025008</v>
      </c>
      <c r="G47" s="194">
        <f t="shared" si="20"/>
        <v>106728.03031397302</v>
      </c>
      <c r="H47" s="194">
        <f t="shared" si="20"/>
        <v>119153.28785564774</v>
      </c>
      <c r="I47" s="194">
        <f t="shared" si="20"/>
        <v>73237.752070650342</v>
      </c>
      <c r="K47" s="250" t="s">
        <v>342</v>
      </c>
      <c r="L47" s="239"/>
      <c r="M47" s="239"/>
      <c r="N47" s="239"/>
      <c r="O47" s="239"/>
      <c r="P47" s="239"/>
    </row>
    <row r="48" spans="2:16" ht="14.25" customHeight="1" x14ac:dyDescent="0.3">
      <c r="B48" s="7" t="s">
        <v>43</v>
      </c>
      <c r="C48" s="8">
        <f t="shared" ref="C48:I48" si="21">+C35+C40+C47</f>
        <v>231152</v>
      </c>
      <c r="D48" s="8">
        <f t="shared" si="21"/>
        <v>435206</v>
      </c>
      <c r="E48" s="8">
        <f t="shared" si="21"/>
        <v>456587.99077455269</v>
      </c>
      <c r="F48" s="8">
        <f t="shared" si="21"/>
        <v>575835.27892353723</v>
      </c>
      <c r="G48" s="8">
        <f t="shared" si="21"/>
        <v>691230.56570896949</v>
      </c>
      <c r="H48" s="8">
        <f t="shared" si="21"/>
        <v>784583.31875141186</v>
      </c>
      <c r="I48" s="8">
        <f t="shared" si="21"/>
        <v>837844.37539888709</v>
      </c>
    </row>
    <row r="49" spans="2:9" ht="14.25" customHeight="1" x14ac:dyDescent="0.3"/>
    <row r="50" spans="2:9" ht="14.25" customHeight="1" x14ac:dyDescent="0.3"/>
    <row r="51" spans="2:9" ht="14.25" customHeight="1" x14ac:dyDescent="0.3">
      <c r="B51" s="159" t="s">
        <v>155</v>
      </c>
      <c r="C51" s="182">
        <f t="shared" ref="C51:D51" si="22">C8+C10+C11+C13-C23-C25-C24-C26</f>
        <v>104588</v>
      </c>
      <c r="D51" s="182">
        <f t="shared" si="22"/>
        <v>167700</v>
      </c>
      <c r="E51" s="195">
        <f>$E52*('P&amp;L pronostico yDCF'!E4+'P&amp;L pronostico yDCF'!E5)</f>
        <v>217932.55297537913</v>
      </c>
      <c r="F51" s="195">
        <f>$E52*('P&amp;L pronostico yDCF'!F4+'P&amp;L pronostico yDCF'!F5)</f>
        <v>281864.25519708492</v>
      </c>
      <c r="G51" s="195">
        <f>$E52*('P&amp;L pronostico yDCF'!G4+'P&amp;L pronostico yDCF'!G5)</f>
        <v>342776.43535637885</v>
      </c>
      <c r="H51" s="195">
        <f>$E52*('P&amp;L pronostico yDCF'!H4+'P&amp;L pronostico yDCF'!H5)</f>
        <v>389915.06840354012</v>
      </c>
      <c r="I51" s="195">
        <f>$E52*('P&amp;L pronostico yDCF'!I4+'P&amp;L pronostico yDCF'!I5)</f>
        <v>412593.98141211015</v>
      </c>
    </row>
    <row r="52" spans="2:9" ht="14.25" customHeight="1" x14ac:dyDescent="0.3">
      <c r="B52" s="159" t="s">
        <v>343</v>
      </c>
      <c r="C52" s="162">
        <f>C51/('P&amp;L pronostico yDCF'!C4+'P&amp;L pronostico yDCF'!C5)</f>
        <v>0.49592451219801326</v>
      </c>
      <c r="D52" s="162">
        <f>D51/('P&amp;L pronostico yDCF'!D4+'P&amp;L pronostico yDCF'!D5)</f>
        <v>0.55166106891322442</v>
      </c>
      <c r="E52" s="162">
        <f t="shared" ref="E52:E53" si="23">AVERAGE(C52:D52)</f>
        <v>0.52379279055561878</v>
      </c>
    </row>
    <row r="53" spans="2:9" ht="14.25" customHeight="1" x14ac:dyDescent="0.3">
      <c r="B53" s="159" t="s">
        <v>344</v>
      </c>
      <c r="C53" s="162">
        <f t="shared" ref="C53:D53" si="24">C8/C14</f>
        <v>0.43239214004716769</v>
      </c>
      <c r="D53" s="162">
        <f t="shared" si="24"/>
        <v>0.41235387501804011</v>
      </c>
      <c r="E53" s="162">
        <f t="shared" si="23"/>
        <v>0.42237300753260387</v>
      </c>
    </row>
    <row r="54" spans="2:9" ht="14.25" customHeight="1" x14ac:dyDescent="0.3"/>
    <row r="55" spans="2:9" ht="14.25" customHeight="1" x14ac:dyDescent="0.3">
      <c r="B55" s="159" t="s">
        <v>322</v>
      </c>
      <c r="C55" s="159">
        <v>6037</v>
      </c>
      <c r="D55" s="159">
        <v>6236</v>
      </c>
    </row>
    <row r="56" spans="2:9" ht="14.25" customHeight="1" x14ac:dyDescent="0.3">
      <c r="B56" s="159" t="s">
        <v>345</v>
      </c>
      <c r="C56" s="164">
        <f t="shared" ref="C56:D56" si="25">C55/(C17+C55)</f>
        <v>0.30933592949374872</v>
      </c>
      <c r="D56" s="164">
        <f t="shared" si="25"/>
        <v>0.29753327925950668</v>
      </c>
      <c r="E56" s="164">
        <f>AVERAGE(C56:D56)</f>
        <v>0.30343460437662773</v>
      </c>
      <c r="F56" s="159">
        <f>E56/(1-E56)</f>
        <v>0.43561538698757374</v>
      </c>
    </row>
    <row r="57" spans="2:9" ht="14.25" customHeight="1" x14ac:dyDescent="0.3"/>
    <row r="58" spans="2:9" ht="14.25" customHeight="1" x14ac:dyDescent="0.3"/>
    <row r="59" spans="2:9" ht="14.25" customHeight="1" x14ac:dyDescent="0.3"/>
    <row r="60" spans="2:9" ht="14.25" customHeight="1" x14ac:dyDescent="0.3"/>
    <row r="61" spans="2:9" ht="14.25" customHeight="1" x14ac:dyDescent="0.3"/>
    <row r="62" spans="2:9" ht="14.25" customHeight="1" x14ac:dyDescent="0.3"/>
    <row r="63" spans="2:9" ht="14.25" customHeight="1" x14ac:dyDescent="0.3"/>
    <row r="64" spans="2:9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5">
    <mergeCell ref="O10:R11"/>
    <mergeCell ref="M16:P18"/>
    <mergeCell ref="N31:P31"/>
    <mergeCell ref="N33:P33"/>
    <mergeCell ref="K47:P47"/>
  </mergeCells>
  <conditionalFormatting sqref="C47:D47">
    <cfRule type="cellIs" dxfId="32" priority="1" operator="equal">
      <formula>0</formula>
    </cfRule>
    <cfRule type="cellIs" dxfId="31" priority="2" operator="lessThan">
      <formula>0</formula>
    </cfRule>
    <cfRule type="cellIs" dxfId="30" priority="3" operator="greaterThan">
      <formula>0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A1000"/>
  <sheetViews>
    <sheetView showGridLines="0" topLeftCell="A36" workbookViewId="0">
      <selection activeCell="L49" sqref="L49"/>
    </sheetView>
  </sheetViews>
  <sheetFormatPr baseColWidth="10" defaultColWidth="12.6640625" defaultRowHeight="15" customHeight="1" x14ac:dyDescent="0.3"/>
  <cols>
    <col min="1" max="1" width="3.21875" customWidth="1"/>
    <col min="2" max="2" width="33.44140625" customWidth="1"/>
    <col min="3" max="3" width="14" customWidth="1"/>
    <col min="4" max="9" width="12.21875" customWidth="1"/>
    <col min="10" max="10" width="3" customWidth="1"/>
    <col min="11" max="11" width="10.6640625" customWidth="1"/>
    <col min="12" max="12" width="15.44140625" customWidth="1"/>
    <col min="13" max="13" width="10.6640625" customWidth="1"/>
    <col min="14" max="14" width="7.6640625" customWidth="1"/>
    <col min="15" max="15" width="34.109375" customWidth="1"/>
    <col min="16" max="16" width="14" customWidth="1"/>
    <col min="17" max="21" width="12.21875" customWidth="1"/>
    <col min="22" max="22" width="12.44140625" customWidth="1"/>
    <col min="23" max="24" width="10.6640625" customWidth="1"/>
    <col min="25" max="25" width="13.77734375" customWidth="1"/>
    <col min="26" max="27" width="10.6640625" customWidth="1"/>
  </cols>
  <sheetData>
    <row r="1" spans="2:27" ht="14.25" customHeight="1" x14ac:dyDescent="0.3">
      <c r="B1" s="196" t="s">
        <v>346</v>
      </c>
      <c r="N1" s="197"/>
      <c r="O1" s="198" t="s">
        <v>347</v>
      </c>
    </row>
    <row r="2" spans="2:27" ht="14.25" customHeight="1" x14ac:dyDescent="0.3">
      <c r="B2" s="1"/>
      <c r="C2" s="1"/>
      <c r="D2" s="1">
        <v>0</v>
      </c>
      <c r="E2" s="154">
        <v>1</v>
      </c>
      <c r="F2" s="1">
        <v>2</v>
      </c>
      <c r="G2" s="1">
        <v>3</v>
      </c>
      <c r="H2" s="1">
        <v>4</v>
      </c>
      <c r="I2" s="1">
        <v>5</v>
      </c>
      <c r="N2" s="199"/>
      <c r="O2" s="1"/>
      <c r="P2" s="1"/>
      <c r="Q2" s="1">
        <v>0</v>
      </c>
      <c r="R2" s="154">
        <v>1</v>
      </c>
      <c r="S2" s="1">
        <v>2</v>
      </c>
      <c r="T2" s="1">
        <v>3</v>
      </c>
      <c r="U2" s="1">
        <v>4</v>
      </c>
      <c r="V2" s="1">
        <v>5</v>
      </c>
    </row>
    <row r="3" spans="2:27" ht="14.25" customHeight="1" x14ac:dyDescent="0.3">
      <c r="B3" s="3" t="s">
        <v>2</v>
      </c>
      <c r="C3" s="4">
        <v>2024</v>
      </c>
      <c r="D3" s="4">
        <v>2025</v>
      </c>
      <c r="E3" s="155">
        <v>2026</v>
      </c>
      <c r="F3" s="4">
        <v>2027</v>
      </c>
      <c r="G3" s="4">
        <v>2028</v>
      </c>
      <c r="H3" s="4">
        <v>2029</v>
      </c>
      <c r="I3" s="4">
        <v>2030</v>
      </c>
      <c r="N3" s="199"/>
      <c r="O3" s="3" t="s">
        <v>2</v>
      </c>
      <c r="P3" s="4">
        <v>2024</v>
      </c>
      <c r="Q3" s="4">
        <v>2025</v>
      </c>
      <c r="R3" s="155">
        <v>2026</v>
      </c>
      <c r="S3" s="4">
        <v>2027</v>
      </c>
      <c r="T3" s="4">
        <v>2028</v>
      </c>
      <c r="U3" s="4">
        <v>2029</v>
      </c>
      <c r="V3" s="4">
        <v>2030</v>
      </c>
    </row>
    <row r="4" spans="2:27" ht="14.25" customHeight="1" x14ac:dyDescent="0.3">
      <c r="B4" s="11" t="s">
        <v>45</v>
      </c>
      <c r="C4" s="11"/>
      <c r="D4" s="11"/>
      <c r="E4" s="157"/>
      <c r="F4" s="158"/>
      <c r="G4" s="158"/>
      <c r="H4" s="158"/>
      <c r="I4" s="158"/>
      <c r="K4" s="159" t="s">
        <v>310</v>
      </c>
      <c r="L4" s="159" t="s">
        <v>348</v>
      </c>
      <c r="M4" s="159" t="s">
        <v>312</v>
      </c>
      <c r="N4" s="199"/>
      <c r="O4" s="11" t="s">
        <v>45</v>
      </c>
      <c r="P4" s="11"/>
      <c r="Q4" s="11"/>
      <c r="R4" s="200"/>
      <c r="S4" s="201"/>
      <c r="T4" s="201"/>
      <c r="U4" s="201"/>
      <c r="V4" s="201"/>
      <c r="X4" s="159" t="s">
        <v>310</v>
      </c>
      <c r="Y4" s="159" t="s">
        <v>349</v>
      </c>
      <c r="Z4" s="159" t="s">
        <v>312</v>
      </c>
    </row>
    <row r="5" spans="2:27" ht="14.25" customHeight="1" x14ac:dyDescent="0.3">
      <c r="B5" s="1" t="s">
        <v>46</v>
      </c>
      <c r="C5" s="6">
        <v>154800</v>
      </c>
      <c r="D5" s="6">
        <v>230946</v>
      </c>
      <c r="E5" s="160">
        <f t="shared" ref="E5:I5" si="0">D5*(1+($K5-$M5*E$2))</f>
        <v>323329.10313508409</v>
      </c>
      <c r="F5" s="6">
        <f t="shared" si="0"/>
        <v>422960.21942351002</v>
      </c>
      <c r="G5" s="6">
        <f t="shared" si="0"/>
        <v>514430.71492908342</v>
      </c>
      <c r="H5" s="6">
        <f t="shared" si="0"/>
        <v>578417.55395667383</v>
      </c>
      <c r="I5" s="6">
        <f t="shared" si="0"/>
        <v>597218.97261070309</v>
      </c>
      <c r="K5" s="161">
        <f t="shared" ref="K5:K7" si="1">D5/C5 -1</f>
        <v>0.49189922480620152</v>
      </c>
      <c r="L5" s="162">
        <v>3.2504924038729177E-2</v>
      </c>
      <c r="M5" s="162">
        <f t="shared" ref="M5:M7" si="2">(K5-L5)/5</f>
        <v>9.1878860153494474E-2</v>
      </c>
      <c r="N5" s="199"/>
      <c r="O5" s="1" t="s">
        <v>46</v>
      </c>
      <c r="P5" s="6">
        <v>154800</v>
      </c>
      <c r="Q5" s="6">
        <v>230946</v>
      </c>
      <c r="R5" s="160">
        <f t="shared" ref="R5:V5" si="3">Q5*(1+($X5-$Z5*R$2))</f>
        <v>324803.41131325124</v>
      </c>
      <c r="S5" s="6">
        <f t="shared" si="3"/>
        <v>429035.76940278662</v>
      </c>
      <c r="T5" s="6">
        <f t="shared" si="3"/>
        <v>530036.78775697923</v>
      </c>
      <c r="U5" s="6">
        <f t="shared" si="3"/>
        <v>609499.31960959232</v>
      </c>
      <c r="V5" s="6">
        <f t="shared" si="3"/>
        <v>648765.59286322759</v>
      </c>
      <c r="X5" s="161">
        <f t="shared" ref="X5:X7" si="4">Q5/P5 -1</f>
        <v>0.49189922480620152</v>
      </c>
      <c r="Y5" s="162">
        <v>6.4423818026223295E-2</v>
      </c>
      <c r="Z5" s="162">
        <f t="shared" ref="Z5:Z7" si="5">(X5-Y5)/5</f>
        <v>8.5495081355995636E-2</v>
      </c>
    </row>
    <row r="6" spans="2:27" ht="14.25" customHeight="1" x14ac:dyDescent="0.3">
      <c r="B6" s="1" t="s">
        <v>47</v>
      </c>
      <c r="C6" s="6">
        <v>56095</v>
      </c>
      <c r="D6" s="6">
        <v>73045</v>
      </c>
      <c r="E6" s="160">
        <f t="shared" ref="E6:I6" si="6">D6*(1+($K6-$M6*E$2))</f>
        <v>91177.234967414784</v>
      </c>
      <c r="F6" s="6">
        <f t="shared" si="6"/>
        <v>108893.11310860117</v>
      </c>
      <c r="G6" s="6">
        <f t="shared" si="6"/>
        <v>124178.36772240358</v>
      </c>
      <c r="H6" s="6">
        <f t="shared" si="6"/>
        <v>134911.98979904596</v>
      </c>
      <c r="I6" s="6">
        <f t="shared" si="6"/>
        <v>139297.29377937774</v>
      </c>
      <c r="K6" s="161">
        <f t="shared" si="1"/>
        <v>0.30216596844638555</v>
      </c>
      <c r="L6" s="162">
        <v>3.2504924038729177E-2</v>
      </c>
      <c r="M6" s="162">
        <f t="shared" si="2"/>
        <v>5.3932208881531274E-2</v>
      </c>
      <c r="N6" s="199"/>
      <c r="O6" s="1" t="s">
        <v>47</v>
      </c>
      <c r="P6" s="6">
        <v>56095</v>
      </c>
      <c r="Q6" s="6">
        <v>73045</v>
      </c>
      <c r="R6" s="160">
        <f t="shared" ref="R6:V6" si="7">Q6*(1+($X6-$Z6*R$2))</f>
        <v>91643.53808967807</v>
      </c>
      <c r="S6" s="6">
        <f t="shared" si="7"/>
        <v>110620.08380137803</v>
      </c>
      <c r="T6" s="6">
        <f t="shared" si="7"/>
        <v>128266.27459128284</v>
      </c>
      <c r="U6" s="6">
        <f t="shared" si="7"/>
        <v>142628.53771399616</v>
      </c>
      <c r="V6" s="6">
        <f t="shared" si="7"/>
        <v>151817.21267302899</v>
      </c>
      <c r="X6" s="161">
        <f t="shared" si="4"/>
        <v>0.30216596844638555</v>
      </c>
      <c r="Y6" s="162">
        <v>6.4423818026223323E-2</v>
      </c>
      <c r="Z6" s="162">
        <f t="shared" si="5"/>
        <v>4.7548430084032443E-2</v>
      </c>
    </row>
    <row r="7" spans="2:27" ht="14.25" customHeight="1" x14ac:dyDescent="0.3">
      <c r="B7" s="1" t="s">
        <v>48</v>
      </c>
      <c r="C7" s="6">
        <v>5819</v>
      </c>
      <c r="D7" s="6">
        <v>4868</v>
      </c>
      <c r="E7" s="160">
        <f t="shared" ref="E7:I7" si="8">D7*(1+($K7-$M7*E$2))</f>
        <v>4263.1844465617214</v>
      </c>
      <c r="F7" s="6">
        <f t="shared" si="8"/>
        <v>3900.5745358895674</v>
      </c>
      <c r="G7" s="6">
        <f t="shared" si="8"/>
        <v>3721.6586821820506</v>
      </c>
      <c r="H7" s="6">
        <f t="shared" si="8"/>
        <v>3696.7902265375274</v>
      </c>
      <c r="I7" s="6">
        <f t="shared" si="8"/>
        <v>3816.954112038246</v>
      </c>
      <c r="K7" s="161">
        <f t="shared" si="1"/>
        <v>-0.16343014263619182</v>
      </c>
      <c r="L7" s="162">
        <v>3.2504924038729177E-2</v>
      </c>
      <c r="M7" s="162">
        <f t="shared" si="2"/>
        <v>-3.91870133349842E-2</v>
      </c>
      <c r="N7" s="199"/>
      <c r="O7" s="1" t="s">
        <v>48</v>
      </c>
      <c r="P7" s="6">
        <v>5819</v>
      </c>
      <c r="Q7" s="6">
        <v>4868</v>
      </c>
      <c r="R7" s="160">
        <f t="shared" ref="R7:V7" si="9">Q7*(1+($X7-$Z7*R$2))</f>
        <v>4294.2606817479455</v>
      </c>
      <c r="S7" s="6">
        <f t="shared" si="9"/>
        <v>3983.8347677941497</v>
      </c>
      <c r="T7" s="6">
        <f t="shared" si="9"/>
        <v>3877.3956017344494</v>
      </c>
      <c r="U7" s="6">
        <f t="shared" si="9"/>
        <v>3950.4962414142237</v>
      </c>
      <c r="V7" s="6">
        <f t="shared" si="9"/>
        <v>4205.0022923843726</v>
      </c>
      <c r="X7" s="161">
        <f t="shared" si="4"/>
        <v>-0.16343014263619182</v>
      </c>
      <c r="Y7" s="162">
        <v>6.4423818026223323E-2</v>
      </c>
      <c r="Z7" s="162">
        <f t="shared" si="5"/>
        <v>-4.557079213248303E-2</v>
      </c>
    </row>
    <row r="8" spans="2:27" ht="14.25" customHeight="1" x14ac:dyDescent="0.3">
      <c r="B8" s="4" t="s">
        <v>49</v>
      </c>
      <c r="C8" s="8">
        <f>SUM(C5:C7)</f>
        <v>216714</v>
      </c>
      <c r="D8" s="8">
        <f t="shared" ref="D8:I8" si="10">+SUM(D5:D7)</f>
        <v>308859</v>
      </c>
      <c r="E8" s="163">
        <f t="shared" si="10"/>
        <v>418769.52254906064</v>
      </c>
      <c r="F8" s="8">
        <f t="shared" si="10"/>
        <v>535753.90706800076</v>
      </c>
      <c r="G8" s="8">
        <f t="shared" si="10"/>
        <v>642330.74133366905</v>
      </c>
      <c r="H8" s="8">
        <f t="shared" si="10"/>
        <v>717026.33398225729</v>
      </c>
      <c r="I8" s="8">
        <f t="shared" si="10"/>
        <v>740333.22050211905</v>
      </c>
      <c r="K8" s="161"/>
      <c r="M8" s="164"/>
      <c r="N8" s="199"/>
      <c r="O8" s="4" t="s">
        <v>49</v>
      </c>
      <c r="P8" s="8">
        <f>SUM(P5:P7)</f>
        <v>216714</v>
      </c>
      <c r="Q8" s="8">
        <f t="shared" ref="Q8:V8" si="11">+SUM(Q5:Q7)</f>
        <v>308859</v>
      </c>
      <c r="R8" s="202">
        <f t="shared" si="11"/>
        <v>420741.21008467721</v>
      </c>
      <c r="S8" s="29">
        <f t="shared" si="11"/>
        <v>543639.68797195877</v>
      </c>
      <c r="T8" s="29">
        <f t="shared" si="11"/>
        <v>662180.45794999646</v>
      </c>
      <c r="U8" s="29">
        <f t="shared" si="11"/>
        <v>756078.35356500268</v>
      </c>
      <c r="V8" s="29">
        <f t="shared" si="11"/>
        <v>804787.80782864103</v>
      </c>
      <c r="X8" s="161"/>
      <c r="Z8" s="164"/>
    </row>
    <row r="9" spans="2:27" ht="14.25" customHeight="1" x14ac:dyDescent="0.3">
      <c r="B9" s="11" t="s">
        <v>50</v>
      </c>
      <c r="C9" s="13"/>
      <c r="D9" s="13"/>
      <c r="E9" s="165"/>
      <c r="F9" s="166"/>
      <c r="G9" s="166"/>
      <c r="H9" s="166"/>
      <c r="I9" s="166"/>
      <c r="K9" s="159">
        <v>2024</v>
      </c>
      <c r="L9" s="159">
        <v>2025</v>
      </c>
      <c r="M9" s="159" t="s">
        <v>314</v>
      </c>
      <c r="N9" s="199"/>
      <c r="O9" s="11" t="s">
        <v>50</v>
      </c>
      <c r="P9" s="13"/>
      <c r="Q9" s="13"/>
      <c r="R9" s="165"/>
      <c r="S9" s="166"/>
      <c r="T9" s="166"/>
      <c r="U9" s="166"/>
      <c r="V9" s="166"/>
      <c r="X9" s="159">
        <v>2024</v>
      </c>
      <c r="Y9" s="159">
        <v>2025</v>
      </c>
      <c r="Z9" s="159" t="s">
        <v>314</v>
      </c>
    </row>
    <row r="10" spans="2:27" ht="14.25" customHeight="1" x14ac:dyDescent="0.3">
      <c r="B10" s="1" t="s">
        <v>51</v>
      </c>
      <c r="C10" s="6">
        <v>22898</v>
      </c>
      <c r="D10" s="6">
        <v>30964</v>
      </c>
      <c r="E10" s="167">
        <f t="shared" ref="E10:I10" si="12">$M10*E8</f>
        <v>44061.596659847892</v>
      </c>
      <c r="F10" s="168">
        <f t="shared" si="12"/>
        <v>56370.321360724898</v>
      </c>
      <c r="G10" s="168">
        <f t="shared" si="12"/>
        <v>67583.996740234361</v>
      </c>
      <c r="H10" s="168">
        <f t="shared" si="12"/>
        <v>75443.229321241524</v>
      </c>
      <c r="I10" s="168">
        <f t="shared" si="12"/>
        <v>77895.505759564912</v>
      </c>
      <c r="K10" s="161">
        <f t="shared" ref="K10:L10" si="13">C10/(C5+C6)</f>
        <v>0.10857535740534389</v>
      </c>
      <c r="L10" s="161">
        <f t="shared" si="13"/>
        <v>0.10185827869904043</v>
      </c>
      <c r="M10" s="203">
        <f t="shared" ref="M10:M13" si="14">AVERAGE(K10:L10)</f>
        <v>0.10521681805219216</v>
      </c>
      <c r="N10" s="199"/>
      <c r="O10" s="1" t="s">
        <v>51</v>
      </c>
      <c r="P10" s="6">
        <v>22898</v>
      </c>
      <c r="Q10" s="6">
        <v>30964</v>
      </c>
      <c r="R10" s="160">
        <f t="shared" ref="R10:V10" si="15">$Z10*R8</f>
        <v>44269.05134853864</v>
      </c>
      <c r="S10" s="6">
        <f t="shared" si="15"/>
        <v>57200.038135296105</v>
      </c>
      <c r="T10" s="6">
        <f t="shared" si="15"/>
        <v>69672.520761842054</v>
      </c>
      <c r="U10" s="6">
        <f t="shared" si="15"/>
        <v>79552.158560249896</v>
      </c>
      <c r="V10" s="6">
        <f t="shared" si="15"/>
        <v>84677.212346928703</v>
      </c>
      <c r="X10" s="161">
        <f t="shared" ref="X10:Y10" si="16">P10/(P5+P6)</f>
        <v>0.10857535740534389</v>
      </c>
      <c r="Y10" s="161">
        <f t="shared" si="16"/>
        <v>0.10185827869904043</v>
      </c>
      <c r="Z10" s="203">
        <f t="shared" ref="Z10:Z13" si="17">AVERAGE(X10:Y10)</f>
        <v>0.10521681805219216</v>
      </c>
    </row>
    <row r="11" spans="2:27" ht="14.25" customHeight="1" x14ac:dyDescent="0.3">
      <c r="B11" s="1" t="s">
        <v>52</v>
      </c>
      <c r="C11" s="6">
        <v>57558</v>
      </c>
      <c r="D11" s="6">
        <v>64515</v>
      </c>
      <c r="E11" s="160">
        <f>M11*E8</f>
        <v>101582.85406399654</v>
      </c>
      <c r="F11" s="6">
        <f t="shared" ref="F11:I11" si="18">$M11*F8</f>
        <v>129960.29564097218</v>
      </c>
      <c r="G11" s="6">
        <f t="shared" si="18"/>
        <v>155813.12976297725</v>
      </c>
      <c r="H11" s="6">
        <f t="shared" si="18"/>
        <v>173932.38409900962</v>
      </c>
      <c r="I11" s="6">
        <f t="shared" si="18"/>
        <v>179586.04303202301</v>
      </c>
      <c r="K11" s="161">
        <f t="shared" ref="K11:L11" si="19">C11/(C6+C5)</f>
        <v>0.27292254439412977</v>
      </c>
      <c r="L11" s="161">
        <f t="shared" si="19"/>
        <v>0.21222667776348642</v>
      </c>
      <c r="M11" s="203">
        <f t="shared" si="14"/>
        <v>0.24257461107880809</v>
      </c>
      <c r="N11" s="199"/>
      <c r="O11" s="1" t="s">
        <v>52</v>
      </c>
      <c r="P11" s="6">
        <v>57558</v>
      </c>
      <c r="Q11" s="6">
        <v>64515</v>
      </c>
      <c r="R11" s="160">
        <f t="shared" ref="R11:V11" si="20">$Z11*R8</f>
        <v>102061.13540111766</v>
      </c>
      <c r="S11" s="6">
        <f t="shared" si="20"/>
        <v>131873.18587680248</v>
      </c>
      <c r="T11" s="6">
        <f t="shared" si="20"/>
        <v>160628.16705120742</v>
      </c>
      <c r="U11" s="6">
        <f t="shared" si="20"/>
        <v>183405.41256113609</v>
      </c>
      <c r="V11" s="6">
        <f t="shared" si="20"/>
        <v>195221.08948499916</v>
      </c>
      <c r="X11" s="161">
        <f t="shared" ref="X11:Y11" si="21">P11/(P6+P5)</f>
        <v>0.27292254439412977</v>
      </c>
      <c r="Y11" s="161">
        <f t="shared" si="21"/>
        <v>0.21222667776348642</v>
      </c>
      <c r="Z11" s="203">
        <f t="shared" si="17"/>
        <v>0.24257461107880809</v>
      </c>
    </row>
    <row r="12" spans="2:27" ht="14.25" customHeight="1" x14ac:dyDescent="0.3">
      <c r="B12" s="1" t="s">
        <v>53</v>
      </c>
      <c r="C12" s="6">
        <v>23766</v>
      </c>
      <c r="D12" s="6">
        <v>29092</v>
      </c>
      <c r="E12" s="160">
        <f t="shared" ref="E12:I12" si="22">$M12*E8</f>
        <v>43633.973338377458</v>
      </c>
      <c r="F12" s="6">
        <f t="shared" si="22"/>
        <v>55823.240322361264</v>
      </c>
      <c r="G12" s="6">
        <f t="shared" si="22"/>
        <v>66928.085575974561</v>
      </c>
      <c r="H12" s="6">
        <f t="shared" si="22"/>
        <v>74711.043319134988</v>
      </c>
      <c r="I12" s="6">
        <f t="shared" si="22"/>
        <v>77139.520107077667</v>
      </c>
      <c r="K12" s="161">
        <f t="shared" ref="K12:L12" si="23">C12/(C5+C6)</f>
        <v>0.11269114962422058</v>
      </c>
      <c r="L12" s="161">
        <f t="shared" si="23"/>
        <v>9.5700201650706765E-2</v>
      </c>
      <c r="M12" s="203">
        <f t="shared" si="14"/>
        <v>0.10419567563746368</v>
      </c>
      <c r="N12" s="199"/>
      <c r="O12" s="1" t="s">
        <v>53</v>
      </c>
      <c r="P12" s="6">
        <v>23766</v>
      </c>
      <c r="Q12" s="6">
        <v>29092</v>
      </c>
      <c r="R12" s="160">
        <f t="shared" ref="R12:V12" si="24">$Z12*R8</f>
        <v>43839.41465329699</v>
      </c>
      <c r="S12" s="6">
        <f t="shared" si="24"/>
        <v>56644.904591578183</v>
      </c>
      <c r="T12" s="6">
        <f t="shared" si="24"/>
        <v>68996.340210024995</v>
      </c>
      <c r="U12" s="6">
        <f t="shared" si="24"/>
        <v>78780.094884566599</v>
      </c>
      <c r="V12" s="6">
        <f t="shared" si="24"/>
        <v>83855.409381498539</v>
      </c>
      <c r="X12" s="161">
        <f t="shared" ref="X12:Y12" si="25">P12/(P5+P6)</f>
        <v>0.11269114962422058</v>
      </c>
      <c r="Y12" s="161">
        <f t="shared" si="25"/>
        <v>9.5700201650706765E-2</v>
      </c>
      <c r="Z12" s="203">
        <f t="shared" si="17"/>
        <v>0.10419567563746368</v>
      </c>
    </row>
    <row r="13" spans="2:27" ht="14.25" customHeight="1" x14ac:dyDescent="0.3">
      <c r="B13" s="1" t="s">
        <v>54</v>
      </c>
      <c r="C13" s="6">
        <v>21150</v>
      </c>
      <c r="D13" s="6">
        <v>52196</v>
      </c>
      <c r="E13" s="160">
        <f t="shared" ref="E13:I13" si="26">$M13*E8</f>
        <v>56950.419744404331</v>
      </c>
      <c r="F13" s="6">
        <f t="shared" si="26"/>
        <v>72859.671595734835</v>
      </c>
      <c r="G13" s="6">
        <f t="shared" si="26"/>
        <v>87353.552166397771</v>
      </c>
      <c r="H13" s="6">
        <f t="shared" si="26"/>
        <v>97511.75405391879</v>
      </c>
      <c r="I13" s="6">
        <f t="shared" si="26"/>
        <v>100681.36621232466</v>
      </c>
      <c r="K13" s="161">
        <f t="shared" ref="K13:L13" si="27">C13/(C5+C6)</f>
        <v>0.10028687261433415</v>
      </c>
      <c r="L13" s="161">
        <f t="shared" si="27"/>
        <v>0.17170245171732057</v>
      </c>
      <c r="M13" s="203">
        <f t="shared" si="14"/>
        <v>0.13599466216582737</v>
      </c>
      <c r="N13" s="199"/>
      <c r="O13" s="1" t="s">
        <v>54</v>
      </c>
      <c r="P13" s="6">
        <v>21150</v>
      </c>
      <c r="Q13" s="6">
        <v>52196</v>
      </c>
      <c r="R13" s="160">
        <f t="shared" ref="R13:V13" si="28">$Z13*R8</f>
        <v>57218.558724707073</v>
      </c>
      <c r="S13" s="6">
        <f t="shared" si="28"/>
        <v>73932.095705682339</v>
      </c>
      <c r="T13" s="6">
        <f t="shared" si="28"/>
        <v>90053.007671722618</v>
      </c>
      <c r="U13" s="6">
        <f t="shared" si="28"/>
        <v>102822.62026396752</v>
      </c>
      <c r="V13" s="6">
        <f t="shared" si="28"/>
        <v>109446.84604083284</v>
      </c>
      <c r="X13" s="161">
        <f t="shared" ref="X13:Y13" si="29">P13/(P5+P6)</f>
        <v>0.10028687261433415</v>
      </c>
      <c r="Y13" s="161">
        <f t="shared" si="29"/>
        <v>0.17170245171732057</v>
      </c>
      <c r="Z13" s="203">
        <f t="shared" si="17"/>
        <v>0.13599466216582737</v>
      </c>
    </row>
    <row r="14" spans="2:27" ht="14.25" customHeight="1" x14ac:dyDescent="0.3">
      <c r="B14" s="5" t="s">
        <v>55</v>
      </c>
      <c r="C14" s="15">
        <v>9767</v>
      </c>
      <c r="D14" s="15">
        <v>10619</v>
      </c>
      <c r="E14" s="169">
        <f>AVERAGE(C14:D14)</f>
        <v>10193</v>
      </c>
      <c r="F14" s="15">
        <f t="shared" ref="F14:I14" si="30">E14</f>
        <v>10193</v>
      </c>
      <c r="G14" s="15">
        <f t="shared" si="30"/>
        <v>10193</v>
      </c>
      <c r="H14" s="15">
        <f t="shared" si="30"/>
        <v>10193</v>
      </c>
      <c r="I14" s="15">
        <f t="shared" si="30"/>
        <v>10193</v>
      </c>
      <c r="K14" s="159" t="s">
        <v>317</v>
      </c>
      <c r="N14" s="199"/>
      <c r="O14" s="5" t="s">
        <v>55</v>
      </c>
      <c r="P14" s="15">
        <v>9767</v>
      </c>
      <c r="Q14" s="15">
        <v>10619</v>
      </c>
      <c r="R14" s="160">
        <f t="shared" ref="R14:V14" si="31">AVERAGE(P14:Q14)</f>
        <v>10193</v>
      </c>
      <c r="S14" s="6">
        <f t="shared" si="31"/>
        <v>10406</v>
      </c>
      <c r="T14" s="6">
        <f t="shared" si="31"/>
        <v>10299.5</v>
      </c>
      <c r="U14" s="6">
        <f t="shared" si="31"/>
        <v>10352.75</v>
      </c>
      <c r="V14" s="6">
        <f t="shared" si="31"/>
        <v>10326.125</v>
      </c>
      <c r="X14" s="159" t="s">
        <v>317</v>
      </c>
    </row>
    <row r="15" spans="2:27" ht="14.25" customHeight="1" x14ac:dyDescent="0.3">
      <c r="B15" s="2" t="s">
        <v>56</v>
      </c>
      <c r="C15" s="8">
        <f t="shared" ref="C15:I15" si="32">SUM(C10:C14)</f>
        <v>135139</v>
      </c>
      <c r="D15" s="170">
        <f t="shared" si="32"/>
        <v>187386</v>
      </c>
      <c r="E15" s="8">
        <f t="shared" si="32"/>
        <v>256421.84380662622</v>
      </c>
      <c r="F15" s="8">
        <f t="shared" si="32"/>
        <v>325206.5289197932</v>
      </c>
      <c r="G15" s="8">
        <f t="shared" si="32"/>
        <v>387871.76424558391</v>
      </c>
      <c r="H15" s="8">
        <f t="shared" si="32"/>
        <v>431791.41079330491</v>
      </c>
      <c r="I15" s="8">
        <f t="shared" si="32"/>
        <v>445495.43511099025</v>
      </c>
      <c r="N15" s="199"/>
      <c r="O15" s="2" t="s">
        <v>56</v>
      </c>
      <c r="P15" s="8">
        <f t="shared" ref="P15:V15" si="33">SUM(P10:P14)</f>
        <v>135139</v>
      </c>
      <c r="Q15" s="170">
        <f t="shared" si="33"/>
        <v>187386</v>
      </c>
      <c r="R15" s="29">
        <f t="shared" si="33"/>
        <v>257581.16012766038</v>
      </c>
      <c r="S15" s="29">
        <f t="shared" si="33"/>
        <v>330056.2243093591</v>
      </c>
      <c r="T15" s="29">
        <f t="shared" si="33"/>
        <v>399649.53569479712</v>
      </c>
      <c r="U15" s="29">
        <f t="shared" si="33"/>
        <v>454913.03626992018</v>
      </c>
      <c r="V15" s="29">
        <f t="shared" si="33"/>
        <v>483526.68225425924</v>
      </c>
    </row>
    <row r="16" spans="2:27" ht="14.25" customHeight="1" x14ac:dyDescent="0.3">
      <c r="B16" s="5" t="s">
        <v>58</v>
      </c>
      <c r="C16" s="15">
        <v>986</v>
      </c>
      <c r="D16" s="15">
        <v>-20566</v>
      </c>
      <c r="E16" s="160">
        <f t="shared" ref="E16:I16" si="34">$C16</f>
        <v>986</v>
      </c>
      <c r="F16" s="6">
        <f t="shared" si="34"/>
        <v>986</v>
      </c>
      <c r="G16" s="6">
        <f t="shared" si="34"/>
        <v>986</v>
      </c>
      <c r="H16" s="6">
        <f t="shared" si="34"/>
        <v>986</v>
      </c>
      <c r="I16" s="6">
        <f t="shared" si="34"/>
        <v>986</v>
      </c>
      <c r="J16" s="161"/>
      <c r="K16" s="171"/>
      <c r="L16" s="171"/>
      <c r="M16" s="171"/>
      <c r="N16" s="199"/>
      <c r="O16" s="5" t="s">
        <v>58</v>
      </c>
      <c r="P16" s="15">
        <v>986</v>
      </c>
      <c r="Q16" s="15">
        <v>-20566</v>
      </c>
      <c r="R16" s="160">
        <f t="shared" ref="R16:V16" si="35">$C16</f>
        <v>986</v>
      </c>
      <c r="S16" s="6">
        <f t="shared" si="35"/>
        <v>986</v>
      </c>
      <c r="T16" s="6">
        <f t="shared" si="35"/>
        <v>986</v>
      </c>
      <c r="U16" s="6">
        <f t="shared" si="35"/>
        <v>986</v>
      </c>
      <c r="V16" s="6">
        <f t="shared" si="35"/>
        <v>986</v>
      </c>
      <c r="W16" s="161"/>
      <c r="X16" s="171"/>
      <c r="Y16" s="171"/>
      <c r="Z16" s="171"/>
      <c r="AA16" s="162"/>
    </row>
    <row r="17" spans="2:26" ht="14.25" customHeight="1" x14ac:dyDescent="0.3">
      <c r="B17" s="2" t="s">
        <v>146</v>
      </c>
      <c r="C17" s="8">
        <f t="shared" ref="C17:I17" si="36">+C8-C15-C16</f>
        <v>80589</v>
      </c>
      <c r="D17" s="8">
        <f t="shared" si="36"/>
        <v>142039</v>
      </c>
      <c r="E17" s="163">
        <f t="shared" si="36"/>
        <v>161361.67874243442</v>
      </c>
      <c r="F17" s="8">
        <f t="shared" si="36"/>
        <v>209561.37814820756</v>
      </c>
      <c r="G17" s="8">
        <f t="shared" si="36"/>
        <v>253472.97708808514</v>
      </c>
      <c r="H17" s="8">
        <f t="shared" si="36"/>
        <v>284248.92318895238</v>
      </c>
      <c r="I17" s="8">
        <f t="shared" si="36"/>
        <v>293851.7853911288</v>
      </c>
      <c r="K17" s="161"/>
      <c r="N17" s="199"/>
      <c r="O17" s="2" t="s">
        <v>146</v>
      </c>
      <c r="P17" s="8">
        <f t="shared" ref="P17:V17" si="37">+P8-P15-P16</f>
        <v>80589</v>
      </c>
      <c r="Q17" s="8">
        <f t="shared" si="37"/>
        <v>142039</v>
      </c>
      <c r="R17" s="163">
        <f t="shared" si="37"/>
        <v>162174.04995701683</v>
      </c>
      <c r="S17" s="8">
        <f t="shared" si="37"/>
        <v>212597.46366259968</v>
      </c>
      <c r="T17" s="8">
        <f t="shared" si="37"/>
        <v>261544.92225519934</v>
      </c>
      <c r="U17" s="8">
        <f t="shared" si="37"/>
        <v>300179.3172950825</v>
      </c>
      <c r="V17" s="8">
        <f t="shared" si="37"/>
        <v>320275.12557438179</v>
      </c>
      <c r="X17" s="161"/>
    </row>
    <row r="18" spans="2:26" ht="14.25" customHeight="1" x14ac:dyDescent="0.3">
      <c r="B18" s="1" t="s">
        <v>60</v>
      </c>
      <c r="C18" s="6">
        <v>1623</v>
      </c>
      <c r="D18" s="6">
        <v>-55218</v>
      </c>
      <c r="E18" s="160">
        <f t="shared" ref="E18:I18" si="38">E17*$L18</f>
        <v>29045.102173638195</v>
      </c>
      <c r="F18" s="6">
        <f t="shared" si="38"/>
        <v>37721.048066677358</v>
      </c>
      <c r="G18" s="6">
        <f t="shared" si="38"/>
        <v>45625.135875855325</v>
      </c>
      <c r="H18" s="6">
        <f t="shared" si="38"/>
        <v>51164.806174011428</v>
      </c>
      <c r="I18" s="6">
        <f t="shared" si="38"/>
        <v>52893.32137040318</v>
      </c>
      <c r="K18" s="161" t="s">
        <v>295</v>
      </c>
      <c r="L18" s="204">
        <v>0.18</v>
      </c>
      <c r="N18" s="199"/>
      <c r="O18" s="1" t="s">
        <v>60</v>
      </c>
      <c r="P18" s="6">
        <v>1623</v>
      </c>
      <c r="Q18" s="6">
        <v>-55218</v>
      </c>
      <c r="R18" s="160">
        <f t="shared" ref="R18:V18" si="39">R17*$Y18</f>
        <v>16217.404995701683</v>
      </c>
      <c r="S18" s="6">
        <f t="shared" si="39"/>
        <v>21259.746366259969</v>
      </c>
      <c r="T18" s="6">
        <f t="shared" si="39"/>
        <v>26154.492225519934</v>
      </c>
      <c r="U18" s="6">
        <f t="shared" si="39"/>
        <v>30017.931729508251</v>
      </c>
      <c r="V18" s="6">
        <f t="shared" si="39"/>
        <v>32027.512557438182</v>
      </c>
      <c r="X18" s="161" t="s">
        <v>295</v>
      </c>
      <c r="Y18" s="204">
        <v>0.1</v>
      </c>
    </row>
    <row r="19" spans="2:26" ht="14.25" customHeight="1" x14ac:dyDescent="0.3">
      <c r="B19" s="7" t="s">
        <v>320</v>
      </c>
      <c r="C19" s="8">
        <f t="shared" ref="C19:I19" si="40">+C17-C18</f>
        <v>78966</v>
      </c>
      <c r="D19" s="8">
        <f t="shared" si="40"/>
        <v>197257</v>
      </c>
      <c r="E19" s="202">
        <f t="shared" si="40"/>
        <v>132316.57656879624</v>
      </c>
      <c r="F19" s="29">
        <f t="shared" si="40"/>
        <v>171840.33008153021</v>
      </c>
      <c r="G19" s="29">
        <f t="shared" si="40"/>
        <v>207847.8412122298</v>
      </c>
      <c r="H19" s="29">
        <f t="shared" si="40"/>
        <v>233084.11701494094</v>
      </c>
      <c r="I19" s="29">
        <f t="shared" si="40"/>
        <v>240958.46402072563</v>
      </c>
      <c r="K19" s="161"/>
      <c r="M19" s="177"/>
      <c r="N19" s="199"/>
      <c r="O19" s="7" t="s">
        <v>320</v>
      </c>
      <c r="P19" s="8">
        <f t="shared" ref="P19:V19" si="41">+P17-P18</f>
        <v>78966</v>
      </c>
      <c r="Q19" s="8">
        <f t="shared" si="41"/>
        <v>197257</v>
      </c>
      <c r="R19" s="202">
        <f t="shared" si="41"/>
        <v>145956.64496131515</v>
      </c>
      <c r="S19" s="29">
        <f t="shared" si="41"/>
        <v>191337.71729633972</v>
      </c>
      <c r="T19" s="29">
        <f t="shared" si="41"/>
        <v>235390.43002967941</v>
      </c>
      <c r="U19" s="29">
        <f t="shared" si="41"/>
        <v>270161.38556557422</v>
      </c>
      <c r="V19" s="29">
        <f t="shared" si="41"/>
        <v>288247.61301694362</v>
      </c>
      <c r="X19" s="161"/>
      <c r="Z19" s="177"/>
    </row>
    <row r="20" spans="2:26" ht="14.25" customHeight="1" x14ac:dyDescent="0.3">
      <c r="B20" s="205"/>
      <c r="C20" s="206"/>
      <c r="D20" s="206"/>
      <c r="N20" s="199"/>
      <c r="O20" s="205"/>
      <c r="P20" s="206"/>
      <c r="Q20" s="206"/>
    </row>
    <row r="21" spans="2:26" ht="14.25" customHeight="1" x14ac:dyDescent="0.3">
      <c r="B21" s="207"/>
      <c r="C21" s="177"/>
      <c r="D21" s="183"/>
      <c r="E21" s="177"/>
      <c r="F21" s="183"/>
      <c r="G21" s="183"/>
      <c r="H21" s="183"/>
      <c r="I21" s="183"/>
      <c r="N21" s="199"/>
      <c r="O21" s="207"/>
      <c r="P21" s="177"/>
      <c r="Q21" s="183"/>
      <c r="R21" s="177"/>
      <c r="S21" s="183"/>
      <c r="T21" s="183"/>
      <c r="U21" s="183"/>
      <c r="V21" s="183"/>
    </row>
    <row r="22" spans="2:26" ht="14.25" customHeight="1" x14ac:dyDescent="0.3">
      <c r="B22" s="208" t="s">
        <v>321</v>
      </c>
      <c r="C22" s="186"/>
      <c r="D22" s="186">
        <v>0</v>
      </c>
      <c r="E22" s="186">
        <v>1</v>
      </c>
      <c r="F22" s="186">
        <v>2</v>
      </c>
      <c r="G22" s="186">
        <v>3</v>
      </c>
      <c r="H22" s="186">
        <v>4</v>
      </c>
      <c r="I22" s="186">
        <v>5</v>
      </c>
      <c r="N22" s="199"/>
      <c r="O22" s="208" t="s">
        <v>321</v>
      </c>
      <c r="P22" s="186"/>
      <c r="Q22" s="186">
        <v>0</v>
      </c>
      <c r="R22" s="186">
        <v>1</v>
      </c>
      <c r="S22" s="186">
        <v>2</v>
      </c>
      <c r="T22" s="186">
        <v>3</v>
      </c>
      <c r="U22" s="186">
        <v>4</v>
      </c>
      <c r="V22" s="186">
        <v>5</v>
      </c>
    </row>
    <row r="23" spans="2:26" ht="14.25" customHeight="1" x14ac:dyDescent="0.3">
      <c r="B23" s="1" t="s">
        <v>146</v>
      </c>
      <c r="C23" s="6">
        <f t="shared" ref="C23:I23" si="42">C19+C18</f>
        <v>80589</v>
      </c>
      <c r="D23" s="6">
        <f t="shared" si="42"/>
        <v>142039</v>
      </c>
      <c r="E23" s="6">
        <f t="shared" si="42"/>
        <v>161361.67874243442</v>
      </c>
      <c r="F23" s="6">
        <f t="shared" si="42"/>
        <v>209561.37814820756</v>
      </c>
      <c r="G23" s="6">
        <f t="shared" si="42"/>
        <v>253472.97708808514</v>
      </c>
      <c r="H23" s="6">
        <f t="shared" si="42"/>
        <v>284248.92318895238</v>
      </c>
      <c r="I23" s="6">
        <f t="shared" si="42"/>
        <v>293851.7853911288</v>
      </c>
      <c r="N23" s="199"/>
      <c r="O23" s="1" t="s">
        <v>146</v>
      </c>
      <c r="P23" s="6">
        <f t="shared" ref="P23:V23" si="43">P19+P18</f>
        <v>80589</v>
      </c>
      <c r="Q23" s="6">
        <f t="shared" si="43"/>
        <v>142039</v>
      </c>
      <c r="R23" s="6">
        <f t="shared" si="43"/>
        <v>162174.04995701683</v>
      </c>
      <c r="S23" s="6">
        <f t="shared" si="43"/>
        <v>212597.46366259968</v>
      </c>
      <c r="T23" s="6">
        <f t="shared" si="43"/>
        <v>261544.92225519934</v>
      </c>
      <c r="U23" s="6">
        <f t="shared" si="43"/>
        <v>300179.3172950825</v>
      </c>
      <c r="V23" s="6">
        <f t="shared" si="43"/>
        <v>320275.12557438179</v>
      </c>
    </row>
    <row r="24" spans="2:26" ht="14.25" customHeight="1" x14ac:dyDescent="0.3">
      <c r="B24" s="1" t="s">
        <v>320</v>
      </c>
      <c r="E24" s="182">
        <f t="shared" ref="E24:I24" si="44">E19</f>
        <v>132316.57656879624</v>
      </c>
      <c r="F24" s="182">
        <f t="shared" si="44"/>
        <v>171840.33008153021</v>
      </c>
      <c r="G24" s="182">
        <f t="shared" si="44"/>
        <v>207847.8412122298</v>
      </c>
      <c r="H24" s="182">
        <f t="shared" si="44"/>
        <v>233084.11701494094</v>
      </c>
      <c r="I24" s="182">
        <f t="shared" si="44"/>
        <v>240958.46402072563</v>
      </c>
      <c r="N24" s="199"/>
      <c r="O24" s="1" t="s">
        <v>320</v>
      </c>
      <c r="R24" s="182">
        <f t="shared" ref="R24:V24" si="45">R19</f>
        <v>145956.64496131515</v>
      </c>
      <c r="S24" s="182">
        <f t="shared" si="45"/>
        <v>191337.71729633972</v>
      </c>
      <c r="T24" s="182">
        <f t="shared" si="45"/>
        <v>235390.43002967941</v>
      </c>
      <c r="U24" s="182">
        <f t="shared" si="45"/>
        <v>270161.38556557422</v>
      </c>
      <c r="V24" s="182">
        <f t="shared" si="45"/>
        <v>288247.61301694362</v>
      </c>
    </row>
    <row r="25" spans="2:26" ht="14.25" customHeight="1" x14ac:dyDescent="0.3">
      <c r="B25" s="1" t="s">
        <v>322</v>
      </c>
      <c r="C25" s="182"/>
      <c r="D25" s="182"/>
      <c r="E25" s="182">
        <f>'BS pronostico'!$F56*'BS pronostico'!E17</f>
        <v>6869.1750366230908</v>
      </c>
      <c r="F25" s="182">
        <f>'BS pronostico'!$F56*'BS pronostico'!F17</f>
        <v>7357.150533762936</v>
      </c>
      <c r="G25" s="182">
        <f>'BS pronostico'!$F56*'BS pronostico'!G17</f>
        <v>7879.7910502885643</v>
      </c>
      <c r="H25" s="182">
        <f>'BS pronostico'!$F56*'BS pronostico'!H17</f>
        <v>8439.5591351928251</v>
      </c>
      <c r="I25" s="182">
        <f>'BS pronostico'!$F56*'BS pronostico'!I17</f>
        <v>9039.0922731140581</v>
      </c>
      <c r="K25" s="159" t="s">
        <v>323</v>
      </c>
      <c r="L25" s="162">
        <f>L5</f>
        <v>3.2504924038729177E-2</v>
      </c>
      <c r="N25" s="199"/>
      <c r="O25" s="1" t="s">
        <v>322</v>
      </c>
      <c r="P25" s="182"/>
      <c r="Q25" s="182"/>
      <c r="R25" s="182">
        <f>'BS pronostico'!$F56*'BS pronostico'!E17</f>
        <v>6869.1750366230908</v>
      </c>
      <c r="S25" s="182">
        <f>'BS pronostico'!$F56*'BS pronostico'!F17</f>
        <v>7357.150533762936</v>
      </c>
      <c r="T25" s="182">
        <f>'BS pronostico'!$F56*'BS pronostico'!G17</f>
        <v>7879.7910502885643</v>
      </c>
      <c r="U25" s="182">
        <f>'BS pronostico'!$F56*'BS pronostico'!H17</f>
        <v>8439.5591351928251</v>
      </c>
      <c r="V25" s="182">
        <f>'BS pronostico'!$F56*'BS pronostico'!I17</f>
        <v>9039.0922731140581</v>
      </c>
      <c r="X25" s="159" t="s">
        <v>323</v>
      </c>
      <c r="Y25" s="162">
        <f>Y5</f>
        <v>6.4423818026223295E-2</v>
      </c>
    </row>
    <row r="26" spans="2:26" ht="14.25" customHeight="1" x14ac:dyDescent="0.3">
      <c r="B26" s="1" t="s">
        <v>324</v>
      </c>
      <c r="E26" s="182">
        <f t="shared" ref="E26:I26" si="46">E24+E25</f>
        <v>139185.75160541933</v>
      </c>
      <c r="F26" s="182">
        <f t="shared" si="46"/>
        <v>179197.48061529314</v>
      </c>
      <c r="G26" s="182">
        <f t="shared" si="46"/>
        <v>215727.63226251837</v>
      </c>
      <c r="H26" s="182">
        <f t="shared" si="46"/>
        <v>241523.67615013378</v>
      </c>
      <c r="I26" s="182">
        <f t="shared" si="46"/>
        <v>249997.55629383968</v>
      </c>
      <c r="K26" s="159" t="s">
        <v>325</v>
      </c>
      <c r="L26" s="190">
        <f>WACC!E26</f>
        <v>0.1027003314326921</v>
      </c>
      <c r="N26" s="199"/>
      <c r="O26" s="1" t="s">
        <v>324</v>
      </c>
      <c r="R26" s="182">
        <f t="shared" ref="R26:V26" si="47">R24+R25</f>
        <v>152825.81999793823</v>
      </c>
      <c r="S26" s="182">
        <f t="shared" si="47"/>
        <v>198694.86783010265</v>
      </c>
      <c r="T26" s="182">
        <f t="shared" si="47"/>
        <v>243270.22107996797</v>
      </c>
      <c r="U26" s="182">
        <f t="shared" si="47"/>
        <v>278600.94470076705</v>
      </c>
      <c r="V26" s="182">
        <f t="shared" si="47"/>
        <v>297286.7052900577</v>
      </c>
      <c r="X26" s="159" t="s">
        <v>325</v>
      </c>
      <c r="Y26" s="190">
        <f>WACC!E26</f>
        <v>0.1027003314326921</v>
      </c>
    </row>
    <row r="27" spans="2:26" ht="14.25" customHeight="1" x14ac:dyDescent="0.3">
      <c r="B27" s="1" t="s">
        <v>155</v>
      </c>
      <c r="D27" s="182">
        <f>'BS pronostico'!$E52*('P&amp;L pronostico yDCF'!D4+'P&amp;L pronostico yDCF'!D5)</f>
        <v>159228.29419379312</v>
      </c>
      <c r="E27" s="182">
        <f>'BS pronostico'!$E52*('P&amp;L pronostico yDCF'!E4+'P&amp;L pronostico yDCF'!E5)</f>
        <v>217932.55297537913</v>
      </c>
      <c r="F27" s="182">
        <f>'BS pronostico'!$E52*('P&amp;L pronostico yDCF'!F4+'P&amp;L pronostico yDCF'!F5)</f>
        <v>281864.25519708492</v>
      </c>
      <c r="G27" s="182">
        <f>'BS pronostico'!$E52*('P&amp;L pronostico yDCF'!G4+'P&amp;L pronostico yDCF'!G5)</f>
        <v>342776.43535637885</v>
      </c>
      <c r="H27" s="182">
        <f>'BS pronostico'!$E52*('P&amp;L pronostico yDCF'!H4+'P&amp;L pronostico yDCF'!H5)</f>
        <v>389915.06840354012</v>
      </c>
      <c r="I27" s="182">
        <f>'BS pronostico'!$E52*('P&amp;L pronostico yDCF'!I4+'P&amp;L pronostico yDCF'!I5)</f>
        <v>412593.98141211015</v>
      </c>
      <c r="N27" s="199"/>
      <c r="O27" s="1" t="s">
        <v>155</v>
      </c>
      <c r="Q27" s="182">
        <f>'BS pronostico'!$E52*('P&amp;L pronostico yDCF'!D4+'P&amp;L pronostico yDCF'!D5)</f>
        <v>159228.29419379312</v>
      </c>
      <c r="R27" s="182">
        <f>'BS pronostico'!$E52*('P&amp;L pronostico yDCF'!E4+'P&amp;L pronostico yDCF'!E5)</f>
        <v>217932.55297537913</v>
      </c>
      <c r="S27" s="182">
        <f>'BS pronostico'!$E52*('P&amp;L pronostico yDCF'!F4+'P&amp;L pronostico yDCF'!F5)</f>
        <v>281864.25519708492</v>
      </c>
      <c r="T27" s="182">
        <f>'BS pronostico'!$E52*('P&amp;L pronostico yDCF'!G4+'P&amp;L pronostico yDCF'!G5)</f>
        <v>342776.43535637885</v>
      </c>
      <c r="U27" s="182">
        <f>'BS pronostico'!$E52*('P&amp;L pronostico yDCF'!H4+'P&amp;L pronostico yDCF'!H5)</f>
        <v>389915.06840354012</v>
      </c>
      <c r="V27" s="182">
        <f>'BS pronostico'!$E52*('P&amp;L pronostico yDCF'!I4+'P&amp;L pronostico yDCF'!I5)</f>
        <v>412593.98141211015</v>
      </c>
    </row>
    <row r="28" spans="2:26" ht="14.25" customHeight="1" x14ac:dyDescent="0.3">
      <c r="B28" s="1" t="s">
        <v>326</v>
      </c>
      <c r="E28" s="182">
        <f t="shared" ref="E28:I28" si="48">E27-D27</f>
        <v>58704.258781586017</v>
      </c>
      <c r="F28" s="182">
        <f t="shared" si="48"/>
        <v>63931.702221705782</v>
      </c>
      <c r="G28" s="182">
        <f t="shared" si="48"/>
        <v>60912.18015929393</v>
      </c>
      <c r="H28" s="182">
        <f t="shared" si="48"/>
        <v>47138.633047161275</v>
      </c>
      <c r="I28" s="182">
        <f t="shared" si="48"/>
        <v>22678.913008570031</v>
      </c>
      <c r="K28" s="159" t="s">
        <v>327</v>
      </c>
      <c r="L28" s="182">
        <f>I24*Múltiplos!L28</f>
        <v>5768358.8294233987</v>
      </c>
      <c r="N28" s="199"/>
      <c r="O28" s="1" t="s">
        <v>326</v>
      </c>
      <c r="R28" s="182">
        <f t="shared" ref="R28:V28" si="49">R27-Q27</f>
        <v>58704.258781586017</v>
      </c>
      <c r="S28" s="182">
        <f t="shared" si="49"/>
        <v>63931.702221705782</v>
      </c>
      <c r="T28" s="182">
        <f t="shared" si="49"/>
        <v>60912.18015929393</v>
      </c>
      <c r="U28" s="182">
        <f t="shared" si="49"/>
        <v>47138.633047161275</v>
      </c>
      <c r="V28" s="182">
        <f t="shared" si="49"/>
        <v>22678.913008570031</v>
      </c>
      <c r="X28" s="159" t="s">
        <v>327</v>
      </c>
      <c r="Y28" s="182">
        <f>V24*Múltiplos!L28</f>
        <v>6900424.3962290948</v>
      </c>
    </row>
    <row r="29" spans="2:26" ht="14.25" customHeight="1" x14ac:dyDescent="0.3">
      <c r="B29" s="1" t="s">
        <v>328</v>
      </c>
      <c r="D29" s="182">
        <f>'BS pronostico'!D17</f>
        <v>14723</v>
      </c>
      <c r="E29" s="182">
        <f>'BS pronostico'!E17</f>
        <v>15768.898991667251</v>
      </c>
      <c r="F29" s="182">
        <f>'BS pronostico'!F17</f>
        <v>16889.097018909491</v>
      </c>
      <c r="G29" s="182">
        <f>'BS pronostico'!G17</f>
        <v>18088.872169507045</v>
      </c>
      <c r="H29" s="182">
        <f>'BS pronostico'!H17</f>
        <v>19373.877478376515</v>
      </c>
      <c r="I29" s="182">
        <f>'BS pronostico'!I17</f>
        <v>20750.167563231425</v>
      </c>
      <c r="L29" s="182">
        <f>L28/(1+L26)^5</f>
        <v>3538056.3287551012</v>
      </c>
      <c r="N29" s="199"/>
      <c r="O29" s="1" t="s">
        <v>328</v>
      </c>
      <c r="Q29" s="182">
        <f>'BS pronostico'!D17</f>
        <v>14723</v>
      </c>
      <c r="R29" s="182">
        <f>'BS pronostico'!E17</f>
        <v>15768.898991667251</v>
      </c>
      <c r="S29" s="182">
        <f>'BS pronostico'!F17</f>
        <v>16889.097018909491</v>
      </c>
      <c r="T29" s="182">
        <f>'BS pronostico'!G17</f>
        <v>18088.872169507045</v>
      </c>
      <c r="U29" s="182">
        <f>'BS pronostico'!H17</f>
        <v>19373.877478376515</v>
      </c>
      <c r="V29" s="182">
        <f>'BS pronostico'!I17</f>
        <v>20750.167563231425</v>
      </c>
      <c r="Y29" s="182">
        <f>Y28/(1+Y26)^5</f>
        <v>4232415.3070440767</v>
      </c>
    </row>
    <row r="30" spans="2:26" ht="14.25" customHeight="1" x14ac:dyDescent="0.3">
      <c r="B30" s="1" t="s">
        <v>329</v>
      </c>
      <c r="E30" s="182">
        <f t="shared" ref="E30:I30" si="50">E29-D29</f>
        <v>1045.8989916672508</v>
      </c>
      <c r="F30" s="182">
        <f t="shared" si="50"/>
        <v>1120.1980272422406</v>
      </c>
      <c r="G30" s="182">
        <f t="shared" si="50"/>
        <v>1199.7751505975539</v>
      </c>
      <c r="H30" s="182">
        <f t="shared" si="50"/>
        <v>1285.0053088694694</v>
      </c>
      <c r="I30" s="182">
        <f t="shared" si="50"/>
        <v>1376.2900848549107</v>
      </c>
      <c r="N30" s="199"/>
      <c r="O30" s="1" t="s">
        <v>329</v>
      </c>
      <c r="R30" s="182">
        <f t="shared" ref="R30:V30" si="51">R29-Q29</f>
        <v>1045.8989916672508</v>
      </c>
      <c r="S30" s="182">
        <f t="shared" si="51"/>
        <v>1120.1980272422406</v>
      </c>
      <c r="T30" s="182">
        <f t="shared" si="51"/>
        <v>1199.7751505975539</v>
      </c>
      <c r="U30" s="182">
        <f t="shared" si="51"/>
        <v>1285.0053088694694</v>
      </c>
      <c r="V30" s="182">
        <f t="shared" si="51"/>
        <v>1376.2900848549107</v>
      </c>
    </row>
    <row r="31" spans="2:26" ht="14.25" customHeight="1" x14ac:dyDescent="0.3">
      <c r="B31" s="5" t="s">
        <v>330</v>
      </c>
      <c r="C31" s="186"/>
      <c r="D31" s="186"/>
      <c r="E31" s="191">
        <f t="shared" ref="E31:I31" si="52">E26-E28-E30</f>
        <v>79435.593832166051</v>
      </c>
      <c r="F31" s="191">
        <f t="shared" si="52"/>
        <v>114145.58036634512</v>
      </c>
      <c r="G31" s="191">
        <f t="shared" si="52"/>
        <v>153615.67695262688</v>
      </c>
      <c r="H31" s="191">
        <f t="shared" si="52"/>
        <v>193100.03779410303</v>
      </c>
      <c r="I31" s="191">
        <f t="shared" si="52"/>
        <v>225942.35320041474</v>
      </c>
      <c r="N31" s="199"/>
      <c r="O31" s="5" t="s">
        <v>330</v>
      </c>
      <c r="P31" s="186"/>
      <c r="Q31" s="186"/>
      <c r="R31" s="191">
        <f t="shared" ref="R31:V31" si="53">R26-R28-R30</f>
        <v>93075.662224684958</v>
      </c>
      <c r="S31" s="191">
        <f t="shared" si="53"/>
        <v>133642.96758115463</v>
      </c>
      <c r="T31" s="191">
        <f t="shared" si="53"/>
        <v>181158.26577007648</v>
      </c>
      <c r="U31" s="191">
        <f t="shared" si="53"/>
        <v>230177.30634473631</v>
      </c>
      <c r="V31" s="191">
        <f t="shared" si="53"/>
        <v>273231.50219663273</v>
      </c>
    </row>
    <row r="32" spans="2:26" ht="14.25" customHeight="1" x14ac:dyDescent="0.3">
      <c r="B32" s="1" t="s">
        <v>331</v>
      </c>
      <c r="E32" s="182">
        <f t="shared" ref="E32:I32" si="54">E31/(1+$L26)^E2</f>
        <v>72037.33559140109</v>
      </c>
      <c r="F32" s="182">
        <f t="shared" si="54"/>
        <v>93873.733416612435</v>
      </c>
      <c r="G32" s="182">
        <f t="shared" si="54"/>
        <v>114567.91874625688</v>
      </c>
      <c r="H32" s="182">
        <f t="shared" si="54"/>
        <v>130602.75502645709</v>
      </c>
      <c r="I32" s="182">
        <f t="shared" si="54"/>
        <v>138583.05218409147</v>
      </c>
      <c r="N32" s="199"/>
      <c r="O32" s="1" t="s">
        <v>331</v>
      </c>
      <c r="R32" s="182">
        <f t="shared" ref="R32:V32" si="55">R31/(1+$L26)^R2</f>
        <v>84407.03205716431</v>
      </c>
      <c r="S32" s="182">
        <f t="shared" si="55"/>
        <v>109908.45437426366</v>
      </c>
      <c r="T32" s="182">
        <f t="shared" si="55"/>
        <v>135109.42297484056</v>
      </c>
      <c r="U32" s="182">
        <f t="shared" si="55"/>
        <v>155679.87814298295</v>
      </c>
      <c r="V32" s="182">
        <f t="shared" si="55"/>
        <v>167588.12586884288</v>
      </c>
    </row>
    <row r="33" spans="2:16" ht="14.25" customHeight="1" x14ac:dyDescent="0.3">
      <c r="B33" s="1" t="s">
        <v>258</v>
      </c>
      <c r="C33" s="8">
        <f>L29+SUM(E32:I32)</f>
        <v>4087721.1237199204</v>
      </c>
      <c r="N33" s="199"/>
      <c r="O33" s="1" t="s">
        <v>258</v>
      </c>
      <c r="P33" s="8">
        <f>Y29+SUM(R32:V32)</f>
        <v>4885108.2204621714</v>
      </c>
    </row>
    <row r="34" spans="2:16" ht="14.25" customHeight="1" x14ac:dyDescent="0.3">
      <c r="N34" s="209"/>
    </row>
    <row r="35" spans="2:16" ht="14.25" customHeight="1" x14ac:dyDescent="0.3"/>
    <row r="36" spans="2:16" ht="14.25" customHeight="1" x14ac:dyDescent="0.3"/>
    <row r="37" spans="2:16" ht="14.25" customHeight="1" x14ac:dyDescent="0.3"/>
    <row r="38" spans="2:16" ht="14.25" customHeight="1" x14ac:dyDescent="0.3"/>
    <row r="39" spans="2:16" ht="14.25" customHeight="1" x14ac:dyDescent="0.3"/>
    <row r="40" spans="2:16" ht="14.25" customHeight="1" x14ac:dyDescent="0.3"/>
    <row r="41" spans="2:16" ht="14.25" customHeight="1" x14ac:dyDescent="0.3"/>
    <row r="42" spans="2:16" ht="14.25" customHeight="1" x14ac:dyDescent="0.3"/>
    <row r="43" spans="2:16" ht="14.25" customHeight="1" x14ac:dyDescent="0.3"/>
    <row r="44" spans="2:16" ht="14.25" customHeight="1" x14ac:dyDescent="0.3"/>
    <row r="45" spans="2:16" ht="14.25" customHeight="1" x14ac:dyDescent="0.3"/>
    <row r="46" spans="2:16" ht="14.25" customHeight="1" x14ac:dyDescent="0.3"/>
    <row r="47" spans="2:16" ht="14.25" customHeight="1" x14ac:dyDescent="0.3"/>
    <row r="48" spans="2:16" ht="14.25" customHeight="1" x14ac:dyDescent="0.3"/>
    <row r="49" spans="11:13" ht="14.25" customHeight="1" x14ac:dyDescent="0.3"/>
    <row r="50" spans="11:13" ht="14.25" customHeight="1" x14ac:dyDescent="0.3">
      <c r="K50" s="210" t="s">
        <v>350</v>
      </c>
      <c r="L50" s="211" t="s">
        <v>269</v>
      </c>
      <c r="M50" s="212" t="s">
        <v>351</v>
      </c>
    </row>
    <row r="51" spans="11:13" ht="14.25" customHeight="1" x14ac:dyDescent="0.3">
      <c r="K51" s="213" t="s">
        <v>352</v>
      </c>
      <c r="L51" s="182">
        <f>C33</f>
        <v>4087721.1237199204</v>
      </c>
      <c r="M51" s="214">
        <f>L25</f>
        <v>3.2504924038729177E-2</v>
      </c>
    </row>
    <row r="52" spans="11:13" ht="14.25" customHeight="1" x14ac:dyDescent="0.3">
      <c r="K52" s="213" t="s">
        <v>353</v>
      </c>
      <c r="L52" s="182">
        <f>'P&amp;L pronostico yDCF'!C34</f>
        <v>4699421.3542582598</v>
      </c>
      <c r="M52" s="214">
        <f>'P&amp;L pronostico yDCF'!L4</f>
        <v>5.816372550418758E-2</v>
      </c>
    </row>
    <row r="53" spans="11:13" ht="14.25" customHeight="1" x14ac:dyDescent="0.3">
      <c r="K53" s="215" t="s">
        <v>354</v>
      </c>
      <c r="L53" s="216">
        <f>P33</f>
        <v>4885108.2204621714</v>
      </c>
      <c r="M53" s="217">
        <f>Y25</f>
        <v>6.4423818026223295E-2</v>
      </c>
    </row>
    <row r="54" spans="11:13" ht="14.25" customHeight="1" x14ac:dyDescent="0.3"/>
    <row r="55" spans="11:13" ht="14.25" customHeight="1" x14ac:dyDescent="0.3"/>
    <row r="56" spans="11:13" ht="14.25" customHeight="1" x14ac:dyDescent="0.3"/>
    <row r="57" spans="11:13" ht="14.25" customHeight="1" x14ac:dyDescent="0.3"/>
    <row r="58" spans="11:13" ht="14.25" customHeight="1" x14ac:dyDescent="0.3"/>
    <row r="59" spans="11:13" ht="14.25" customHeight="1" x14ac:dyDescent="0.3"/>
    <row r="60" spans="11:13" ht="14.25" customHeight="1" x14ac:dyDescent="0.3"/>
    <row r="61" spans="11:13" ht="14.25" customHeight="1" x14ac:dyDescent="0.3"/>
    <row r="62" spans="11:13" ht="14.25" customHeight="1" x14ac:dyDescent="0.3"/>
    <row r="63" spans="11:13" ht="14.25" customHeight="1" x14ac:dyDescent="0.3"/>
    <row r="64" spans="11:13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conditionalFormatting sqref="C33">
    <cfRule type="cellIs" dxfId="29" priority="1" operator="equal">
      <formula>0</formula>
    </cfRule>
    <cfRule type="cellIs" dxfId="28" priority="2" operator="lessThan">
      <formula>0</formula>
    </cfRule>
    <cfRule type="cellIs" dxfId="27" priority="3" operator="greaterThan">
      <formula>0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:I8">
    <cfRule type="cellIs" dxfId="26" priority="5" operator="equal">
      <formula>0</formula>
    </cfRule>
    <cfRule type="cellIs" dxfId="25" priority="6" operator="lessThan">
      <formula>0</formula>
    </cfRule>
    <cfRule type="cellIs" dxfId="24" priority="7" operator="greaterThan">
      <formula>0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5:I15">
    <cfRule type="cellIs" dxfId="23" priority="9" operator="equal">
      <formula>0</formula>
    </cfRule>
    <cfRule type="cellIs" dxfId="22" priority="10" operator="lessThan">
      <formula>0</formula>
    </cfRule>
    <cfRule type="cellIs" dxfId="21" priority="11" operator="greaterThan">
      <formula>0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:I17">
    <cfRule type="cellIs" dxfId="20" priority="13" operator="equal">
      <formula>0</formula>
    </cfRule>
    <cfRule type="cellIs" dxfId="19" priority="14" operator="lessThan">
      <formula>0</formula>
    </cfRule>
    <cfRule type="cellIs" dxfId="18" priority="15" operator="greaterThan">
      <formula>0</formula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I19">
    <cfRule type="cellIs" dxfId="17" priority="17" operator="equal">
      <formula>0</formula>
    </cfRule>
    <cfRule type="cellIs" dxfId="16" priority="18" operator="lessThan">
      <formula>0</formula>
    </cfRule>
    <cfRule type="cellIs" dxfId="15" priority="19" operator="greaterThan">
      <formula>0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3">
    <cfRule type="cellIs" dxfId="14" priority="21" operator="equal">
      <formula>0</formula>
    </cfRule>
    <cfRule type="cellIs" dxfId="13" priority="22" operator="lessThan">
      <formula>0</formula>
    </cfRule>
    <cfRule type="cellIs" dxfId="12" priority="23" operator="greaterThan">
      <formula>0</formula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8:V8">
    <cfRule type="cellIs" dxfId="11" priority="25" operator="equal">
      <formula>0</formula>
    </cfRule>
    <cfRule type="cellIs" dxfId="10" priority="26" operator="lessThan">
      <formula>0</formula>
    </cfRule>
    <cfRule type="cellIs" dxfId="9" priority="27" operator="greaterThan">
      <formula>0</formula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:V15">
    <cfRule type="cellIs" dxfId="8" priority="29" operator="equal">
      <formula>0</formula>
    </cfRule>
    <cfRule type="cellIs" dxfId="7" priority="30" operator="lessThan">
      <formula>0</formula>
    </cfRule>
    <cfRule type="cellIs" dxfId="6" priority="31" operator="greaterThan">
      <formula>0</formula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7:V17">
    <cfRule type="cellIs" dxfId="5" priority="33" operator="equal">
      <formula>0</formula>
    </cfRule>
    <cfRule type="cellIs" dxfId="4" priority="34" operator="lessThan">
      <formula>0</formula>
    </cfRule>
    <cfRule type="cellIs" dxfId="3" priority="35" operator="greaterThan">
      <formula>0</formula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V19">
    <cfRule type="cellIs" dxfId="2" priority="37" operator="equal">
      <formula>0</formula>
    </cfRule>
    <cfRule type="cellIs" dxfId="1" priority="38" operator="lessThan">
      <formula>0</formula>
    </cfRule>
    <cfRule type="cellIs" dxfId="0" priority="39" operator="greaterThan">
      <formula>0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640625" defaultRowHeight="15" customHeight="1" x14ac:dyDescent="0.3"/>
  <cols>
    <col min="1" max="1" width="3.33203125" customWidth="1"/>
    <col min="2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640625" defaultRowHeight="15" customHeight="1" x14ac:dyDescent="0.3"/>
  <cols>
    <col min="1" max="1" width="3.33203125" customWidth="1"/>
    <col min="2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showGridLines="0" workbookViewId="0"/>
  </sheetViews>
  <sheetFormatPr baseColWidth="10" defaultColWidth="12.6640625" defaultRowHeight="15" customHeight="1" x14ac:dyDescent="0.3"/>
  <cols>
    <col min="1" max="1" width="3.33203125" customWidth="1"/>
    <col min="2" max="7" width="9.109375" customWidth="1"/>
    <col min="8" max="10" width="12.44140625" customWidth="1"/>
    <col min="11" max="26" width="9.109375" customWidth="1"/>
  </cols>
  <sheetData>
    <row r="1" spans="1:26" ht="14.25" customHeight="1" x14ac:dyDescent="0.3">
      <c r="A1" s="1"/>
      <c r="B1" s="121"/>
      <c r="C1" s="1"/>
      <c r="D1" s="121"/>
      <c r="E1" s="1"/>
      <c r="F1" s="1"/>
      <c r="G1" s="121"/>
      <c r="H1" s="1"/>
      <c r="I1" s="121" t="s">
        <v>355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21"/>
      <c r="C2" s="121"/>
      <c r="D2" s="121"/>
      <c r="E2" s="121"/>
      <c r="F2" s="1"/>
      <c r="G2" s="121" t="s">
        <v>356</v>
      </c>
      <c r="H2" s="121" t="s">
        <v>352</v>
      </c>
      <c r="I2" s="121" t="s">
        <v>353</v>
      </c>
      <c r="J2" s="121" t="s">
        <v>357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21"/>
      <c r="C3" s="218"/>
      <c r="D3" s="6"/>
      <c r="E3" s="6"/>
      <c r="F3" s="1"/>
      <c r="G3" s="121">
        <v>2026</v>
      </c>
      <c r="H3" s="218">
        <f t="array" ref="H3:H7">TRANSPOSE(Sensibilidad!E32:I32)</f>
        <v>72037.33559140109</v>
      </c>
      <c r="I3" s="6">
        <f t="array" ref="I3:I7">TRANSPOSE('P&amp;L pronostico yDCF'!E33:I33)</f>
        <v>81338.484748306379</v>
      </c>
      <c r="J3" s="6">
        <f t="array" ref="J3:J7">TRANSPOSE(Sensibilidad!R32:V32)</f>
        <v>84407.03205716431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21"/>
      <c r="C4" s="218"/>
      <c r="D4" s="6"/>
      <c r="E4" s="6"/>
      <c r="F4" s="1"/>
      <c r="G4" s="121">
        <v>2027</v>
      </c>
      <c r="H4" s="218">
        <v>93873.733416612435</v>
      </c>
      <c r="I4" s="6">
        <v>106103.43324585936</v>
      </c>
      <c r="J4" s="6">
        <v>109908.45437426366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21"/>
      <c r="C5" s="218"/>
      <c r="D5" s="6"/>
      <c r="E5" s="6"/>
      <c r="F5" s="1"/>
      <c r="G5" s="121">
        <v>2028</v>
      </c>
      <c r="H5" s="218">
        <v>114567.91874625688</v>
      </c>
      <c r="I5" s="6">
        <v>130217.61118923906</v>
      </c>
      <c r="J5" s="6">
        <v>135109.42297484056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21"/>
      <c r="C6" s="218"/>
      <c r="D6" s="6"/>
      <c r="E6" s="6"/>
      <c r="F6" s="1"/>
      <c r="G6" s="121">
        <v>2029</v>
      </c>
      <c r="H6" s="218">
        <v>130602.75502645709</v>
      </c>
      <c r="I6" s="6">
        <v>149808.6708122628</v>
      </c>
      <c r="J6" s="6">
        <v>155679.87814298295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21"/>
      <c r="C7" s="218"/>
      <c r="D7" s="6"/>
      <c r="E7" s="6"/>
      <c r="F7" s="1"/>
      <c r="G7" s="121">
        <v>2030</v>
      </c>
      <c r="H7" s="218">
        <v>138583.05218409147</v>
      </c>
      <c r="I7" s="6">
        <v>160849.73362817787</v>
      </c>
      <c r="J7" s="6">
        <v>167588.12586884288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21"/>
      <c r="C8" s="218"/>
      <c r="D8" s="6"/>
      <c r="E8" s="6"/>
      <c r="F8" s="1"/>
      <c r="G8" s="219"/>
      <c r="H8" s="220"/>
      <c r="I8" s="6"/>
      <c r="J8" s="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21"/>
      <c r="C9" s="218"/>
      <c r="D9" s="6"/>
      <c r="E9" s="6"/>
      <c r="F9" s="1"/>
      <c r="G9" s="219"/>
      <c r="H9" s="220"/>
      <c r="I9" s="6"/>
      <c r="J9" s="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Entry Data</vt:lpstr>
      <vt:lpstr>BS</vt:lpstr>
      <vt:lpstr>P&amp;L</vt:lpstr>
      <vt:lpstr>Stocks</vt:lpstr>
      <vt:lpstr>Cash Flows</vt:lpstr>
      <vt:lpstr>Analisis financiero</vt:lpstr>
      <vt:lpstr>Múltiplos</vt:lpstr>
      <vt:lpstr>WACC</vt:lpstr>
      <vt:lpstr>Rating Sintetico</vt:lpstr>
      <vt:lpstr>P&amp;L pronostico yDCF</vt:lpstr>
      <vt:lpstr>BS pronostico</vt:lpstr>
      <vt:lpstr>Sensibilidad</vt:lpstr>
      <vt:lpstr>Estimación de la IPO</vt:lpstr>
      <vt:lpstr>Visualidad</vt:lpstr>
      <vt:lpstr>Growth Projections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Óscar Eduardo Rocha Mora</dc:creator>
  <cp:lastModifiedBy>Roberto Méndez Masís</cp:lastModifiedBy>
  <dcterms:created xsi:type="dcterms:W3CDTF">2025-10-26T16:55:30Z</dcterms:created>
  <dcterms:modified xsi:type="dcterms:W3CDTF">2025-11-29T19:31:39Z</dcterms:modified>
</cp:coreProperties>
</file>