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final stag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5" l="1"/>
  <c r="C36" i="14"/>
  <c r="H31" i="14"/>
  <c r="F3" i="14"/>
  <c r="H30" i="15"/>
  <c r="F3" i="15"/>
  <c r="F27" i="15"/>
  <c r="I27" i="15" s="1"/>
  <c r="C42" i="15"/>
  <c r="C43" i="15" s="1"/>
  <c r="C34" i="15"/>
  <c r="I30" i="15"/>
  <c r="G30" i="15"/>
  <c r="H23" i="15"/>
  <c r="C23" i="15"/>
  <c r="I23" i="15" s="1"/>
  <c r="B23" i="15"/>
  <c r="B9" i="15" s="1"/>
  <c r="H22" i="15"/>
  <c r="C22" i="15"/>
  <c r="I22" i="15" s="1"/>
  <c r="B22" i="15"/>
  <c r="B6" i="15" s="1"/>
  <c r="H18" i="15"/>
  <c r="J18" i="15" s="1"/>
  <c r="E18" i="15"/>
  <c r="B10" i="15"/>
  <c r="B8" i="15"/>
  <c r="C7" i="15"/>
  <c r="E23" i="15" s="1"/>
  <c r="J23" i="15" s="1"/>
  <c r="B7" i="15"/>
  <c r="C6" i="15"/>
  <c r="C35" i="14"/>
  <c r="G31" i="14"/>
  <c r="I31" i="14"/>
  <c r="C43" i="14"/>
  <c r="C44" i="14" s="1"/>
  <c r="C18" i="13"/>
  <c r="C19" i="13" s="1"/>
  <c r="H27" i="14"/>
  <c r="I27" i="14"/>
  <c r="I28" i="14" s="1"/>
  <c r="I29" i="14" s="1"/>
  <c r="H23" i="14"/>
  <c r="B23" i="14"/>
  <c r="B8" i="14" s="1"/>
  <c r="H22" i="14"/>
  <c r="C22" i="14"/>
  <c r="I22" i="14" s="1"/>
  <c r="B22" i="14"/>
  <c r="B6" i="14" s="1"/>
  <c r="H18" i="14"/>
  <c r="E18" i="14"/>
  <c r="C7" i="14"/>
  <c r="C6" i="14"/>
  <c r="E22" i="15" l="1"/>
  <c r="J22" i="15" s="1"/>
  <c r="E27" i="15" s="1"/>
  <c r="J27" i="15" s="1"/>
  <c r="E30" i="15" s="1"/>
  <c r="D7" i="15"/>
  <c r="E7" i="15" s="1"/>
  <c r="F7" i="15" s="1"/>
  <c r="D10" i="15"/>
  <c r="E10" i="15" s="1"/>
  <c r="F10" i="15" s="1"/>
  <c r="D6" i="15"/>
  <c r="E6" i="15" s="1"/>
  <c r="F6" i="15" s="1"/>
  <c r="D9" i="15"/>
  <c r="E9" i="15" s="1"/>
  <c r="F9" i="15" s="1"/>
  <c r="C18" i="15"/>
  <c r="D8" i="15"/>
  <c r="E8" i="15" s="1"/>
  <c r="F8" i="15" s="1"/>
  <c r="I24" i="15"/>
  <c r="I25" i="15" s="1"/>
  <c r="B18" i="15"/>
  <c r="D6" i="14"/>
  <c r="E6" i="14" s="1"/>
  <c r="F6" i="14" s="1"/>
  <c r="J18" i="14"/>
  <c r="E22" i="14" s="1"/>
  <c r="J22" i="14" s="1"/>
  <c r="B10" i="14"/>
  <c r="B18" i="14"/>
  <c r="B9" i="14"/>
  <c r="B7" i="14"/>
  <c r="C23" i="14"/>
  <c r="J30" i="15" l="1"/>
  <c r="C44" i="15" s="1"/>
  <c r="C45" i="15" s="1"/>
  <c r="D3" i="15"/>
  <c r="E3" i="15" s="1"/>
  <c r="D4" i="15"/>
  <c r="E4" i="15" s="1"/>
  <c r="F4" i="15" s="1"/>
  <c r="I18" i="15"/>
  <c r="I19" i="15" s="1"/>
  <c r="I20" i="15" s="1"/>
  <c r="D5" i="15"/>
  <c r="E5" i="15" s="1"/>
  <c r="F5" i="15" s="1"/>
  <c r="C36" i="15"/>
  <c r="C37" i="15" s="1"/>
  <c r="B5" i="15"/>
  <c r="B3" i="15"/>
  <c r="B4" i="15"/>
  <c r="E23" i="14"/>
  <c r="J23" i="14" s="1"/>
  <c r="E27" i="14" s="1"/>
  <c r="J27" i="14" s="1"/>
  <c r="D9" i="14"/>
  <c r="E9" i="14" s="1"/>
  <c r="F9" i="14" s="1"/>
  <c r="D10" i="14"/>
  <c r="E10" i="14" s="1"/>
  <c r="F10" i="14" s="1"/>
  <c r="D7" i="14"/>
  <c r="E7" i="14" s="1"/>
  <c r="F7" i="14" s="1"/>
  <c r="D8" i="14"/>
  <c r="E8" i="14" s="1"/>
  <c r="F8" i="14" s="1"/>
  <c r="I23" i="14"/>
  <c r="I24" i="14" s="1"/>
  <c r="I25" i="14" s="1"/>
  <c r="B3" i="14"/>
  <c r="B4" i="14"/>
  <c r="B5" i="14"/>
  <c r="C18" i="14"/>
  <c r="E11" i="15" l="1"/>
  <c r="F11" i="15" s="1"/>
  <c r="E31" i="14"/>
  <c r="C37" i="14"/>
  <c r="C38" i="14" s="1"/>
  <c r="D3" i="14"/>
  <c r="E3" i="14" s="1"/>
  <c r="D4" i="14"/>
  <c r="E4" i="14" s="1"/>
  <c r="F4" i="14" s="1"/>
  <c r="I18" i="14"/>
  <c r="I19" i="14" s="1"/>
  <c r="I20" i="14" s="1"/>
  <c r="D5" i="14"/>
  <c r="E5" i="14" s="1"/>
  <c r="F5" i="14" s="1"/>
  <c r="F11" i="14" l="1"/>
  <c r="J31" i="14"/>
  <c r="C45" i="14" s="1"/>
  <c r="C46" i="14" s="1"/>
  <c r="E11" i="14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51" i="9" l="1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5" i="13" l="1"/>
  <c r="E5" i="13" s="1"/>
  <c r="D3" i="13"/>
  <c r="E3" i="13" s="1"/>
  <c r="D53" i="9"/>
  <c r="D57" i="9"/>
  <c r="D54" i="9"/>
  <c r="D58" i="9"/>
  <c r="D4" i="13" l="1"/>
  <c r="E4" i="13" s="1"/>
  <c r="E6" i="13" s="1"/>
  <c r="I13" i="13"/>
  <c r="I14" i="13" s="1"/>
  <c r="I15" i="13" s="1"/>
  <c r="H13" i="13"/>
  <c r="E13" i="13"/>
  <c r="J13" i="13" l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L25" i="9" l="1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<sst xmlns="http://schemas.openxmlformats.org/spreadsheetml/2006/main" count="455" uniqueCount="131">
  <si>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</si>
  <si>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</si>
  <si>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</si>
  <si>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</si>
  <si>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</si>
  <si>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</si>
  <si>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</si>
  <si>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</si>
  <si>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</si>
  <si>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</si>
  <si>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</si>
  <si>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</si>
  <si>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</si>
  <si>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</si>
  <si>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</si>
  <si>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</si>
  <si>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</si>
  <si>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</si>
  <si>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</si>
  <si>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</si>
  <si>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</si>
  <si>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</si>
  <si>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</si>
  <si>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</si>
  <si>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</si>
  <si>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</si>
  <si>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</si>
  <si>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</si>
  <si>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</si>
  <si>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</si>
  <si>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</si>
  <si>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</si>
  <si>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</si>
  <si>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</si>
  <si>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</si>
  <si>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</si>
  <si>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</si>
  <si>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</si>
  <si>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</si>
  <si>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</si>
  <si>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</si>
  <si>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</si>
  <si>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</si>
  <si>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</si>
  <si>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</si>
  <si>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</si>
  <si>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</si>
  <si>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</si>
  <si>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</si>
  <si>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</si>
  <si>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</si>
  <si>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</si>
  <si>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</si>
  <si>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</si>
  <si>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</si>
  <si>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</si>
  <si>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</si>
  <si>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</si>
  <si>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</si>
  <si>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</si>
  <si>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</si>
  <si>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</si>
  <si>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</si>
  <si>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</si>
  <si>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</si>
  <si>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</si>
  <si>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</si>
  <si>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</si>
  <si>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</si>
  <si>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</si>
  <si>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</si>
  <si>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</si>
  <si>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</si>
  <si>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</si>
  <si>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</si>
  <si>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</si>
  <si>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</si>
  <si>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</si>
  <si>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</si>
  <si>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</si>
  <si>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</si>
  <si>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</si>
  <si>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</si>
  <si>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</si>
  <si>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</si>
  <si>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</si>
  <si>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</si>
  <si>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</si>
  <si>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</si>
  <si>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</si>
  <si>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</si>
  <si>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</si>
  <si>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</si>
  <si>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</si>
  <si>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</si>
  <si>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</si>
  <si>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</si>
  <si>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</si>
  <si>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</si>
  <si>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NEEDS PER BFR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</si>
  <si>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</si>
  <si>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</si>
  <si>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</si>
  <si>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</si>
  <si>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</si>
  <si>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REQUIRED CASH PER ROCKET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</si>
  <si>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</si>
  <si>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</si>
  <si>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</si>
  <si>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</si>
  <si>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</si>
  <si>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</si>
  <si>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</si>
  <si>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</si>
  <si>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</si>
  <si>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</si>
  <si>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</si>
  <si>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</si>
  <si>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</si>
  <si>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</si>
  <si>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</si>
  <si>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</si>
  <si>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For the first stage we only pretend to sell BFRs</t>
  </si>
  <si>
    <t>For the second stage we pretend to build a high q launchpad and sell ASR</t>
  </si>
  <si>
    <t>REQUIRED CASH PER HOUR</t>
  </si>
  <si>
    <t>REQUIRED CASH PER DAY</t>
  </si>
  <si>
    <t>PRODUCED UNITS PER HOUR</t>
  </si>
  <si>
    <t>Assuming we will prefer to launch our BFRs</t>
  </si>
  <si>
    <t xml:space="preserve">Assuming we can produce our own high quality BFRs. </t>
  </si>
  <si>
    <t>UNITS PER HOUR PER LEVEL</t>
  </si>
  <si>
    <t>daily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</si>
</sst>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11" borderId="0" xfId="0" applyFill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0" fillId="11" borderId="0" xfId="0" applyFill="1"/>
    <xf numFmtId="0" fontId="5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9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9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9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9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9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30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1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9" t="s">
        <v>3</v>
      </c>
      <c r="B23" s="29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2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2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3" t="s">
        <v>18</v>
      </c>
      <c r="B26" s="32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4" t="s">
        <v>24</v>
      </c>
      <c r="B27" s="32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5" t="s">
        <v>23</v>
      </c>
      <c r="B28" s="32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2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9" t="s">
        <v>26</v>
      </c>
      <c r="B30" s="29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3" t="s">
        <v>29</v>
      </c>
      <c r="B31" s="32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3" t="s">
        <v>31</v>
      </c>
      <c r="B32" s="32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2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9" t="s">
        <v>35</v>
      </c>
      <c r="B34" s="29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2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2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9" t="s">
        <v>44</v>
      </c>
      <c r="B37" s="29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1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9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3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3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5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9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3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3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9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6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3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9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7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70" zoomScaleNormal="70" workbookViewId="0">
      <selection activeCell="D26" sqref="D26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105</v>
      </c>
      <c r="G2" s="4"/>
      <c r="H2" s="13" t="s">
        <v>9</v>
      </c>
      <c r="I2" s="14">
        <v>0.14000000000000001</v>
      </c>
    </row>
    <row r="3" spans="1:13" x14ac:dyDescent="0.25">
      <c r="A3" s="4" t="s">
        <v>58</v>
      </c>
      <c r="B3" s="4">
        <f>IF(B13&gt;0,B13-1,0)</f>
        <v>2</v>
      </c>
      <c r="C3" s="12">
        <v>10.5</v>
      </c>
      <c r="D3" s="4">
        <f>20*C13</f>
        <v>160</v>
      </c>
      <c r="E3" s="11">
        <f>D3*C3</f>
        <v>1680</v>
      </c>
      <c r="G3" s="4"/>
    </row>
    <row r="4" spans="1:13" x14ac:dyDescent="0.25">
      <c r="A4" s="4" t="s">
        <v>60</v>
      </c>
      <c r="B4" s="4">
        <f>IF(B13&gt;0,B13-1,0)</f>
        <v>2</v>
      </c>
      <c r="C4" s="12">
        <v>900</v>
      </c>
      <c r="D4" s="4">
        <f>8*C13</f>
        <v>64</v>
      </c>
      <c r="E4" s="11">
        <f t="shared" ref="E4:E5" si="0">D4*C4</f>
        <v>57600</v>
      </c>
      <c r="G4" s="4"/>
      <c r="K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18.5</v>
      </c>
      <c r="D5" s="4">
        <f>10*C13</f>
        <v>80</v>
      </c>
      <c r="E5" s="11">
        <f t="shared" si="0"/>
        <v>1480</v>
      </c>
      <c r="G5" s="4"/>
      <c r="K5" t="s">
        <v>98</v>
      </c>
    </row>
    <row r="6" spans="1:13" x14ac:dyDescent="0.25">
      <c r="A6" s="4"/>
      <c r="B6" s="4"/>
      <c r="C6" s="4"/>
      <c r="D6" s="4"/>
      <c r="E6" s="27">
        <f>SUM(E3:E5)</f>
        <v>60760</v>
      </c>
      <c r="G6" s="4"/>
    </row>
    <row r="7" spans="1:13" x14ac:dyDescent="0.25">
      <c r="A7" s="4"/>
      <c r="B7" s="4"/>
      <c r="C7" s="4"/>
      <c r="D7" s="4"/>
      <c r="E7" s="4"/>
      <c r="G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101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100</v>
      </c>
      <c r="J11" s="24" t="s">
        <v>55</v>
      </c>
      <c r="K11" s="24"/>
      <c r="L11" s="4"/>
      <c r="M11" s="4"/>
    </row>
    <row r="12" spans="1:13" x14ac:dyDescent="0.25">
      <c r="A12" s="29" t="s">
        <v>35</v>
      </c>
      <c r="B12" s="29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8</v>
      </c>
      <c r="D13" s="28" t="s">
        <v>39</v>
      </c>
      <c r="E13" s="24">
        <f>20*C3+8*C4+10*C5</f>
        <v>7595</v>
      </c>
      <c r="F13" s="24">
        <v>0.28999999999999998</v>
      </c>
      <c r="G13" s="24">
        <v>1989.41</v>
      </c>
      <c r="H13" s="24">
        <f>$I$2*G13</f>
        <v>278.51740000000007</v>
      </c>
      <c r="I13">
        <f>C13/F13</f>
        <v>27.586206896551726</v>
      </c>
      <c r="J13" s="27">
        <f>E13+G13+H13</f>
        <v>9862.9274000000005</v>
      </c>
      <c r="K13" s="24"/>
      <c r="L13" s="4"/>
      <c r="M13" s="4"/>
    </row>
    <row r="14" spans="1:13" x14ac:dyDescent="0.25">
      <c r="A14" s="24"/>
      <c r="B14" s="24"/>
      <c r="C14" s="24"/>
      <c r="D14" s="28"/>
      <c r="E14" s="24"/>
      <c r="F14" s="38" t="s">
        <v>102</v>
      </c>
      <c r="G14" s="40">
        <v>9</v>
      </c>
      <c r="H14" s="39" t="s">
        <v>103</v>
      </c>
      <c r="I14" s="39">
        <f>I13/G14</f>
        <v>3.0651340996168583</v>
      </c>
      <c r="J14" s="24"/>
      <c r="K14" s="24" t="s">
        <v>106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9" t="s">
        <v>110</v>
      </c>
      <c r="I15" s="39">
        <f>I14*G14</f>
        <v>27.586206896551726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107</v>
      </c>
      <c r="C17" s="12">
        <v>11700</v>
      </c>
      <c r="D17" s="24"/>
      <c r="E17" s="24"/>
    </row>
    <row r="18" spans="1:5" x14ac:dyDescent="0.25">
      <c r="A18" s="24"/>
      <c r="B18" s="24" t="s">
        <v>108</v>
      </c>
      <c r="C18" s="27">
        <f>(C17-J13)*C13</f>
        <v>14696.580799999996</v>
      </c>
      <c r="D18" s="24"/>
      <c r="E18" s="24"/>
    </row>
    <row r="19" spans="1:5" x14ac:dyDescent="0.25">
      <c r="A19" s="24"/>
      <c r="B19" s="24" t="s">
        <v>109</v>
      </c>
      <c r="C19" s="27">
        <f>C18*24</f>
        <v>352717.93919999991</v>
      </c>
      <c r="D19" s="24"/>
      <c r="E19" s="24"/>
    </row>
    <row r="20" spans="1:5" x14ac:dyDescent="0.25">
      <c r="A20" s="24"/>
      <c r="B20" s="24"/>
      <c r="C20" s="24"/>
      <c r="D20" s="24"/>
      <c r="E20" s="24"/>
    </row>
    <row r="21" spans="1:5" x14ac:dyDescent="0.25">
      <c r="A21" s="24"/>
      <c r="B21" s="24"/>
      <c r="C21" s="24"/>
      <c r="D21" s="24"/>
      <c r="E21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70" zoomScaleNormal="70" workbookViewId="0">
      <selection activeCell="D39" sqref="D3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124</v>
      </c>
      <c r="F2" s="4" t="s">
        <v>125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162.39999999999978</v>
      </c>
      <c r="E3" s="11">
        <f>D3*C3</f>
        <v>1705.1999999999978</v>
      </c>
      <c r="F3" s="11">
        <f>E3*24</f>
        <v>40924.799999999945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64.959999999999908</v>
      </c>
      <c r="E4" s="11">
        <f t="shared" ref="E4:E10" si="0">D4*C4</f>
        <v>58463.99999999992</v>
      </c>
      <c r="F4" s="11">
        <f t="shared" ref="F4:F10" si="1">E4*24</f>
        <v>1403135.9999999981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81.199999999999889</v>
      </c>
      <c r="E5" s="11">
        <f t="shared" si="0"/>
        <v>1502.199999999998</v>
      </c>
      <c r="F5" s="11">
        <f t="shared" si="1"/>
        <v>36052.799999999952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7.9219512195121844</v>
      </c>
      <c r="E6" s="11">
        <f t="shared" si="0"/>
        <v>24687.968780487772</v>
      </c>
      <c r="F6" s="11">
        <f t="shared" si="1"/>
        <v>592511.2507317065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4.3570731707317014</v>
      </c>
      <c r="E7" s="11">
        <f t="shared" si="0"/>
        <v>42272.32390243897</v>
      </c>
      <c r="F7" s="11">
        <f t="shared" si="1"/>
        <v>1014535.7736585352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0.39609756097560922</v>
      </c>
      <c r="E8" s="11">
        <f t="shared" si="0"/>
        <v>2206.2634146341434</v>
      </c>
      <c r="F8" s="11">
        <f t="shared" si="1"/>
        <v>52950.321951219441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1.9804878048780461</v>
      </c>
      <c r="E9" s="11">
        <f t="shared" si="0"/>
        <v>1079.3658536585351</v>
      </c>
      <c r="F9" s="11">
        <f t="shared" si="1"/>
        <v>25904.780487804841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0.79219512195121844</v>
      </c>
      <c r="E10" s="11">
        <f t="shared" si="0"/>
        <v>1370.4975609756079</v>
      </c>
      <c r="F10" s="11">
        <f t="shared" si="1"/>
        <v>32891.941463414594</v>
      </c>
      <c r="G10" s="4"/>
    </row>
    <row r="11" spans="1:13" x14ac:dyDescent="0.25">
      <c r="A11" s="4"/>
      <c r="B11" s="4"/>
      <c r="C11" s="4"/>
      <c r="D11" s="4"/>
      <c r="E11" s="27">
        <f>SUM(E3:E10)</f>
        <v>133287.81951219495</v>
      </c>
      <c r="F11" s="27">
        <f>E11*24</f>
        <v>3198907.6682926789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126</v>
      </c>
      <c r="D16" s="24" t="s">
        <v>4</v>
      </c>
      <c r="E16" s="24" t="s">
        <v>84</v>
      </c>
      <c r="F16" s="24" t="s">
        <v>129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8.1199999999999886</v>
      </c>
      <c r="D18" s="28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27.999999999999961</v>
      </c>
      <c r="J18" s="27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9</v>
      </c>
      <c r="H19" s="39" t="s">
        <v>103</v>
      </c>
      <c r="I19" s="39">
        <f>I18/G19</f>
        <v>3.1111111111111067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110</v>
      </c>
      <c r="I20" s="39">
        <f>I19*G19</f>
        <v>27.999999999999961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0.19804878048780461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$I$2*G22</f>
        <v>70.33</v>
      </c>
      <c r="I22">
        <f>C22/F22</f>
        <v>0.11859208412443391</v>
      </c>
      <c r="J22" s="27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0.19804878048780461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0.60014781966001396</v>
      </c>
      <c r="J23" s="27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0.71873990378444785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110</v>
      </c>
      <c r="I25" s="39">
        <f>I24*G24</f>
        <v>0.71873990378444785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121</v>
      </c>
      <c r="B27" s="12">
        <v>4</v>
      </c>
      <c r="C27" s="12">
        <v>0.19804878048780461</v>
      </c>
      <c r="D27" s="28"/>
      <c r="E27" s="24">
        <f>J22+J23</f>
        <v>773415.82799999998</v>
      </c>
      <c r="F27" s="24">
        <f>C27</f>
        <v>0.19804878048780461</v>
      </c>
      <c r="G27" s="24">
        <v>12500</v>
      </c>
      <c r="H27" s="24"/>
      <c r="I27">
        <f>C27/F27</f>
        <v>1</v>
      </c>
      <c r="J27" s="27">
        <f>E27+G27+H27</f>
        <v>785915.82799999998</v>
      </c>
      <c r="K27" t="s">
        <v>122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9"/>
      <c r="I28" s="39"/>
      <c r="K28" s="4"/>
      <c r="L28" s="4"/>
      <c r="M28" s="4"/>
    </row>
    <row r="29" spans="1:13" x14ac:dyDescent="0.25">
      <c r="A29" s="29" t="s">
        <v>118</v>
      </c>
      <c r="B29" s="29"/>
      <c r="C29" s="29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120</v>
      </c>
      <c r="B30" s="12">
        <v>10</v>
      </c>
      <c r="C30" s="24"/>
      <c r="D30" s="28" t="s">
        <v>119</v>
      </c>
      <c r="E30" s="24">
        <f>J27</f>
        <v>785915.82799999998</v>
      </c>
      <c r="F30" s="24">
        <v>4</v>
      </c>
      <c r="G30" s="42">
        <f>518*B30*(128/(2^(B30-1)))</f>
        <v>1295</v>
      </c>
      <c r="H30" s="24">
        <f>G30*I2</f>
        <v>259</v>
      </c>
      <c r="I30">
        <f>C27/F30</f>
        <v>4.9512195121951152E-2</v>
      </c>
      <c r="J30" s="27">
        <f>E30+H30+G30</f>
        <v>787469.82799999998</v>
      </c>
      <c r="K30" t="s">
        <v>123</v>
      </c>
    </row>
    <row r="31" spans="1:13" x14ac:dyDescent="0.25">
      <c r="A31" s="24"/>
      <c r="B31" s="24"/>
      <c r="C31" s="24"/>
      <c r="D31" s="26"/>
      <c r="E31" s="4"/>
      <c r="F31" s="38"/>
      <c r="G31" s="38"/>
      <c r="H31" s="39"/>
      <c r="I31" s="39"/>
    </row>
    <row r="32" spans="1:13" x14ac:dyDescent="0.25">
      <c r="A32" s="24"/>
      <c r="B32" s="24"/>
      <c r="C32" s="24"/>
      <c r="D32" s="26"/>
      <c r="E32" s="4"/>
      <c r="G32" s="4"/>
      <c r="H32" s="39"/>
      <c r="I32" s="39"/>
    </row>
    <row r="33" spans="1:9" x14ac:dyDescent="0.25">
      <c r="A33" s="24"/>
      <c r="B33" s="24" t="s">
        <v>111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107</v>
      </c>
      <c r="C34" s="12">
        <f>790000+15000*B27</f>
        <v>850000</v>
      </c>
      <c r="D34" s="24"/>
      <c r="E34" s="24"/>
      <c r="I34" s="1"/>
    </row>
    <row r="35" spans="1:9" x14ac:dyDescent="0.25">
      <c r="A35" s="24"/>
      <c r="B35" s="24" t="s">
        <v>130</v>
      </c>
      <c r="C35" s="24">
        <f>24*C27</f>
        <v>4.7531707317073106</v>
      </c>
      <c r="D35" s="24"/>
      <c r="E35" s="24"/>
      <c r="I35" s="1"/>
    </row>
    <row r="36" spans="1:9" x14ac:dyDescent="0.25">
      <c r="A36" s="24"/>
      <c r="B36" s="24" t="s">
        <v>108</v>
      </c>
      <c r="C36" s="27">
        <f>(C34-J27)*C27</f>
        <v>12691.792113170719</v>
      </c>
      <c r="D36" s="24"/>
      <c r="E36" s="24"/>
      <c r="I36" s="1"/>
    </row>
    <row r="37" spans="1:9" x14ac:dyDescent="0.25">
      <c r="A37" s="24"/>
      <c r="B37" s="24" t="s">
        <v>109</v>
      </c>
      <c r="C37" s="27">
        <f>C36*24</f>
        <v>304603.01071609725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112</v>
      </c>
      <c r="C39" s="24"/>
      <c r="D39" s="24"/>
      <c r="E39" s="24"/>
    </row>
    <row r="40" spans="1:9" x14ac:dyDescent="0.25">
      <c r="A40" s="24"/>
      <c r="B40" s="24" t="s">
        <v>107</v>
      </c>
      <c r="C40" s="12">
        <v>318</v>
      </c>
      <c r="D40" s="24"/>
      <c r="E40" s="24"/>
    </row>
    <row r="41" spans="1:9" x14ac:dyDescent="0.25">
      <c r="A41" s="24"/>
      <c r="B41" s="24" t="s">
        <v>113</v>
      </c>
      <c r="C41" s="24">
        <v>2800</v>
      </c>
      <c r="D41" s="24"/>
      <c r="E41" s="24"/>
    </row>
    <row r="42" spans="1:9" x14ac:dyDescent="0.25">
      <c r="A42" s="24"/>
      <c r="B42" s="24" t="s">
        <v>114</v>
      </c>
      <c r="C42" s="24">
        <f>(0.5)^(B27+1)</f>
        <v>3.125E-2</v>
      </c>
      <c r="D42" s="24"/>
      <c r="E42" s="24"/>
    </row>
    <row r="43" spans="1:9" x14ac:dyDescent="0.25">
      <c r="B43" s="24" t="s">
        <v>115</v>
      </c>
      <c r="C43" s="1">
        <f>C40*C41*(1-C42)</f>
        <v>862575</v>
      </c>
    </row>
    <row r="44" spans="1:9" x14ac:dyDescent="0.25">
      <c r="B44" s="24" t="s">
        <v>116</v>
      </c>
      <c r="C44" s="41">
        <f>(C43-J30)*C27</f>
        <v>14874.487722926813</v>
      </c>
    </row>
    <row r="45" spans="1:9" x14ac:dyDescent="0.25">
      <c r="B45" s="24" t="s">
        <v>117</v>
      </c>
      <c r="C45" s="41">
        <f>C44*24</f>
        <v>356987.70535024349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6" zoomScale="70" zoomScaleNormal="70" workbookViewId="0">
      <selection activeCell="C27" sqref="C2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124</v>
      </c>
      <c r="F2" s="4" t="s">
        <v>125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162.39999999999978</v>
      </c>
      <c r="E3" s="11">
        <f>D3*C3</f>
        <v>1705.1999999999978</v>
      </c>
      <c r="F3" s="11">
        <f>E3*24</f>
        <v>40924.799999999945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64.959999999999908</v>
      </c>
      <c r="E4" s="11">
        <f t="shared" ref="E4:E10" si="0">D4*C4</f>
        <v>58463.99999999992</v>
      </c>
      <c r="F4" s="11">
        <f t="shared" ref="F4:F10" si="1">E4*24</f>
        <v>1403135.9999999981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81.199999999999889</v>
      </c>
      <c r="E5" s="11">
        <f t="shared" si="0"/>
        <v>1502.199999999998</v>
      </c>
      <c r="F5" s="11">
        <f t="shared" si="1"/>
        <v>36052.799999999952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7.9219512195121844</v>
      </c>
      <c r="E6" s="11">
        <f t="shared" si="0"/>
        <v>24687.968780487772</v>
      </c>
      <c r="F6" s="11">
        <f t="shared" si="1"/>
        <v>592511.2507317065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4.3570731707317014</v>
      </c>
      <c r="E7" s="11">
        <f t="shared" si="0"/>
        <v>42272.32390243897</v>
      </c>
      <c r="F7" s="11">
        <f t="shared" si="1"/>
        <v>1014535.7736585352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0.39609756097560922</v>
      </c>
      <c r="E8" s="11">
        <f t="shared" si="0"/>
        <v>2206.2634146341434</v>
      </c>
      <c r="F8" s="11">
        <f t="shared" si="1"/>
        <v>52950.321951219441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1.9804878048780461</v>
      </c>
      <c r="E9" s="11">
        <f t="shared" si="0"/>
        <v>1079.3658536585351</v>
      </c>
      <c r="F9" s="11">
        <f t="shared" si="1"/>
        <v>25904.780487804841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0.79219512195121844</v>
      </c>
      <c r="E10" s="11">
        <f t="shared" si="0"/>
        <v>1370.4975609756079</v>
      </c>
      <c r="F10" s="11">
        <f t="shared" si="1"/>
        <v>32891.941463414594</v>
      </c>
      <c r="G10" s="4"/>
    </row>
    <row r="11" spans="1:13" x14ac:dyDescent="0.25">
      <c r="A11" s="4"/>
      <c r="B11" s="4"/>
      <c r="C11" s="4"/>
      <c r="D11" s="4"/>
      <c r="E11" s="27">
        <f>SUM(E3:E10)</f>
        <v>133287.81951219495</v>
      </c>
      <c r="F11" s="27">
        <f>SUM(F3:F10)</f>
        <v>3198907.6682926784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126</v>
      </c>
      <c r="D16" s="24" t="s">
        <v>4</v>
      </c>
      <c r="E16" s="24" t="s">
        <v>84</v>
      </c>
      <c r="F16" s="24" t="s">
        <v>129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8.1199999999999886</v>
      </c>
      <c r="D18" s="28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27.999999999999961</v>
      </c>
      <c r="J18" s="27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9</v>
      </c>
      <c r="H19" s="39" t="s">
        <v>103</v>
      </c>
      <c r="I19" s="39">
        <f>I18/G19</f>
        <v>3.1111111111111067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110</v>
      </c>
      <c r="I20" s="39">
        <f>I19*G19</f>
        <v>27.999999999999961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0.19804878048780461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$I$2*G22</f>
        <v>70.33</v>
      </c>
      <c r="I22">
        <f>C22/F22</f>
        <v>0.11859208412443391</v>
      </c>
      <c r="J22" s="27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0.19804878048780461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0.60014781966001396</v>
      </c>
      <c r="J23" s="27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0.71873990378444785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110</v>
      </c>
      <c r="I25" s="39">
        <f>I24*G24</f>
        <v>0.71873990378444785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0.19804878048780461</v>
      </c>
      <c r="D27" s="28" t="s">
        <v>48</v>
      </c>
      <c r="E27" s="24">
        <f>J22+J23</f>
        <v>773415.82799999998</v>
      </c>
      <c r="F27" s="24">
        <v>0.24</v>
      </c>
      <c r="G27" s="24">
        <v>3170.85</v>
      </c>
      <c r="H27" s="24">
        <f>$I$2*G27</f>
        <v>634.17000000000007</v>
      </c>
      <c r="I27">
        <f>C27/F27</f>
        <v>0.82520325203251921</v>
      </c>
      <c r="J27" s="27">
        <f>E27+G27+H27</f>
        <v>777220.848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8" t="s">
        <v>102</v>
      </c>
      <c r="G28" s="40">
        <v>1</v>
      </c>
      <c r="H28" s="39" t="s">
        <v>103</v>
      </c>
      <c r="I28" s="39">
        <f>I27/G28</f>
        <v>0.82520325203251921</v>
      </c>
      <c r="K28" t="s">
        <v>128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9" t="s">
        <v>110</v>
      </c>
      <c r="I29" s="39">
        <f>I28*G28</f>
        <v>0.82520325203251921</v>
      </c>
      <c r="K29" s="4"/>
      <c r="L29" s="4"/>
      <c r="M29" s="4"/>
    </row>
    <row r="30" spans="1:13" x14ac:dyDescent="0.25">
      <c r="A30" s="29" t="s">
        <v>118</v>
      </c>
      <c r="B30" s="29"/>
      <c r="C30" s="29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120</v>
      </c>
      <c r="B31" s="12">
        <v>10</v>
      </c>
      <c r="C31" s="24"/>
      <c r="D31" s="28" t="s">
        <v>119</v>
      </c>
      <c r="E31" s="24">
        <f>J27</f>
        <v>777220.848</v>
      </c>
      <c r="F31" s="24">
        <v>4</v>
      </c>
      <c r="G31" s="42">
        <f>518*B31*(128/(2^(B31-1)))</f>
        <v>1295</v>
      </c>
      <c r="H31" s="24">
        <f>G31*I2</f>
        <v>259</v>
      </c>
      <c r="I31">
        <f>C27/F31</f>
        <v>4.9512195121951152E-2</v>
      </c>
      <c r="J31" s="27">
        <f>E31+G31+H31</f>
        <v>778774.848</v>
      </c>
      <c r="K31" t="s">
        <v>127</v>
      </c>
    </row>
    <row r="32" spans="1:13" x14ac:dyDescent="0.25">
      <c r="A32" s="24"/>
      <c r="B32" s="24"/>
      <c r="C32" s="24"/>
      <c r="D32" s="26"/>
      <c r="E32" s="4"/>
      <c r="F32" s="38"/>
      <c r="G32" s="38"/>
      <c r="H32" s="39"/>
      <c r="I32" s="39"/>
    </row>
    <row r="33" spans="1:9" x14ac:dyDescent="0.25">
      <c r="A33" s="24"/>
      <c r="B33" s="24"/>
      <c r="C33" s="24"/>
      <c r="D33" s="26"/>
      <c r="E33" s="4"/>
      <c r="G33" s="4"/>
      <c r="H33" s="39"/>
      <c r="I33" s="39"/>
    </row>
    <row r="34" spans="1:9" x14ac:dyDescent="0.25">
      <c r="A34" s="24"/>
      <c r="B34" s="24" t="s">
        <v>111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107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130</v>
      </c>
      <c r="C36" s="24">
        <f>24*C27</f>
        <v>4.7531707317073106</v>
      </c>
      <c r="D36" s="24"/>
      <c r="E36" s="24"/>
      <c r="I36" s="1"/>
    </row>
    <row r="37" spans="1:9" x14ac:dyDescent="0.25">
      <c r="A37" s="24"/>
      <c r="B37" s="24" t="s">
        <v>108</v>
      </c>
      <c r="C37" s="27">
        <f>(C35-J27)*C27</f>
        <v>14413.822298536566</v>
      </c>
      <c r="D37" s="24"/>
      <c r="E37" s="24"/>
      <c r="I37" s="1"/>
    </row>
    <row r="38" spans="1:9" x14ac:dyDescent="0.25">
      <c r="A38" s="24"/>
      <c r="B38" s="24" t="s">
        <v>109</v>
      </c>
      <c r="C38" s="27">
        <f>C37*24</f>
        <v>345931.73516487761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112</v>
      </c>
      <c r="C40" s="24"/>
      <c r="D40" s="24"/>
      <c r="E40" s="24"/>
    </row>
    <row r="41" spans="1:9" x14ac:dyDescent="0.25">
      <c r="A41" s="24"/>
      <c r="B41" s="24" t="s">
        <v>107</v>
      </c>
      <c r="C41" s="12">
        <v>318</v>
      </c>
      <c r="D41" s="24"/>
      <c r="E41" s="24"/>
    </row>
    <row r="42" spans="1:9" x14ac:dyDescent="0.25">
      <c r="A42" s="24"/>
      <c r="B42" s="24" t="s">
        <v>113</v>
      </c>
      <c r="C42" s="24">
        <v>2800</v>
      </c>
      <c r="D42" s="24"/>
      <c r="E42" s="24"/>
    </row>
    <row r="43" spans="1:9" x14ac:dyDescent="0.25">
      <c r="A43" s="24"/>
      <c r="B43" s="24" t="s">
        <v>114</v>
      </c>
      <c r="C43" s="24">
        <f>(0.5)^(B27+1)</f>
        <v>3.125E-2</v>
      </c>
      <c r="D43" s="24"/>
      <c r="E43" s="24"/>
    </row>
    <row r="44" spans="1:9" x14ac:dyDescent="0.25">
      <c r="B44" s="24" t="s">
        <v>115</v>
      </c>
      <c r="C44" s="1">
        <f>C41*C42*(1-C43)</f>
        <v>862575</v>
      </c>
    </row>
    <row r="45" spans="1:9" x14ac:dyDescent="0.25">
      <c r="B45" s="24" t="s">
        <v>116</v>
      </c>
      <c r="C45" s="41">
        <f>(C44-J31)*C27</f>
        <v>16596.517908292662</v>
      </c>
    </row>
    <row r="46" spans="1:9" x14ac:dyDescent="0.25">
      <c r="B46" s="24" t="s">
        <v>117</v>
      </c>
      <c r="C46" s="41">
        <f>C45*24</f>
        <v>398316.4297990239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2021-04-10T22:13:08Z</dcterms:modified>
</cp:coreProperties>
</file>