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SimCompanies\"/>
    </mc:Choice>
  </mc:AlternateContent>
  <bookViews>
    <workbookView xWindow="0" yWindow="0" windowWidth="20490" windowHeight="7650" activeTab="4"/>
  </bookViews>
  <sheets>
    <sheet name="All of them" sheetId="12" r:id="rId1"/>
    <sheet name="Jumbo jet" sheetId="8" r:id="rId2"/>
    <sheet name="Luxury jet" sheetId="7" r:id="rId3"/>
    <sheet name="s. Engine" sheetId="11" r:id="rId4"/>
    <sheet name="BFRs" sheetId="9" r:id="rId5"/>
    <sheet name="SORs" sheetId="5" r:id="rId6"/>
    <sheet name="Rocket Engines" sheetId="1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9" l="1"/>
  <c r="I32" i="9"/>
  <c r="I31" i="9"/>
  <c r="I26" i="9"/>
  <c r="I25" i="9"/>
  <c r="I24" i="9"/>
  <c r="B14" i="13"/>
  <c r="C4" i="13"/>
  <c r="C3" i="13"/>
  <c r="C5" i="13"/>
  <c r="D4" i="13" l="1"/>
  <c r="E4" i="13" s="1"/>
  <c r="D3" i="13"/>
  <c r="E3" i="13" s="1"/>
  <c r="D5" i="13"/>
  <c r="E5" i="13" s="1"/>
  <c r="G10" i="13"/>
  <c r="D10" i="13"/>
  <c r="H10" i="13" s="1"/>
  <c r="B15" i="13" s="1"/>
  <c r="B16" i="13" s="1"/>
  <c r="B20" i="13" s="1"/>
  <c r="E6" i="13" l="1"/>
  <c r="K24" i="11"/>
  <c r="K25" i="11"/>
  <c r="K28" i="11"/>
  <c r="K31" i="11"/>
  <c r="K34" i="11"/>
  <c r="K36" i="11"/>
  <c r="J25" i="11"/>
  <c r="J24" i="11"/>
  <c r="J28" i="11"/>
  <c r="J31" i="11"/>
  <c r="J34" i="11"/>
  <c r="K24" i="7"/>
  <c r="K25" i="7"/>
  <c r="K28" i="7"/>
  <c r="K31" i="7"/>
  <c r="K34" i="7"/>
  <c r="K36" i="7"/>
  <c r="J34" i="7"/>
  <c r="J31" i="7"/>
  <c r="J28" i="7"/>
  <c r="J25" i="7"/>
  <c r="J24" i="7"/>
  <c r="K31" i="8"/>
  <c r="K25" i="8"/>
  <c r="K28" i="8"/>
  <c r="K34" i="8"/>
  <c r="K24" i="8"/>
  <c r="K36" i="8"/>
  <c r="J34" i="8"/>
  <c r="J31" i="8"/>
  <c r="J28" i="8"/>
  <c r="J25" i="8"/>
  <c r="J24" i="8"/>
  <c r="K25" i="9" l="1"/>
  <c r="L31" i="5" l="1"/>
  <c r="L35" i="5"/>
  <c r="L38" i="5"/>
  <c r="L27" i="5"/>
  <c r="K35" i="9"/>
  <c r="L36" i="9" s="1"/>
  <c r="L39" i="9"/>
  <c r="L33" i="9"/>
  <c r="L29" i="9"/>
  <c r="K32" i="9"/>
  <c r="K31" i="9"/>
  <c r="K26" i="9"/>
  <c r="K24" i="9"/>
  <c r="K28" i="9"/>
  <c r="K27" i="9"/>
  <c r="K38" i="9"/>
  <c r="J30" i="5"/>
  <c r="J29" i="5"/>
  <c r="K31" i="5" s="1"/>
  <c r="K40" i="5" s="1"/>
  <c r="J34" i="5"/>
  <c r="J33" i="5"/>
  <c r="K35" i="5" s="1"/>
  <c r="J25" i="5"/>
  <c r="J24" i="5"/>
  <c r="J26" i="5"/>
  <c r="K38" i="5"/>
  <c r="J37" i="5"/>
  <c r="G52" i="12"/>
  <c r="G51" i="12"/>
  <c r="G50" i="12"/>
  <c r="G47" i="12"/>
  <c r="G46" i="12"/>
  <c r="G43" i="12"/>
  <c r="H43" i="12" s="1"/>
  <c r="D43" i="12"/>
  <c r="G42" i="12"/>
  <c r="D42" i="12"/>
  <c r="H42" i="12" s="1"/>
  <c r="G41" i="12"/>
  <c r="D41" i="12"/>
  <c r="H41" i="12" s="1"/>
  <c r="H40" i="12"/>
  <c r="G40" i="12"/>
  <c r="D40" i="12"/>
  <c r="G39" i="12"/>
  <c r="H39" i="12" s="1"/>
  <c r="D39" i="12"/>
  <c r="G36" i="12"/>
  <c r="G35" i="12"/>
  <c r="D35" i="12"/>
  <c r="H35" i="12" s="1"/>
  <c r="H34" i="12"/>
  <c r="G34" i="12"/>
  <c r="D34" i="12"/>
  <c r="G33" i="12"/>
  <c r="H33" i="12" s="1"/>
  <c r="D36" i="12" s="1"/>
  <c r="H36" i="12" s="1"/>
  <c r="D33" i="12"/>
  <c r="G30" i="12"/>
  <c r="G29" i="12"/>
  <c r="G28" i="12"/>
  <c r="G27" i="12"/>
  <c r="H27" i="12" s="1"/>
  <c r="D27" i="12"/>
  <c r="G26" i="12"/>
  <c r="D26" i="12"/>
  <c r="H26" i="12" s="1"/>
  <c r="G25" i="12"/>
  <c r="D25" i="12"/>
  <c r="H25" i="12" s="1"/>
  <c r="H24" i="12"/>
  <c r="D51" i="12" s="1"/>
  <c r="H51" i="12" s="1"/>
  <c r="G24" i="12"/>
  <c r="D24" i="12"/>
  <c r="L41" i="9" l="1"/>
  <c r="M36" i="9"/>
  <c r="K27" i="5"/>
  <c r="D30" i="12"/>
  <c r="H30" i="12" s="1"/>
  <c r="D50" i="12"/>
  <c r="H50" i="12" s="1"/>
  <c r="D29" i="12"/>
  <c r="H29" i="12" s="1"/>
  <c r="D47" i="12" s="1"/>
  <c r="H47" i="12" s="1"/>
  <c r="D28" i="12"/>
  <c r="H28" i="12" s="1"/>
  <c r="D46" i="12" s="1"/>
  <c r="H46" i="12" s="1"/>
  <c r="D52" i="12"/>
  <c r="H52" i="12" s="1"/>
  <c r="G34" i="11"/>
  <c r="G31" i="11"/>
  <c r="D31" i="11"/>
  <c r="G28" i="11"/>
  <c r="D28" i="11"/>
  <c r="G25" i="11"/>
  <c r="D25" i="11"/>
  <c r="G24" i="11"/>
  <c r="D24" i="11"/>
  <c r="H24" i="11" s="1"/>
  <c r="G38" i="9"/>
  <c r="G35" i="9"/>
  <c r="D35" i="9"/>
  <c r="G32" i="9"/>
  <c r="D32" i="9"/>
  <c r="G31" i="9"/>
  <c r="D31" i="9"/>
  <c r="G28" i="9"/>
  <c r="G27" i="9"/>
  <c r="G26" i="9"/>
  <c r="D26" i="9"/>
  <c r="G25" i="9"/>
  <c r="D25" i="9"/>
  <c r="G24" i="9"/>
  <c r="D24" i="9"/>
  <c r="G34" i="8"/>
  <c r="G31" i="8"/>
  <c r="D31" i="8"/>
  <c r="G28" i="8"/>
  <c r="D28" i="8"/>
  <c r="G25" i="8"/>
  <c r="D25" i="8"/>
  <c r="G24" i="8"/>
  <c r="D24" i="8"/>
  <c r="G34" i="7"/>
  <c r="G31" i="7"/>
  <c r="D31" i="7"/>
  <c r="H31" i="7" s="1"/>
  <c r="G28" i="7"/>
  <c r="D28" i="7"/>
  <c r="G25" i="7"/>
  <c r="D25" i="7"/>
  <c r="G24" i="7"/>
  <c r="D24" i="7"/>
  <c r="M33" i="9" l="1"/>
  <c r="M39" i="9"/>
  <c r="M29" i="9"/>
  <c r="H28" i="11"/>
  <c r="H25" i="11"/>
  <c r="H31" i="11"/>
  <c r="H28" i="7"/>
  <c r="H25" i="7"/>
  <c r="H24" i="7"/>
  <c r="D34" i="7" s="1"/>
  <c r="H34" i="7" s="1"/>
  <c r="H25" i="8"/>
  <c r="H28" i="8"/>
  <c r="H24" i="8"/>
  <c r="H31" i="8"/>
  <c r="H24" i="9"/>
  <c r="H25" i="9"/>
  <c r="H31" i="9"/>
  <c r="H32" i="9"/>
  <c r="H35" i="9"/>
  <c r="H26" i="9"/>
  <c r="D34" i="5"/>
  <c r="D33" i="5"/>
  <c r="D30" i="5"/>
  <c r="D29" i="5"/>
  <c r="D25" i="5"/>
  <c r="D24" i="5"/>
  <c r="G29" i="5"/>
  <c r="G30" i="5"/>
  <c r="G33" i="5"/>
  <c r="G34" i="5"/>
  <c r="G37" i="5"/>
  <c r="G25" i="5"/>
  <c r="G26" i="5"/>
  <c r="G24" i="5"/>
  <c r="D34" i="11" l="1"/>
  <c r="H34" i="11" s="1"/>
  <c r="D34" i="8"/>
  <c r="H34" i="8" s="1"/>
  <c r="D27" i="9"/>
  <c r="H27" i="9" s="1"/>
  <c r="D28" i="9"/>
  <c r="H28" i="9" s="1"/>
  <c r="H33" i="5"/>
  <c r="H30" i="5"/>
  <c r="H34" i="5"/>
  <c r="H29" i="5"/>
  <c r="H24" i="5"/>
  <c r="H25" i="5"/>
  <c r="D38" i="9" l="1"/>
  <c r="H38" i="9" s="1"/>
  <c r="D26" i="5"/>
  <c r="H26" i="5" s="1"/>
  <c r="D37" i="5" s="1"/>
  <c r="H37" i="5" s="1"/>
</calcChain>
</file>

<file path=xl/sharedStrings.xml><?xml version="1.0" encoding="utf-8"?>
<sst xmlns="http://schemas.openxmlformats.org/spreadsheetml/2006/main" count="320" uniqueCount="98">
  <si>
    <t>Carbon composite</t>
  </si>
  <si>
    <t xml:space="preserve">RAW MATERIAL </t>
  </si>
  <si>
    <t>MARKET PRICE</t>
  </si>
  <si>
    <t xml:space="preserve">AEROSPACE FACTORY </t>
  </si>
  <si>
    <t>REQUIREMENTS</t>
  </si>
  <si>
    <t>Fuselage</t>
  </si>
  <si>
    <t>UNITS PER HOUR</t>
  </si>
  <si>
    <t>UNIT WORKER COST</t>
  </si>
  <si>
    <t>UNIT ADMIN COST</t>
  </si>
  <si>
    <t>ADMIN OVERHEAD</t>
  </si>
  <si>
    <t>Aluminium</t>
  </si>
  <si>
    <t>Wing</t>
  </si>
  <si>
    <t>30*Carbon composite + 5 Aluminium</t>
  </si>
  <si>
    <t>Propellant tank</t>
  </si>
  <si>
    <t>TRANSPORT UNITS</t>
  </si>
  <si>
    <t>40*Carbon composite</t>
  </si>
  <si>
    <t>50 Aluminium + 250 Rocket fuel</t>
  </si>
  <si>
    <t>Rocket fuel</t>
  </si>
  <si>
    <t>Heat shield</t>
  </si>
  <si>
    <t>20 Steel + 30 Silicon</t>
  </si>
  <si>
    <t>Sub orbital  2nd stage</t>
  </si>
  <si>
    <t xml:space="preserve">8 Fuselage + 2 Propellant tank + 2 Flight computer + 4 Ion drive + 2 Attitude control </t>
  </si>
  <si>
    <t xml:space="preserve">40 Fuselage + 16 Propellant tank + 34 Rocket engine </t>
  </si>
  <si>
    <t>Starship</t>
  </si>
  <si>
    <t>Orbital booster</t>
  </si>
  <si>
    <t>2 Cockpit + 10 Heat shield + 4 Attitude control + 6 Propellant tank + 7 Rocket engine</t>
  </si>
  <si>
    <t>AEROSPACE ELECTRONICS</t>
  </si>
  <si>
    <t>Flight computer</t>
  </si>
  <si>
    <t>4 High grade e-comps + 2 On-board computer</t>
  </si>
  <si>
    <t>Cockpit</t>
  </si>
  <si>
    <t>4 High grade e comps + 8 Displays + 1 basic interior</t>
  </si>
  <si>
    <t>Attitude control</t>
  </si>
  <si>
    <t xml:space="preserve">3 Steel + 5 batteries + 3 electric motor </t>
  </si>
  <si>
    <t>Satellite</t>
  </si>
  <si>
    <t xml:space="preserve">8 High grade e-comps + 4 flight computer + 1 ion drive + 2 Attitude control </t>
  </si>
  <si>
    <t>PROPULSION FACTORY</t>
  </si>
  <si>
    <t>Solid fuel booster</t>
  </si>
  <si>
    <t xml:space="preserve">30 Aluminium + 100 Rocket fuel + 50 Chemicals </t>
  </si>
  <si>
    <t>Rocket engine</t>
  </si>
  <si>
    <t>20 Steel + 8 High grade e-comps + 10 Aluminium</t>
  </si>
  <si>
    <t>Ion drive</t>
  </si>
  <si>
    <t xml:space="preserve">8 High grade e-comps + 30 Batteries + 15 Chemicals </t>
  </si>
  <si>
    <t>Jet engine</t>
  </si>
  <si>
    <t>4 High grade e-comps + 5 Aluminium</t>
  </si>
  <si>
    <t>VERTICAL INTEGRATION FACILITY</t>
  </si>
  <si>
    <t>Sub-orbital rocket</t>
  </si>
  <si>
    <t>1 Solid fuel booster + 1 Sub-orbital 2nd stage</t>
  </si>
  <si>
    <t>BFR</t>
  </si>
  <si>
    <t>1 Orbital booster + 1 Starship</t>
  </si>
  <si>
    <t>HANGAR</t>
  </si>
  <si>
    <t>Jumbo jet</t>
  </si>
  <si>
    <t>40 Fuselage + 10 Wing + 2 Cockpit + 140 Basic interior + 4 Jet engine</t>
  </si>
  <si>
    <t>Luxury jet</t>
  </si>
  <si>
    <t xml:space="preserve">14 Fuselage + 2 Wing + 1 Cockpit + 2 Golden bars + 2 Jet engine </t>
  </si>
  <si>
    <t xml:space="preserve">Single engine plane </t>
  </si>
  <si>
    <t xml:space="preserve">TOTAL COST </t>
  </si>
  <si>
    <t>Basic interior</t>
  </si>
  <si>
    <t>Golden bars</t>
  </si>
  <si>
    <t>Steel</t>
  </si>
  <si>
    <t>Silicon</t>
  </si>
  <si>
    <t>High grade e-comps</t>
  </si>
  <si>
    <t>On-board computer</t>
  </si>
  <si>
    <t>Displays</t>
  </si>
  <si>
    <t>Batteries</t>
  </si>
  <si>
    <t>Electric motor</t>
  </si>
  <si>
    <t>Chemicals</t>
  </si>
  <si>
    <t>Combustion engine</t>
  </si>
  <si>
    <t>6 Steel + 5 Chemicals + 5 Electronic components</t>
  </si>
  <si>
    <t>Electronic components</t>
  </si>
  <si>
    <t>8 Fuselage + 2 Wing + 1 Cockpit + 1 Combustion engine</t>
  </si>
  <si>
    <t>In order to become an Aerospacial supplier/ retailer</t>
  </si>
  <si>
    <t xml:space="preserve">required labor hours </t>
  </si>
  <si>
    <t>required hours aerospace factory</t>
  </si>
  <si>
    <t>required vertical integration facilities</t>
  </si>
  <si>
    <t>required hours propulsion</t>
  </si>
  <si>
    <t>required hours aerospace electronics</t>
  </si>
  <si>
    <t>total hours vertical integration</t>
  </si>
  <si>
    <t>total hours propulsion factory</t>
  </si>
  <si>
    <t>total hours aerospace factory</t>
  </si>
  <si>
    <t>total hours aerospace electronics</t>
  </si>
  <si>
    <t xml:space="preserve">total hours </t>
  </si>
  <si>
    <t>labor times in building</t>
  </si>
  <si>
    <t xml:space="preserve">proportional labor times </t>
  </si>
  <si>
    <t>(141,450 per lvl)</t>
  </si>
  <si>
    <t>(103,500 per lvl)</t>
  </si>
  <si>
    <t>(106,059 per lvl)</t>
  </si>
  <si>
    <t>(113,850 per lvl)</t>
  </si>
  <si>
    <t>total required hours</t>
  </si>
  <si>
    <t>Market price</t>
  </si>
  <si>
    <t xml:space="preserve">Market price - comission </t>
  </si>
  <si>
    <t>earning per rocket</t>
  </si>
  <si>
    <t>earning per hour</t>
  </si>
  <si>
    <t>UNIT RESOURCES COSTS</t>
  </si>
  <si>
    <t>Buildings total level</t>
  </si>
  <si>
    <t xml:space="preserve">Total earning daily </t>
  </si>
  <si>
    <t>DAILY NEEDS</t>
  </si>
  <si>
    <t>HOUR NEEDS</t>
  </si>
  <si>
    <t>REQUIRED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</si>
</sst>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1" fillId="0" borderId="1" xfId="0" applyFont="1" applyFill="1" applyBorder="1"/>
    <xf numFmtId="0" fontId="1" fillId="4" borderId="1" xfId="0" applyFont="1" applyFill="1" applyBorder="1"/>
    <xf numFmtId="0" fontId="2" fillId="3" borderId="1" xfId="0" applyFont="1" applyFill="1" applyBorder="1"/>
    <xf numFmtId="0" fontId="0" fillId="5" borderId="1" xfId="0" applyFill="1" applyBorder="1"/>
    <xf numFmtId="0" fontId="0" fillId="0" borderId="2" xfId="0" applyFill="1" applyBorder="1"/>
    <xf numFmtId="0" fontId="0" fillId="0" borderId="0" xfId="0" applyFill="1"/>
    <xf numFmtId="0" fontId="1" fillId="0" borderId="0" xfId="0" applyFont="1"/>
    <xf numFmtId="0" fontId="0" fillId="0" borderId="3" xfId="0" applyBorder="1"/>
    <xf numFmtId="0" fontId="0" fillId="4" borderId="1" xfId="0" applyFill="1" applyBorder="1"/>
    <xf numFmtId="0" fontId="0" fillId="0" borderId="0" xfId="0" applyBorder="1"/>
    <xf numFmtId="0" fontId="1" fillId="0" borderId="0" xfId="0" applyFont="1" applyBorder="1"/>
    <xf numFmtId="0" fontId="1" fillId="0" borderId="3" xfId="0" applyFont="1" applyBorder="1"/>
    <xf numFmtId="0" fontId="0" fillId="6" borderId="1" xfId="0" applyFill="1" applyBorder="1"/>
    <xf numFmtId="0" fontId="0" fillId="7" borderId="1" xfId="0" applyFill="1" applyBorder="1"/>
    <xf numFmtId="0" fontId="0" fillId="6" borderId="0" xfId="0" applyFill="1"/>
    <xf numFmtId="0" fontId="0" fillId="8" borderId="1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 applyBorder="1"/>
    <xf numFmtId="0" fontId="0" fillId="2" borderId="0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6" borderId="10" xfId="0" applyFill="1" applyBorder="1"/>
    <xf numFmtId="0" fontId="0" fillId="0" borderId="11" xfId="0" applyBorder="1"/>
    <xf numFmtId="0" fontId="0" fillId="2" borderId="3" xfId="0" applyFill="1" applyBorder="1"/>
    <xf numFmtId="0" fontId="0" fillId="6" borderId="3" xfId="0" applyFill="1" applyBorder="1"/>
    <xf numFmtId="0" fontId="0" fillId="6" borderId="12" xfId="0" applyFill="1" applyBorder="1"/>
    <xf numFmtId="0" fontId="0" fillId="0" borderId="8" xfId="0" applyFill="1" applyBorder="1"/>
    <xf numFmtId="0" fontId="1" fillId="0" borderId="9" xfId="0" applyFont="1" applyFill="1" applyBorder="1"/>
    <xf numFmtId="0" fontId="0" fillId="0" borderId="10" xfId="0" applyBorder="1"/>
    <xf numFmtId="0" fontId="0" fillId="0" borderId="11" xfId="0" applyFill="1" applyBorder="1"/>
    <xf numFmtId="0" fontId="0" fillId="0" borderId="3" xfId="0" applyFill="1" applyBorder="1"/>
    <xf numFmtId="0" fontId="0" fillId="0" borderId="3" xfId="0" quotePrefix="1" applyBorder="1"/>
    <xf numFmtId="0" fontId="0" fillId="2" borderId="8" xfId="0" applyFill="1" applyBorder="1"/>
    <xf numFmtId="0" fontId="0" fillId="11" borderId="0" xfId="0" applyFill="1"/>
    <xf numFmtId="0" fontId="0" fillId="11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topLeftCell="A33" zoomScale="70" zoomScaleNormal="70" workbookViewId="0">
      <selection activeCell="H62" sqref="H62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8" x14ac:dyDescent="0.25">
      <c r="A22" s="11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8" x14ac:dyDescent="0.25">
      <c r="A23" s="7" t="s">
        <v>3</v>
      </c>
      <c r="B23" s="1"/>
      <c r="C23" s="1"/>
      <c r="D23" s="1"/>
      <c r="E23" s="1"/>
      <c r="F23" s="1"/>
      <c r="G23" s="1"/>
    </row>
    <row r="24" spans="1:8" x14ac:dyDescent="0.25">
      <c r="A24" s="5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30" si="0">$E$2*F24</f>
        <v>46.065888000000001</v>
      </c>
      <c r="H24">
        <f>D24+F24+G24</f>
        <v>2845.9058880000002</v>
      </c>
    </row>
    <row r="25" spans="1:8" x14ac:dyDescent="0.25">
      <c r="A25" s="5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52" si="1">D25+F25+G25</f>
        <v>2158.8875840000001</v>
      </c>
    </row>
    <row r="26" spans="1:8" x14ac:dyDescent="0.25">
      <c r="A26" s="5" t="s">
        <v>13</v>
      </c>
      <c r="B26" s="5">
        <v>1</v>
      </c>
      <c r="C26" s="2" t="s">
        <v>16</v>
      </c>
      <c r="D26" s="1">
        <f>50*B4+250*B5</f>
        <v>9450</v>
      </c>
      <c r="E26" s="1">
        <v>5</v>
      </c>
      <c r="F26" s="1">
        <v>117.22</v>
      </c>
      <c r="G26" s="1">
        <f t="shared" si="0"/>
        <v>33.782803999999999</v>
      </c>
      <c r="H26">
        <f t="shared" si="1"/>
        <v>9601.0028039999997</v>
      </c>
    </row>
    <row r="27" spans="1:8" x14ac:dyDescent="0.25">
      <c r="A27" s="5" t="s">
        <v>18</v>
      </c>
      <c r="B27" s="1">
        <v>1</v>
      </c>
      <c r="C27" s="2" t="s">
        <v>19</v>
      </c>
      <c r="D27" s="1">
        <f>20*B8+30*B9</f>
        <v>454</v>
      </c>
      <c r="E27" s="1">
        <v>13.34</v>
      </c>
      <c r="F27" s="1">
        <v>43.96</v>
      </c>
      <c r="G27" s="1">
        <f t="shared" si="0"/>
        <v>12.669272000000001</v>
      </c>
      <c r="H27">
        <f t="shared" si="1"/>
        <v>510.62927199999996</v>
      </c>
    </row>
    <row r="28" spans="1:8" x14ac:dyDescent="0.25">
      <c r="A28" s="5" t="s">
        <v>20</v>
      </c>
      <c r="B28" s="1">
        <v>20</v>
      </c>
      <c r="C28" s="2" t="s">
        <v>21</v>
      </c>
      <c r="D28" s="1">
        <f>8*H24+2*H26+2*H33+4*H41+2*H35</f>
        <v>100316.59010000002</v>
      </c>
      <c r="E28" s="1">
        <v>3.34</v>
      </c>
      <c r="F28" s="1">
        <v>175.82</v>
      </c>
      <c r="G28" s="1">
        <f t="shared" si="0"/>
        <v>50.671323999999998</v>
      </c>
      <c r="H28">
        <f t="shared" si="1"/>
        <v>100543.08142400002</v>
      </c>
    </row>
    <row r="29" spans="1:8" x14ac:dyDescent="0.25">
      <c r="A29" s="5" t="s">
        <v>24</v>
      </c>
      <c r="B29" s="1">
        <v>100</v>
      </c>
      <c r="C29" s="2" t="s">
        <v>22</v>
      </c>
      <c r="D29" s="1">
        <f>40*H24+16*H26+34*H40</f>
        <v>618766.05109199998</v>
      </c>
      <c r="E29" s="1">
        <v>1.67</v>
      </c>
      <c r="F29" s="1">
        <v>351.65</v>
      </c>
      <c r="G29" s="1">
        <f t="shared" si="0"/>
        <v>101.34553</v>
      </c>
      <c r="H29">
        <f t="shared" si="1"/>
        <v>619219.04662200005</v>
      </c>
    </row>
    <row r="30" spans="1:8" x14ac:dyDescent="0.25">
      <c r="A30" s="5" t="s">
        <v>23</v>
      </c>
      <c r="B30" s="1">
        <v>100</v>
      </c>
      <c r="C30" s="2" t="s">
        <v>25</v>
      </c>
      <c r="D30" s="1">
        <f>2*H34+10*H27+4*H35+6*H26+7*H40</f>
        <v>151183.570198</v>
      </c>
      <c r="E30" s="1">
        <v>0.33</v>
      </c>
      <c r="F30" s="1">
        <v>1758.23</v>
      </c>
      <c r="G30" s="1">
        <f t="shared" si="0"/>
        <v>506.72188600000004</v>
      </c>
      <c r="H30">
        <f t="shared" si="1"/>
        <v>153448.52208400003</v>
      </c>
    </row>
    <row r="31" spans="1:8" x14ac:dyDescent="0.25">
      <c r="A31" s="5"/>
      <c r="B31" s="1"/>
      <c r="C31" s="1"/>
      <c r="D31" s="1"/>
      <c r="E31" s="1"/>
      <c r="F31" s="1"/>
      <c r="G31" s="1"/>
    </row>
    <row r="32" spans="1:8" x14ac:dyDescent="0.25">
      <c r="A32" s="7" t="s">
        <v>26</v>
      </c>
      <c r="B32" s="1"/>
      <c r="C32" s="1"/>
      <c r="D32" s="1"/>
      <c r="E32" s="1"/>
      <c r="F32" s="1"/>
      <c r="G32" s="1"/>
    </row>
    <row r="33" spans="1:8" x14ac:dyDescent="0.25">
      <c r="A33" s="5" t="s">
        <v>27</v>
      </c>
      <c r="B33" s="1">
        <v>1</v>
      </c>
      <c r="C33" s="2" t="s">
        <v>28</v>
      </c>
      <c r="D33" s="1">
        <f>4*B10+2*B11</f>
        <v>4596</v>
      </c>
      <c r="E33" s="1">
        <v>2.56</v>
      </c>
      <c r="F33" s="1">
        <v>283.24</v>
      </c>
      <c r="G33" s="1">
        <f>$E$2*F33</f>
        <v>81.629768000000013</v>
      </c>
      <c r="H33">
        <f t="shared" si="1"/>
        <v>4960.8697679999996</v>
      </c>
    </row>
    <row r="34" spans="1:8" x14ac:dyDescent="0.25">
      <c r="A34" s="5" t="s">
        <v>29</v>
      </c>
      <c r="B34" s="1">
        <v>1</v>
      </c>
      <c r="C34" s="2" t="s">
        <v>30</v>
      </c>
      <c r="D34" s="1">
        <f>4*B10+8*B12+B6</f>
        <v>4922</v>
      </c>
      <c r="E34" s="1">
        <v>2.56</v>
      </c>
      <c r="F34" s="1">
        <v>283.24</v>
      </c>
      <c r="G34" s="1">
        <f>$E$2*F34</f>
        <v>81.629768000000013</v>
      </c>
      <c r="H34">
        <f t="shared" si="1"/>
        <v>5286.8697679999996</v>
      </c>
    </row>
    <row r="35" spans="1:8" x14ac:dyDescent="0.25">
      <c r="A35" s="5" t="s">
        <v>31</v>
      </c>
      <c r="B35" s="1">
        <v>1</v>
      </c>
      <c r="C35" s="2" t="s">
        <v>32</v>
      </c>
      <c r="D35" s="1">
        <f>3*B8+5*B13+3*B14</f>
        <v>1088</v>
      </c>
      <c r="E35" s="1">
        <v>3.07</v>
      </c>
      <c r="F35" s="1">
        <v>236.03</v>
      </c>
      <c r="G35" s="1">
        <f>$E$2*F35</f>
        <v>68.023846000000006</v>
      </c>
      <c r="H35">
        <f t="shared" si="1"/>
        <v>1392.053846</v>
      </c>
    </row>
    <row r="36" spans="1:8" x14ac:dyDescent="0.25">
      <c r="A36" s="5" t="s">
        <v>33</v>
      </c>
      <c r="B36" s="1">
        <v>10</v>
      </c>
      <c r="C36" s="2" t="s">
        <v>34</v>
      </c>
      <c r="D36" s="1">
        <f>8*B10+4*H33+H41+2*H35</f>
        <v>41397.959303999996</v>
      </c>
      <c r="E36" s="1">
        <v>0.13</v>
      </c>
      <c r="F36" s="1">
        <v>5664.7</v>
      </c>
      <c r="G36" s="1">
        <f>$E$2*F36</f>
        <v>1632.56654</v>
      </c>
      <c r="H36">
        <f t="shared" si="1"/>
        <v>48695.225843999993</v>
      </c>
    </row>
    <row r="37" spans="1:8" x14ac:dyDescent="0.25">
      <c r="A37" s="5"/>
      <c r="B37" s="1"/>
      <c r="C37" s="1"/>
      <c r="D37" s="1"/>
      <c r="E37" s="1"/>
      <c r="F37" s="1"/>
      <c r="G37" s="1"/>
    </row>
    <row r="38" spans="1:8" x14ac:dyDescent="0.25">
      <c r="A38" s="7" t="s">
        <v>35</v>
      </c>
      <c r="B38" s="1"/>
      <c r="C38" s="1"/>
      <c r="D38" s="1"/>
      <c r="E38" s="1"/>
      <c r="F38" s="1"/>
      <c r="G38" s="1"/>
    </row>
    <row r="39" spans="1:8" x14ac:dyDescent="0.25">
      <c r="A39" s="5" t="s">
        <v>36</v>
      </c>
      <c r="B39" s="1">
        <v>1</v>
      </c>
      <c r="C39" s="2" t="s">
        <v>37</v>
      </c>
      <c r="D39" s="1">
        <f>30*B4+100*B5+50*B15</f>
        <v>4700</v>
      </c>
      <c r="E39" s="1">
        <v>0.31</v>
      </c>
      <c r="F39" s="1">
        <v>1989.41</v>
      </c>
      <c r="G39" s="1">
        <f>$E$2*F39</f>
        <v>573.34796200000005</v>
      </c>
      <c r="H39">
        <f t="shared" si="1"/>
        <v>7262.7579619999997</v>
      </c>
    </row>
    <row r="40" spans="1:8" x14ac:dyDescent="0.25">
      <c r="A40" s="5" t="s">
        <v>38</v>
      </c>
      <c r="B40" s="1">
        <v>1</v>
      </c>
      <c r="C40" s="2" t="s">
        <v>39</v>
      </c>
      <c r="D40" s="1">
        <f>20*B8+8*B10+10*B4</f>
        <v>7770</v>
      </c>
      <c r="E40" s="1">
        <v>0.28999999999999998</v>
      </c>
      <c r="F40" s="1">
        <v>1989.41</v>
      </c>
      <c r="G40" s="1">
        <f>$E$2*F40</f>
        <v>573.34796200000005</v>
      </c>
      <c r="H40">
        <f t="shared" si="1"/>
        <v>10332.757962</v>
      </c>
    </row>
    <row r="41" spans="1:8" x14ac:dyDescent="0.25">
      <c r="A41" s="5" t="s">
        <v>40</v>
      </c>
      <c r="B41" s="1">
        <v>1</v>
      </c>
      <c r="C41" s="2" t="s">
        <v>41</v>
      </c>
      <c r="D41" s="1">
        <f>8*B10+30*B13+15*B15</f>
        <v>10129</v>
      </c>
      <c r="E41" s="1">
        <v>0.62</v>
      </c>
      <c r="F41" s="1">
        <v>994.7</v>
      </c>
      <c r="G41" s="1">
        <f>$E$2*F41</f>
        <v>286.67254000000003</v>
      </c>
      <c r="H41">
        <f t="shared" si="1"/>
        <v>11410.37254</v>
      </c>
    </row>
    <row r="42" spans="1:8" x14ac:dyDescent="0.25">
      <c r="A42" s="5" t="s">
        <v>42</v>
      </c>
      <c r="B42" s="1">
        <v>1</v>
      </c>
      <c r="C42" s="2" t="s">
        <v>43</v>
      </c>
      <c r="D42" s="1">
        <f>4*B10+5*B4</f>
        <v>3775</v>
      </c>
      <c r="E42" s="1">
        <v>0.94</v>
      </c>
      <c r="F42" s="1">
        <v>663.14</v>
      </c>
      <c r="G42" s="1">
        <f>$E$2*F42</f>
        <v>191.11694800000001</v>
      </c>
      <c r="H42">
        <f t="shared" si="1"/>
        <v>4629.2569480000002</v>
      </c>
    </row>
    <row r="43" spans="1:8" x14ac:dyDescent="0.25">
      <c r="A43" s="5" t="s">
        <v>66</v>
      </c>
      <c r="B43" s="1">
        <v>2</v>
      </c>
      <c r="C43" s="2" t="s">
        <v>67</v>
      </c>
      <c r="D43" s="1">
        <f>6*B8+5*B15+5*B16</f>
        <v>421.5</v>
      </c>
      <c r="E43" s="1">
        <v>6.24</v>
      </c>
      <c r="F43" s="1">
        <v>99.47</v>
      </c>
      <c r="G43" s="1">
        <f>$E$2*F43</f>
        <v>28.667254</v>
      </c>
      <c r="H43">
        <f t="shared" si="1"/>
        <v>549.63725399999998</v>
      </c>
    </row>
    <row r="44" spans="1:8" x14ac:dyDescent="0.25">
      <c r="A44" s="5"/>
      <c r="B44" s="1"/>
      <c r="C44" s="1"/>
      <c r="D44" s="1"/>
      <c r="E44" s="1"/>
      <c r="F44" s="1"/>
      <c r="G44" s="1"/>
    </row>
    <row r="45" spans="1:8" x14ac:dyDescent="0.25">
      <c r="A45" s="7" t="s">
        <v>44</v>
      </c>
      <c r="B45" s="1"/>
      <c r="C45" s="1"/>
      <c r="D45" s="1"/>
      <c r="E45" s="1"/>
      <c r="F45" s="1"/>
      <c r="G45" s="1"/>
    </row>
    <row r="46" spans="1:8" x14ac:dyDescent="0.25">
      <c r="A46" s="5" t="s">
        <v>45</v>
      </c>
      <c r="B46" s="1">
        <v>20</v>
      </c>
      <c r="C46" s="2" t="s">
        <v>46</v>
      </c>
      <c r="D46" s="1">
        <f>H39+H28</f>
        <v>107805.83938600002</v>
      </c>
      <c r="E46" s="1">
        <v>0.72</v>
      </c>
      <c r="F46" s="1">
        <v>1056.95</v>
      </c>
      <c r="G46" s="1">
        <f>$E$2*F46</f>
        <v>304.61299000000002</v>
      </c>
      <c r="H46">
        <f t="shared" si="1"/>
        <v>109167.40237600001</v>
      </c>
    </row>
    <row r="47" spans="1:8" x14ac:dyDescent="0.25">
      <c r="A47" s="5" t="s">
        <v>47</v>
      </c>
      <c r="B47" s="1">
        <v>2000</v>
      </c>
      <c r="C47" s="2" t="s">
        <v>48</v>
      </c>
      <c r="D47" s="1">
        <f>H29+H30</f>
        <v>772667.56870600011</v>
      </c>
      <c r="E47" s="1">
        <v>0.24</v>
      </c>
      <c r="F47" s="1">
        <v>3170.85</v>
      </c>
      <c r="G47" s="1">
        <f>$E$2*F47</f>
        <v>913.83897000000002</v>
      </c>
      <c r="H47">
        <f t="shared" si="1"/>
        <v>776752.25767600012</v>
      </c>
    </row>
    <row r="48" spans="1:8" x14ac:dyDescent="0.25">
      <c r="A48" s="5"/>
      <c r="B48" s="1"/>
      <c r="C48" s="1"/>
      <c r="D48" s="1"/>
      <c r="E48" s="1"/>
      <c r="F48" s="1"/>
      <c r="G48" s="1"/>
    </row>
    <row r="49" spans="1:8" x14ac:dyDescent="0.25">
      <c r="A49" s="7" t="s">
        <v>49</v>
      </c>
      <c r="B49" s="1"/>
      <c r="C49" s="1"/>
      <c r="D49" s="1"/>
      <c r="E49" s="1"/>
      <c r="F49" s="1"/>
      <c r="G49" s="1"/>
    </row>
    <row r="50" spans="1:8" x14ac:dyDescent="0.25">
      <c r="A50" s="5" t="s">
        <v>50</v>
      </c>
      <c r="B50" s="1">
        <v>2000</v>
      </c>
      <c r="C50" s="2" t="s">
        <v>51</v>
      </c>
      <c r="D50" s="1">
        <f>40*H24+10*H25+2*H34+140*B6+4*H42</f>
        <v>207355.87868800003</v>
      </c>
      <c r="E50" s="1">
        <v>7.0000000000000007E-2</v>
      </c>
      <c r="F50" s="1">
        <v>10569.51</v>
      </c>
      <c r="G50" s="1">
        <f>$E$2*F50</f>
        <v>3046.1327820000001</v>
      </c>
      <c r="H50">
        <f t="shared" si="1"/>
        <v>220971.52147000004</v>
      </c>
    </row>
    <row r="51" spans="1:8" x14ac:dyDescent="0.25">
      <c r="A51" s="5" t="s">
        <v>52</v>
      </c>
      <c r="B51" s="1">
        <v>1000</v>
      </c>
      <c r="C51" s="2" t="s">
        <v>53</v>
      </c>
      <c r="D51" s="1">
        <f>14*H24+2*H25+H34+2*B7+2*H42</f>
        <v>70705.841264000002</v>
      </c>
      <c r="E51" s="1">
        <v>0.19</v>
      </c>
      <c r="F51" s="1">
        <v>3963.57</v>
      </c>
      <c r="G51" s="1">
        <f>$E$2*F51</f>
        <v>1142.300874</v>
      </c>
      <c r="H51">
        <f t="shared" si="1"/>
        <v>75811.712138000003</v>
      </c>
    </row>
    <row r="52" spans="1:8" x14ac:dyDescent="0.25">
      <c r="A52" s="5" t="s">
        <v>54</v>
      </c>
      <c r="B52" s="5">
        <v>100</v>
      </c>
      <c r="C52" s="2" t="s">
        <v>69</v>
      </c>
      <c r="D52" s="1">
        <f>8*H24+2*H25+H34+H43</f>
        <v>32921.529294</v>
      </c>
      <c r="E52" s="1">
        <v>1.68</v>
      </c>
      <c r="F52" s="1">
        <v>452.98</v>
      </c>
      <c r="G52" s="1">
        <f>$E$2*F52</f>
        <v>130.54883600000002</v>
      </c>
      <c r="H52">
        <f t="shared" si="1"/>
        <v>33505.058130000005</v>
      </c>
    </row>
    <row r="53" spans="1:8" x14ac:dyDescent="0.25">
      <c r="A53" s="12"/>
    </row>
    <row r="54" spans="1:8" x14ac:dyDescent="0.25">
      <c r="A54" s="12"/>
    </row>
    <row r="55" spans="1:8" x14ac:dyDescent="0.25">
      <c r="A55" s="12"/>
    </row>
    <row r="56" spans="1:8" x14ac:dyDescent="0.25">
      <c r="A56" s="12"/>
    </row>
    <row r="57" spans="1:8" x14ac:dyDescent="0.25">
      <c r="A57" s="12"/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topLeftCell="A13" zoomScale="70" zoomScaleNormal="70" workbookViewId="0">
      <selection activeCell="N32" sqref="N32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25" t="s">
        <v>0</v>
      </c>
      <c r="B3" s="25">
        <v>66</v>
      </c>
    </row>
    <row r="4" spans="1:5" x14ac:dyDescent="0.25">
      <c r="A4" s="25" t="s">
        <v>10</v>
      </c>
      <c r="B4" s="25">
        <v>19</v>
      </c>
    </row>
    <row r="5" spans="1:5" x14ac:dyDescent="0.25">
      <c r="A5" t="s">
        <v>17</v>
      </c>
      <c r="B5">
        <v>34</v>
      </c>
    </row>
    <row r="6" spans="1:5" x14ac:dyDescent="0.25">
      <c r="A6" s="23" t="s">
        <v>56</v>
      </c>
      <c r="B6" s="23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25" t="s">
        <v>60</v>
      </c>
      <c r="B10" s="25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25" t="s">
        <v>62</v>
      </c>
      <c r="B12" s="25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11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11" x14ac:dyDescent="0.25">
      <c r="A23" s="4" t="s">
        <v>3</v>
      </c>
      <c r="B23" s="1"/>
      <c r="C23" s="1"/>
      <c r="D23" s="1"/>
      <c r="E23" s="1"/>
      <c r="F23" s="1"/>
      <c r="G23" s="1"/>
    </row>
    <row r="24" spans="1:11" x14ac:dyDescent="0.25">
      <c r="A24" s="22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25" si="0">$E$2*F24</f>
        <v>46.065888000000001</v>
      </c>
      <c r="H24">
        <f>D24+F24+G24</f>
        <v>2845.9058880000002</v>
      </c>
      <c r="J24">
        <f>40/E24</f>
        <v>10.899182561307903</v>
      </c>
      <c r="K24">
        <f>J24/$K$36</f>
        <v>0.3478683389014206</v>
      </c>
    </row>
    <row r="25" spans="1:11" x14ac:dyDescent="0.25">
      <c r="A25" s="22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34" si="1">D25+F25+G25</f>
        <v>2158.8875840000001</v>
      </c>
      <c r="J25">
        <f>10/E25</f>
        <v>1.1098779134295227</v>
      </c>
      <c r="K25">
        <f t="shared" ref="K25:K34" si="2">J25/$K$36</f>
        <v>3.5423884677253423E-2</v>
      </c>
    </row>
    <row r="26" spans="1:11" x14ac:dyDescent="0.25">
      <c r="A26" s="1"/>
      <c r="B26" s="1"/>
      <c r="C26" s="1"/>
      <c r="D26" s="1"/>
      <c r="E26" s="1"/>
      <c r="F26" s="1"/>
      <c r="G26" s="1"/>
    </row>
    <row r="27" spans="1:11" x14ac:dyDescent="0.25">
      <c r="A27" s="4" t="s">
        <v>26</v>
      </c>
      <c r="B27" s="1"/>
      <c r="C27" s="1"/>
      <c r="D27" s="1"/>
      <c r="E27" s="1"/>
      <c r="F27" s="1"/>
      <c r="G27" s="1"/>
    </row>
    <row r="28" spans="1:11" x14ac:dyDescent="0.25">
      <c r="A28" s="22" t="s">
        <v>29</v>
      </c>
      <c r="B28" s="1">
        <v>1</v>
      </c>
      <c r="C28" s="2" t="s">
        <v>30</v>
      </c>
      <c r="D28" s="1">
        <f>4*B10+8*B12+B6</f>
        <v>4922</v>
      </c>
      <c r="E28" s="1">
        <v>2.56</v>
      </c>
      <c r="F28" s="1">
        <v>283.24</v>
      </c>
      <c r="G28" s="1">
        <f>$E$2*F28</f>
        <v>81.629768000000013</v>
      </c>
      <c r="H28">
        <f t="shared" si="1"/>
        <v>5286.8697679999996</v>
      </c>
      <c r="J28">
        <f>2/E28</f>
        <v>0.78125</v>
      </c>
      <c r="K28">
        <f t="shared" si="2"/>
        <v>2.4935093823597921E-2</v>
      </c>
    </row>
    <row r="29" spans="1:11" x14ac:dyDescent="0.25">
      <c r="A29" s="1"/>
      <c r="B29" s="1"/>
      <c r="C29" s="1"/>
      <c r="D29" s="1"/>
      <c r="E29" s="1"/>
      <c r="F29" s="1"/>
      <c r="G29" s="1"/>
    </row>
    <row r="30" spans="1:11" x14ac:dyDescent="0.25">
      <c r="A30" s="4" t="s">
        <v>35</v>
      </c>
      <c r="B30" s="1"/>
      <c r="C30" s="1"/>
      <c r="D30" s="1"/>
      <c r="E30" s="1"/>
      <c r="F30" s="1"/>
      <c r="G30" s="1"/>
    </row>
    <row r="31" spans="1:11" x14ac:dyDescent="0.25">
      <c r="A31" s="22" t="s">
        <v>42</v>
      </c>
      <c r="B31" s="1">
        <v>1</v>
      </c>
      <c r="C31" s="2" t="s">
        <v>43</v>
      </c>
      <c r="D31" s="1">
        <f>4*B10+5*B4</f>
        <v>3775</v>
      </c>
      <c r="E31" s="1">
        <v>0.94</v>
      </c>
      <c r="F31" s="1">
        <v>663.14</v>
      </c>
      <c r="G31" s="1">
        <f>$E$2*F31</f>
        <v>191.11694800000001</v>
      </c>
      <c r="H31">
        <f t="shared" si="1"/>
        <v>4629.2569480000002</v>
      </c>
      <c r="J31">
        <f>4/E31</f>
        <v>4.2553191489361701</v>
      </c>
      <c r="K31">
        <f t="shared" si="2"/>
        <v>0.1358166812519376</v>
      </c>
    </row>
    <row r="32" spans="1:11" x14ac:dyDescent="0.25">
      <c r="A32" s="1"/>
      <c r="B32" s="1"/>
      <c r="C32" s="1"/>
      <c r="D32" s="1"/>
      <c r="E32" s="1"/>
      <c r="F32" s="1"/>
      <c r="G32" s="1"/>
    </row>
    <row r="33" spans="1:11" x14ac:dyDescent="0.25">
      <c r="A33" s="4" t="s">
        <v>49</v>
      </c>
      <c r="B33" s="1"/>
      <c r="C33" s="1"/>
      <c r="D33" s="1"/>
      <c r="E33" s="1"/>
      <c r="F33" s="1"/>
      <c r="G33" s="1"/>
    </row>
    <row r="34" spans="1:11" x14ac:dyDescent="0.25">
      <c r="A34" s="15" t="s">
        <v>50</v>
      </c>
      <c r="B34" s="1">
        <v>2000</v>
      </c>
      <c r="C34" s="2" t="s">
        <v>51</v>
      </c>
      <c r="D34" s="1">
        <f>40*H24+10*H25+2*H28+140*B6+4*H31</f>
        <v>207355.87868800003</v>
      </c>
      <c r="E34" s="1">
        <v>7.0000000000000007E-2</v>
      </c>
      <c r="F34" s="1">
        <v>10569.51</v>
      </c>
      <c r="G34" s="1">
        <f>$E$2*F34</f>
        <v>3046.1327820000001</v>
      </c>
      <c r="H34">
        <f t="shared" si="1"/>
        <v>220971.52147000004</v>
      </c>
      <c r="J34">
        <f>1/E34</f>
        <v>14.285714285714285</v>
      </c>
      <c r="K34">
        <f t="shared" si="2"/>
        <v>0.45595600134579051</v>
      </c>
    </row>
    <row r="36" spans="1:11" x14ac:dyDescent="0.25">
      <c r="J36" t="s">
        <v>87</v>
      </c>
      <c r="K36">
        <f>SUM(J34,J31,J28,J24,J25)</f>
        <v>31.331343909387879</v>
      </c>
    </row>
  </sheetData>
  <conditionalFormatting sqref="H24:H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{D2C358B2-F5A8-46A3-9023-69603AEC16D0}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C358B2-F5A8-46A3-9023-69603AEC1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topLeftCell="A21" zoomScale="70" zoomScaleNormal="70" workbookViewId="0">
      <selection activeCell="N36" sqref="N36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24" t="s">
        <v>0</v>
      </c>
      <c r="B3" s="24">
        <v>66</v>
      </c>
    </row>
    <row r="4" spans="1:5" x14ac:dyDescent="0.25">
      <c r="A4" s="24" t="s">
        <v>10</v>
      </c>
      <c r="B4" s="24">
        <v>19</v>
      </c>
    </row>
    <row r="5" spans="1:5" x14ac:dyDescent="0.25">
      <c r="A5" t="s">
        <v>17</v>
      </c>
      <c r="B5">
        <v>34</v>
      </c>
    </row>
    <row r="6" spans="1:5" x14ac:dyDescent="0.25">
      <c r="A6" s="24" t="s">
        <v>56</v>
      </c>
      <c r="B6" s="24">
        <v>306</v>
      </c>
      <c r="D6" t="s">
        <v>70</v>
      </c>
    </row>
    <row r="7" spans="1:5" x14ac:dyDescent="0.25">
      <c r="A7" s="23" t="s">
        <v>57</v>
      </c>
      <c r="B7" s="23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24" t="s">
        <v>60</v>
      </c>
      <c r="B10" s="24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24" t="s">
        <v>62</v>
      </c>
      <c r="B12" s="24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11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11" x14ac:dyDescent="0.25">
      <c r="A23" s="4" t="s">
        <v>3</v>
      </c>
      <c r="B23" s="1"/>
      <c r="C23" s="1"/>
      <c r="D23" s="1"/>
      <c r="E23" s="1"/>
      <c r="F23" s="1"/>
      <c r="G23" s="1"/>
    </row>
    <row r="24" spans="1:11" x14ac:dyDescent="0.25">
      <c r="A24" s="22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25" si="0">$E$2*F24</f>
        <v>46.065888000000001</v>
      </c>
      <c r="H24">
        <f>D24+F24+G24</f>
        <v>2845.9058880000002</v>
      </c>
      <c r="J24">
        <f>14/E24</f>
        <v>3.8147138964577656</v>
      </c>
      <c r="K24">
        <f t="shared" ref="K24:K31" si="1">J24/$K$36</f>
        <v>0.32278484561943088</v>
      </c>
    </row>
    <row r="25" spans="1:11" x14ac:dyDescent="0.25">
      <c r="A25" s="22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34" si="2">D25+F25+G25</f>
        <v>2158.8875840000001</v>
      </c>
      <c r="J25">
        <f>2/E25</f>
        <v>0.22197558268590456</v>
      </c>
      <c r="K25">
        <f t="shared" si="1"/>
        <v>1.8782628562284943E-2</v>
      </c>
    </row>
    <row r="26" spans="1:11" x14ac:dyDescent="0.25">
      <c r="A26" s="1"/>
      <c r="B26" s="1"/>
      <c r="C26" s="1"/>
      <c r="D26" s="1"/>
      <c r="E26" s="1"/>
      <c r="F26" s="1"/>
      <c r="G26" s="1"/>
    </row>
    <row r="27" spans="1:11" x14ac:dyDescent="0.25">
      <c r="A27" s="4" t="s">
        <v>26</v>
      </c>
      <c r="B27" s="1"/>
      <c r="C27" s="1"/>
      <c r="D27" s="1"/>
      <c r="E27" s="1"/>
      <c r="F27" s="1"/>
      <c r="G27" s="1"/>
    </row>
    <row r="28" spans="1:11" x14ac:dyDescent="0.25">
      <c r="A28" s="22" t="s">
        <v>29</v>
      </c>
      <c r="B28" s="1">
        <v>1</v>
      </c>
      <c r="C28" s="2" t="s">
        <v>30</v>
      </c>
      <c r="D28" s="1">
        <f>4*B10+8*B12+B6</f>
        <v>4922</v>
      </c>
      <c r="E28" s="1">
        <v>2.56</v>
      </c>
      <c r="F28" s="1">
        <v>283.24</v>
      </c>
      <c r="G28" s="1">
        <f>$E$2*F28</f>
        <v>81.629768000000013</v>
      </c>
      <c r="H28">
        <f t="shared" si="2"/>
        <v>5286.8697679999996</v>
      </c>
      <c r="J28">
        <f>1/E28</f>
        <v>0.390625</v>
      </c>
      <c r="K28">
        <f t="shared" si="1"/>
        <v>3.3053024091052215E-2</v>
      </c>
    </row>
    <row r="29" spans="1:11" x14ac:dyDescent="0.25">
      <c r="A29" s="1"/>
      <c r="B29" s="1"/>
      <c r="C29" s="1"/>
      <c r="D29" s="1"/>
      <c r="E29" s="1"/>
      <c r="F29" s="1"/>
      <c r="G29" s="1"/>
    </row>
    <row r="30" spans="1:11" x14ac:dyDescent="0.25">
      <c r="A30" s="4" t="s">
        <v>35</v>
      </c>
      <c r="B30" s="1"/>
      <c r="C30" s="1"/>
      <c r="D30" s="1"/>
      <c r="E30" s="1"/>
      <c r="F30" s="1"/>
      <c r="G30" s="1"/>
    </row>
    <row r="31" spans="1:11" x14ac:dyDescent="0.25">
      <c r="A31" s="22" t="s">
        <v>42</v>
      </c>
      <c r="B31" s="1">
        <v>1</v>
      </c>
      <c r="C31" s="2" t="s">
        <v>43</v>
      </c>
      <c r="D31" s="1">
        <f>4*B10+5*B4</f>
        <v>3775</v>
      </c>
      <c r="E31" s="1">
        <v>0.94</v>
      </c>
      <c r="F31" s="1">
        <v>663.14</v>
      </c>
      <c r="G31" s="1">
        <f>$E$2*F31</f>
        <v>191.11694800000001</v>
      </c>
      <c r="H31">
        <f t="shared" si="2"/>
        <v>4629.2569480000002</v>
      </c>
      <c r="J31">
        <f>2/E31</f>
        <v>2.1276595744680851</v>
      </c>
      <c r="K31">
        <f t="shared" si="1"/>
        <v>0.18003349292147589</v>
      </c>
    </row>
    <row r="32" spans="1:11" x14ac:dyDescent="0.25">
      <c r="A32" s="1"/>
      <c r="B32" s="1"/>
      <c r="C32" s="1"/>
      <c r="D32" s="1"/>
      <c r="E32" s="1"/>
      <c r="F32" s="1"/>
      <c r="G32" s="1"/>
    </row>
    <row r="33" spans="1:11" x14ac:dyDescent="0.25">
      <c r="A33" s="4" t="s">
        <v>49</v>
      </c>
      <c r="B33" s="1"/>
      <c r="C33" s="1"/>
      <c r="D33" s="1"/>
      <c r="E33" s="1"/>
      <c r="F33" s="1"/>
      <c r="G33" s="1"/>
    </row>
    <row r="34" spans="1:11" x14ac:dyDescent="0.25">
      <c r="A34" s="15" t="s">
        <v>52</v>
      </c>
      <c r="B34" s="1">
        <v>1000</v>
      </c>
      <c r="C34" s="2" t="s">
        <v>53</v>
      </c>
      <c r="D34" s="1">
        <f>14*H24+2*H25+H28+2*B7+2*H31</f>
        <v>70705.841264000002</v>
      </c>
      <c r="E34" s="1">
        <v>0.19</v>
      </c>
      <c r="F34" s="1">
        <v>3963.57</v>
      </c>
      <c r="G34" s="1">
        <f>$E$2*F34</f>
        <v>1142.300874</v>
      </c>
      <c r="H34">
        <f t="shared" si="2"/>
        <v>75811.712138000003</v>
      </c>
      <c r="J34">
        <f>1/E34</f>
        <v>5.2631578947368425</v>
      </c>
      <c r="K34">
        <f>J34/$K$36</f>
        <v>0.44534600880575614</v>
      </c>
    </row>
    <row r="36" spans="1:11" x14ac:dyDescent="0.25">
      <c r="J36" t="s">
        <v>87</v>
      </c>
      <c r="K36">
        <f>SUM(J24:J34)</f>
        <v>11.818131948348597</v>
      </c>
    </row>
  </sheetData>
  <conditionalFormatting sqref="H24:H3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{0378624B-AEF5-4105-A7B1-2A5211CACD1F}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78624B-AEF5-4105-A7B1-2A5211CAC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topLeftCell="A13" zoomScale="70" zoomScaleNormal="70" workbookViewId="0">
      <selection activeCell="L38" sqref="L3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24" t="s">
        <v>0</v>
      </c>
      <c r="B3">
        <v>66</v>
      </c>
    </row>
    <row r="4" spans="1:5" x14ac:dyDescent="0.25">
      <c r="A4" s="2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s="24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s="24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24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24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24" t="s">
        <v>65</v>
      </c>
      <c r="B15">
        <v>14.6</v>
      </c>
    </row>
    <row r="16" spans="1:5" x14ac:dyDescent="0.25">
      <c r="A16" s="24" t="s">
        <v>68</v>
      </c>
      <c r="B16">
        <v>56.5</v>
      </c>
    </row>
    <row r="22" spans="1:11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11" x14ac:dyDescent="0.25">
      <c r="A23" s="4" t="s">
        <v>3</v>
      </c>
      <c r="B23" s="1"/>
      <c r="C23" s="1"/>
      <c r="D23" s="1"/>
      <c r="E23" s="1"/>
      <c r="F23" s="1"/>
      <c r="G23" s="1"/>
    </row>
    <row r="24" spans="1:11" x14ac:dyDescent="0.25">
      <c r="A24" s="22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25" si="0">$E$2*F24</f>
        <v>46.065888000000001</v>
      </c>
      <c r="H24">
        <f>D24+F24+G24</f>
        <v>2845.9058880000002</v>
      </c>
      <c r="J24">
        <f>8/E24</f>
        <v>2.1798365122615806</v>
      </c>
      <c r="K24">
        <f t="shared" ref="K24:K31" si="1">J24/$K$36</f>
        <v>0.46680175492536063</v>
      </c>
    </row>
    <row r="25" spans="1:11" x14ac:dyDescent="0.25">
      <c r="A25" s="22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34" si="2">D25+F25+G25</f>
        <v>2158.8875840000001</v>
      </c>
      <c r="J25">
        <f>2/E25</f>
        <v>0.22197558268590456</v>
      </c>
      <c r="K25">
        <f t="shared" si="1"/>
        <v>4.7535028872810033E-2</v>
      </c>
    </row>
    <row r="26" spans="1:11" x14ac:dyDescent="0.25">
      <c r="A26" s="1"/>
      <c r="B26" s="1"/>
      <c r="C26" s="1"/>
      <c r="D26" s="1"/>
      <c r="E26" s="1"/>
      <c r="F26" s="1"/>
      <c r="G26" s="1"/>
    </row>
    <row r="27" spans="1:11" x14ac:dyDescent="0.25">
      <c r="A27" s="4" t="s">
        <v>26</v>
      </c>
      <c r="B27" s="1"/>
      <c r="C27" s="1"/>
      <c r="D27" s="1"/>
      <c r="E27" s="1"/>
      <c r="F27" s="1"/>
      <c r="G27" s="1"/>
    </row>
    <row r="28" spans="1:11" x14ac:dyDescent="0.25">
      <c r="A28" s="22" t="s">
        <v>29</v>
      </c>
      <c r="B28" s="1">
        <v>1</v>
      </c>
      <c r="C28" s="2" t="s">
        <v>30</v>
      </c>
      <c r="D28" s="1">
        <f>4*B10+8*B12+B6</f>
        <v>4922</v>
      </c>
      <c r="E28" s="1">
        <v>2.56</v>
      </c>
      <c r="F28" s="1">
        <v>283.24</v>
      </c>
      <c r="G28" s="1">
        <f>$E$2*F28</f>
        <v>81.629768000000013</v>
      </c>
      <c r="H28">
        <f t="shared" si="2"/>
        <v>5286.8697679999996</v>
      </c>
      <c r="J28">
        <f>1/E28</f>
        <v>0.390625</v>
      </c>
      <c r="K28">
        <f t="shared" si="1"/>
        <v>8.3650509793753589E-2</v>
      </c>
    </row>
    <row r="29" spans="1:11" x14ac:dyDescent="0.25">
      <c r="A29" s="1"/>
      <c r="B29" s="1"/>
      <c r="C29" s="1"/>
      <c r="D29" s="1"/>
      <c r="E29" s="1"/>
      <c r="F29" s="1"/>
      <c r="G29" s="1"/>
    </row>
    <row r="30" spans="1:11" x14ac:dyDescent="0.25">
      <c r="A30" s="4" t="s">
        <v>35</v>
      </c>
      <c r="B30" s="1"/>
      <c r="C30" s="1"/>
      <c r="D30" s="1"/>
      <c r="E30" s="1"/>
      <c r="F30" s="1"/>
      <c r="G30" s="1"/>
    </row>
    <row r="31" spans="1:11" x14ac:dyDescent="0.25">
      <c r="A31" s="22" t="s">
        <v>66</v>
      </c>
      <c r="B31" s="1">
        <v>2</v>
      </c>
      <c r="C31" s="2" t="s">
        <v>67</v>
      </c>
      <c r="D31" s="1">
        <f>6*B8+5*B15+5*B16</f>
        <v>421.5</v>
      </c>
      <c r="E31" s="1">
        <v>6.24</v>
      </c>
      <c r="F31" s="1">
        <v>99.47</v>
      </c>
      <c r="G31" s="1">
        <f>$E$2*F31</f>
        <v>28.667254</v>
      </c>
      <c r="H31">
        <f t="shared" si="2"/>
        <v>549.63725399999998</v>
      </c>
      <c r="J31">
        <f>8/E31</f>
        <v>1.2820512820512819</v>
      </c>
      <c r="K31">
        <f t="shared" si="1"/>
        <v>0.27454526291283227</v>
      </c>
    </row>
    <row r="32" spans="1:11" x14ac:dyDescent="0.25">
      <c r="A32" s="1"/>
      <c r="B32" s="1"/>
      <c r="C32" s="1"/>
      <c r="D32" s="1"/>
      <c r="E32" s="1"/>
      <c r="F32" s="1"/>
      <c r="G32" s="1"/>
    </row>
    <row r="33" spans="1:11" x14ac:dyDescent="0.25">
      <c r="A33" s="4" t="s">
        <v>49</v>
      </c>
      <c r="B33" s="1"/>
      <c r="C33" s="1"/>
      <c r="D33" s="1"/>
      <c r="E33" s="1"/>
      <c r="F33" s="1"/>
      <c r="G33" s="1"/>
    </row>
    <row r="34" spans="1:11" x14ac:dyDescent="0.25">
      <c r="A34" s="15" t="s">
        <v>54</v>
      </c>
      <c r="B34" s="5">
        <v>100</v>
      </c>
      <c r="C34" s="2" t="s">
        <v>69</v>
      </c>
      <c r="D34" s="1">
        <f>8*H24+2*H25+H28+H31</f>
        <v>32921.529294</v>
      </c>
      <c r="E34" s="1">
        <v>1.68</v>
      </c>
      <c r="F34" s="1">
        <v>452.98</v>
      </c>
      <c r="G34" s="1">
        <f>$E$2*F34</f>
        <v>130.54883600000002</v>
      </c>
      <c r="H34">
        <f t="shared" si="2"/>
        <v>33505.058130000005</v>
      </c>
      <c r="J34">
        <f>1/E34</f>
        <v>0.59523809523809523</v>
      </c>
      <c r="K34">
        <f>J34/$K$36</f>
        <v>0.12746744349524355</v>
      </c>
    </row>
    <row r="36" spans="1:11" x14ac:dyDescent="0.25">
      <c r="J36" t="s">
        <v>87</v>
      </c>
      <c r="K36">
        <f>SUM(J24:J34)</f>
        <v>4.6697264722368619</v>
      </c>
    </row>
  </sheetData>
  <conditionalFormatting sqref="H24:H3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{3023A3B1-1E3A-4261-8A5F-8D1DC20D5A93}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23A3B1-1E3A-4261-8A5F-8D1DC20D5A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1"/>
  <sheetViews>
    <sheetView tabSelected="1" topLeftCell="A12" zoomScale="70" zoomScaleNormal="70" workbookViewId="0">
      <selection activeCell="I27" sqref="I27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  <col min="8" max="8" width="14.85546875" bestFit="1" customWidth="1"/>
    <col min="9" max="9" width="14.85546875" customWidth="1"/>
    <col min="11" max="11" width="40.5703125" bestFit="1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18.5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10.5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830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13" x14ac:dyDescent="0.25">
      <c r="A22" s="11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  <c r="I22" s="5" t="s">
        <v>97</v>
      </c>
    </row>
    <row r="23" spans="1:13" x14ac:dyDescent="0.25">
      <c r="A23" s="7" t="s">
        <v>3</v>
      </c>
      <c r="B23" s="1" t="s">
        <v>85</v>
      </c>
      <c r="C23" s="1"/>
      <c r="D23" s="1"/>
      <c r="E23" s="1"/>
      <c r="F23" s="1"/>
      <c r="G23" s="1"/>
    </row>
    <row r="24" spans="1:13" x14ac:dyDescent="0.25">
      <c r="A24" s="19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28" si="0">$E$2*F24</f>
        <v>46.065888000000001</v>
      </c>
      <c r="H24">
        <f>D24+F24+G24</f>
        <v>2845.9058880000002</v>
      </c>
      <c r="I24">
        <f>H24*40</f>
        <v>113836.23552000002</v>
      </c>
      <c r="K24">
        <f>1/E24*40</f>
        <v>10.899182561307903</v>
      </c>
    </row>
    <row r="25" spans="1:13" x14ac:dyDescent="0.25">
      <c r="A25" s="19" t="s">
        <v>13</v>
      </c>
      <c r="B25" s="20">
        <v>1</v>
      </c>
      <c r="C25" s="2" t="s">
        <v>16</v>
      </c>
      <c r="D25" s="1">
        <f>50*B4+250*B5</f>
        <v>9425</v>
      </c>
      <c r="E25" s="1">
        <v>5</v>
      </c>
      <c r="F25" s="1">
        <v>117.22</v>
      </c>
      <c r="G25" s="1">
        <f t="shared" si="0"/>
        <v>33.782803999999999</v>
      </c>
      <c r="H25">
        <f t="shared" ref="H25:H38" si="1">D25+F25+G25</f>
        <v>9576.0028039999997</v>
      </c>
      <c r="I25">
        <f>H25*(16+6)</f>
        <v>210672.06168799999</v>
      </c>
      <c r="K25">
        <f>1/E25*(16+6)</f>
        <v>4.4000000000000004</v>
      </c>
    </row>
    <row r="26" spans="1:13" x14ac:dyDescent="0.25">
      <c r="A26" s="20" t="s">
        <v>18</v>
      </c>
      <c r="B26" s="1">
        <v>1</v>
      </c>
      <c r="C26" s="2" t="s">
        <v>19</v>
      </c>
      <c r="D26" s="1">
        <f>20*B8+30*B9</f>
        <v>444</v>
      </c>
      <c r="E26" s="1">
        <v>13.34</v>
      </c>
      <c r="F26" s="1">
        <v>43.96</v>
      </c>
      <c r="G26" s="1">
        <f t="shared" si="0"/>
        <v>12.669272000000001</v>
      </c>
      <c r="H26">
        <f t="shared" si="1"/>
        <v>500.62927199999996</v>
      </c>
      <c r="I26">
        <f>H26*10</f>
        <v>5006.2927199999995</v>
      </c>
      <c r="K26">
        <f>1/E26*10</f>
        <v>0.74962518740629691</v>
      </c>
      <c r="M26" s="16"/>
    </row>
    <row r="27" spans="1:13" x14ac:dyDescent="0.25">
      <c r="A27" s="6" t="s">
        <v>24</v>
      </c>
      <c r="B27" s="1">
        <v>100</v>
      </c>
      <c r="C27" s="2" t="s">
        <v>22</v>
      </c>
      <c r="D27" s="1">
        <f>40*H24+16*H25+34*H35</f>
        <v>593376.05109199998</v>
      </c>
      <c r="E27" s="1">
        <v>1.67</v>
      </c>
      <c r="F27" s="1">
        <v>351.65</v>
      </c>
      <c r="G27" s="1">
        <f t="shared" si="0"/>
        <v>101.34553</v>
      </c>
      <c r="H27">
        <f t="shared" si="1"/>
        <v>593829.04662200005</v>
      </c>
      <c r="K27">
        <f>1/E27</f>
        <v>0.5988023952095809</v>
      </c>
      <c r="M27" s="16"/>
    </row>
    <row r="28" spans="1:13" x14ac:dyDescent="0.25">
      <c r="A28" s="10" t="s">
        <v>23</v>
      </c>
      <c r="B28" s="1">
        <v>100</v>
      </c>
      <c r="C28" s="2" t="s">
        <v>25</v>
      </c>
      <c r="D28" s="1">
        <f>2*H31+10*H26+4*H32+6*H25+7*H35</f>
        <v>145062.570198</v>
      </c>
      <c r="E28" s="1">
        <v>0.33</v>
      </c>
      <c r="F28" s="1">
        <v>1758.23</v>
      </c>
      <c r="G28" s="1">
        <f t="shared" si="0"/>
        <v>506.72188600000004</v>
      </c>
      <c r="H28">
        <f t="shared" si="1"/>
        <v>147327.52208400003</v>
      </c>
      <c r="K28" s="14">
        <f>1/E28</f>
        <v>3.0303030303030303</v>
      </c>
      <c r="L28" s="14"/>
      <c r="M28" s="16"/>
    </row>
    <row r="29" spans="1:13" x14ac:dyDescent="0.25">
      <c r="A29" s="5"/>
      <c r="B29" s="1"/>
      <c r="C29" s="1"/>
      <c r="D29" s="1"/>
      <c r="E29" s="1"/>
      <c r="F29" s="1"/>
      <c r="G29" s="1"/>
      <c r="K29" s="13" t="s">
        <v>78</v>
      </c>
      <c r="L29" s="16">
        <f>SUM(K24:K28)</f>
        <v>19.677913174226813</v>
      </c>
      <c r="M29">
        <f>L29/$L$41</f>
        <v>0.11761484646053975</v>
      </c>
    </row>
    <row r="30" spans="1:13" x14ac:dyDescent="0.25">
      <c r="A30" s="7" t="s">
        <v>26</v>
      </c>
      <c r="B30" s="1" t="s">
        <v>83</v>
      </c>
      <c r="C30" s="1"/>
      <c r="D30" s="1"/>
      <c r="E30" s="1"/>
      <c r="F30" s="1"/>
      <c r="G30" s="1"/>
      <c r="L30" s="17"/>
    </row>
    <row r="31" spans="1:13" x14ac:dyDescent="0.25">
      <c r="A31" s="20" t="s">
        <v>29</v>
      </c>
      <c r="B31" s="1">
        <v>1</v>
      </c>
      <c r="C31" s="2" t="s">
        <v>30</v>
      </c>
      <c r="D31" s="1">
        <f>4*B10+8*B12+B6</f>
        <v>4562</v>
      </c>
      <c r="E31" s="1">
        <v>2.56</v>
      </c>
      <c r="F31" s="1">
        <v>283.24</v>
      </c>
      <c r="G31" s="1">
        <f>$E$2*F31</f>
        <v>81.629768000000013</v>
      </c>
      <c r="H31">
        <f t="shared" si="1"/>
        <v>4926.8697679999996</v>
      </c>
      <c r="I31">
        <f>H31*2</f>
        <v>9853.7395359999991</v>
      </c>
      <c r="K31">
        <f>1/E31*2</f>
        <v>0.78125</v>
      </c>
      <c r="L31" s="16"/>
    </row>
    <row r="32" spans="1:13" x14ac:dyDescent="0.25">
      <c r="A32" s="20" t="s">
        <v>31</v>
      </c>
      <c r="B32" s="1">
        <v>1</v>
      </c>
      <c r="C32" s="2" t="s">
        <v>32</v>
      </c>
      <c r="D32" s="1">
        <f>3*B8+5*B13+3*B14</f>
        <v>1086.5</v>
      </c>
      <c r="E32" s="1">
        <v>3.07</v>
      </c>
      <c r="F32" s="1">
        <v>236.03</v>
      </c>
      <c r="G32" s="1">
        <f>$E$2*F32</f>
        <v>68.023846000000006</v>
      </c>
      <c r="H32">
        <f t="shared" si="1"/>
        <v>1390.553846</v>
      </c>
      <c r="I32">
        <f>H32*4</f>
        <v>5562.2153840000001</v>
      </c>
      <c r="K32" s="14">
        <f>1/E32*4</f>
        <v>1.3029315960912053</v>
      </c>
      <c r="L32" s="14"/>
    </row>
    <row r="33" spans="1:13" x14ac:dyDescent="0.25">
      <c r="A33" s="5"/>
      <c r="B33" s="1"/>
      <c r="C33" s="1"/>
      <c r="D33" s="1"/>
      <c r="E33" s="1"/>
      <c r="F33" s="1"/>
      <c r="G33" s="1"/>
      <c r="K33" s="13" t="s">
        <v>79</v>
      </c>
      <c r="L33" s="16">
        <f>SUM(K31:K32)</f>
        <v>2.0841815960912053</v>
      </c>
      <c r="M33">
        <f t="shared" ref="M33:M39" si="2">L33/$L$41</f>
        <v>1.2457149101623755E-2</v>
      </c>
    </row>
    <row r="34" spans="1:13" x14ac:dyDescent="0.25">
      <c r="A34" s="7" t="s">
        <v>35</v>
      </c>
      <c r="B34" s="1" t="s">
        <v>84</v>
      </c>
      <c r="C34" s="1"/>
      <c r="D34" s="1"/>
      <c r="E34" s="1"/>
      <c r="F34" s="1"/>
      <c r="G34" s="1"/>
      <c r="L34" s="16"/>
    </row>
    <row r="35" spans="1:13" x14ac:dyDescent="0.25">
      <c r="A35" s="19" t="s">
        <v>38</v>
      </c>
      <c r="B35" s="20">
        <v>1</v>
      </c>
      <c r="C35" s="2" t="s">
        <v>39</v>
      </c>
      <c r="D35" s="1">
        <f>20*B8+8*B10+10*B4</f>
        <v>7035</v>
      </c>
      <c r="E35" s="1">
        <v>0.28999999999999998</v>
      </c>
      <c r="F35" s="1">
        <v>1989.41</v>
      </c>
      <c r="G35" s="1">
        <f>$E$2*F35</f>
        <v>573.34796200000005</v>
      </c>
      <c r="H35">
        <f t="shared" si="1"/>
        <v>9597.7579619999997</v>
      </c>
      <c r="I35">
        <f>H35*(34+7)</f>
        <v>393508.07644199999</v>
      </c>
      <c r="K35" s="14">
        <f>1/E35*(34+7)</f>
        <v>141.37931034482759</v>
      </c>
      <c r="L35" s="18"/>
    </row>
    <row r="36" spans="1:13" x14ac:dyDescent="0.25">
      <c r="A36" s="5"/>
      <c r="B36" s="1"/>
      <c r="C36" s="1"/>
      <c r="D36" s="1"/>
      <c r="E36" s="1"/>
      <c r="F36" s="1"/>
      <c r="G36" s="1"/>
      <c r="K36" s="13" t="s">
        <v>77</v>
      </c>
      <c r="L36">
        <f>SUM(K35)</f>
        <v>141.37931034482759</v>
      </c>
      <c r="M36">
        <f t="shared" si="2"/>
        <v>0.84502384636409789</v>
      </c>
    </row>
    <row r="37" spans="1:13" x14ac:dyDescent="0.25">
      <c r="A37" s="7" t="s">
        <v>44</v>
      </c>
      <c r="B37" s="1" t="s">
        <v>86</v>
      </c>
      <c r="C37" s="1"/>
      <c r="D37" s="1"/>
      <c r="E37" s="1"/>
      <c r="F37" s="1"/>
      <c r="G37" s="1"/>
    </row>
    <row r="38" spans="1:13" x14ac:dyDescent="0.25">
      <c r="A38" s="15" t="s">
        <v>47</v>
      </c>
      <c r="B38" s="1">
        <v>2000</v>
      </c>
      <c r="C38" s="2" t="s">
        <v>48</v>
      </c>
      <c r="D38" s="1">
        <f>H27+H28</f>
        <v>741156.56870600011</v>
      </c>
      <c r="E38" s="1">
        <v>0.24</v>
      </c>
      <c r="F38" s="1">
        <v>3170.85</v>
      </c>
      <c r="G38" s="1">
        <f>$E$2*F38</f>
        <v>913.83897000000002</v>
      </c>
      <c r="H38">
        <f t="shared" si="1"/>
        <v>745241.25767600012</v>
      </c>
      <c r="K38" s="14">
        <f>1/E38</f>
        <v>4.166666666666667</v>
      </c>
      <c r="L38" s="14"/>
    </row>
    <row r="39" spans="1:13" x14ac:dyDescent="0.25">
      <c r="K39" s="13" t="s">
        <v>76</v>
      </c>
      <c r="L39">
        <f>SUM(K38)</f>
        <v>4.166666666666667</v>
      </c>
      <c r="M39">
        <f t="shared" si="2"/>
        <v>2.490415807373866E-2</v>
      </c>
    </row>
    <row r="40" spans="1:13" x14ac:dyDescent="0.25">
      <c r="M40" s="16"/>
    </row>
    <row r="41" spans="1:13" x14ac:dyDescent="0.25">
      <c r="K41" s="13" t="s">
        <v>80</v>
      </c>
      <c r="L41">
        <f>SUM(L29:L39)</f>
        <v>167.30807178181226</v>
      </c>
    </row>
  </sheetData>
  <conditionalFormatting sqref="L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I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M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{BDF16AA2-396F-4E5D-AEC7-EB8761326BA0}</x14:id>
        </ext>
      </extLst>
    </cfRule>
  </conditionalFormatting>
  <conditionalFormatting sqref="K24:K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{395963F4-3B66-4324-8957-914DA4852A0F}</x14:id>
        </ext>
      </extLst>
    </cfRule>
  </conditionalFormatting>
  <conditionalFormatting sqref="K31:K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{07F4C7B8-9D97-44FB-A34F-7919208335C4}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F16AA2-396F-4E5D-AEC7-EB8761326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M29:M39</xm:sqref>
        </x14:conditionalFormatting>
        <x14:conditionalFormatting xmlns:xm="http://schemas.microsoft.com/office/excel/2006/main">
          <x14:cfRule type="dataBar" id="{395963F4-3B66-4324-8957-914DA4852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K24:K28</xm:sqref>
        </x14:conditionalFormatting>
        <x14:conditionalFormatting xmlns:xm="http://schemas.microsoft.com/office/excel/2006/main">
          <x14:cfRule type="dataBar" id="{07F4C7B8-9D97-44FB-A34F-791920833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K31:K32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topLeftCell="A14" zoomScale="70" zoomScaleNormal="70" workbookViewId="0">
      <selection activeCell="D41" sqref="D4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  <col min="5" max="5" width="18.140625" bestFit="1" customWidth="1"/>
    <col min="10" max="10" width="44" bestFit="1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s="21" t="s">
        <v>10</v>
      </c>
      <c r="B4">
        <v>19</v>
      </c>
    </row>
    <row r="5" spans="1:5" x14ac:dyDescent="0.25">
      <c r="A5" s="21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21" t="s">
        <v>65</v>
      </c>
      <c r="B15">
        <v>14.6</v>
      </c>
    </row>
    <row r="16" spans="1:5" x14ac:dyDescent="0.25">
      <c r="A16" t="s">
        <v>68</v>
      </c>
      <c r="B16">
        <v>56.5</v>
      </c>
    </row>
    <row r="17" spans="1:12" x14ac:dyDescent="0.25">
      <c r="A17" s="5"/>
    </row>
    <row r="22" spans="1:12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  <c r="K22" t="s">
        <v>81</v>
      </c>
      <c r="L22" t="s">
        <v>82</v>
      </c>
    </row>
    <row r="23" spans="1:12" x14ac:dyDescent="0.25">
      <c r="A23" s="7" t="s">
        <v>3</v>
      </c>
      <c r="B23" s="1"/>
      <c r="C23" s="1"/>
      <c r="D23" s="1"/>
      <c r="E23" s="1"/>
      <c r="F23" s="1"/>
      <c r="G23" s="1"/>
    </row>
    <row r="24" spans="1:12" x14ac:dyDescent="0.25">
      <c r="A24" s="20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26" si="0">$E$2*F24</f>
        <v>46.065888000000001</v>
      </c>
      <c r="H24">
        <f>D24+F24+G24</f>
        <v>2845.9058880000002</v>
      </c>
      <c r="J24">
        <f>1/E24*8</f>
        <v>2.1798365122615806</v>
      </c>
    </row>
    <row r="25" spans="1:12" x14ac:dyDescent="0.25">
      <c r="A25" s="20" t="s">
        <v>13</v>
      </c>
      <c r="B25" s="1">
        <v>1</v>
      </c>
      <c r="C25" s="2" t="s">
        <v>16</v>
      </c>
      <c r="D25" s="1">
        <f>50*B4+250*B5</f>
        <v>9450</v>
      </c>
      <c r="E25" s="1">
        <v>5</v>
      </c>
      <c r="F25" s="1">
        <v>117.22</v>
      </c>
      <c r="G25" s="1">
        <f t="shared" si="0"/>
        <v>33.782803999999999</v>
      </c>
      <c r="H25">
        <f t="shared" ref="H25:H37" si="1">D25+F25+G25</f>
        <v>9601.0028039999997</v>
      </c>
      <c r="J25">
        <f>1/E25*2</f>
        <v>0.4</v>
      </c>
    </row>
    <row r="26" spans="1:12" x14ac:dyDescent="0.25">
      <c r="A26" s="10" t="s">
        <v>20</v>
      </c>
      <c r="B26" s="1">
        <v>20</v>
      </c>
      <c r="C26" s="2" t="s">
        <v>21</v>
      </c>
      <c r="D26" s="1">
        <f>8*H24+2*H25+2*H29+4*H34+2*H30</f>
        <v>100316.59010000002</v>
      </c>
      <c r="E26" s="1">
        <v>3.34</v>
      </c>
      <c r="F26" s="1">
        <v>175.82</v>
      </c>
      <c r="G26" s="1">
        <f t="shared" si="0"/>
        <v>50.671323999999998</v>
      </c>
      <c r="H26">
        <f t="shared" si="1"/>
        <v>100543.08142400002</v>
      </c>
      <c r="J26" s="14">
        <f>1/E26</f>
        <v>0.29940119760479045</v>
      </c>
      <c r="K26" s="14"/>
    </row>
    <row r="27" spans="1:12" x14ac:dyDescent="0.25">
      <c r="A27" s="1"/>
      <c r="B27" s="1"/>
      <c r="C27" s="1"/>
      <c r="D27" s="1"/>
      <c r="E27" s="1"/>
      <c r="F27" s="1"/>
      <c r="G27" s="1"/>
      <c r="J27" s="13" t="s">
        <v>72</v>
      </c>
      <c r="K27">
        <f>SUM(J24:J26)</f>
        <v>2.8792377098663708</v>
      </c>
      <c r="L27">
        <f>K27/$K$40</f>
        <v>0.20581606753315429</v>
      </c>
    </row>
    <row r="28" spans="1:12" x14ac:dyDescent="0.25">
      <c r="A28" s="7" t="s">
        <v>26</v>
      </c>
      <c r="B28" s="1"/>
      <c r="C28" s="1"/>
      <c r="D28" s="1"/>
      <c r="E28" s="1"/>
      <c r="F28" s="1"/>
      <c r="G28" s="1"/>
    </row>
    <row r="29" spans="1:12" x14ac:dyDescent="0.25">
      <c r="A29" s="20" t="s">
        <v>27</v>
      </c>
      <c r="B29" s="1">
        <v>1</v>
      </c>
      <c r="C29" s="2" t="s">
        <v>28</v>
      </c>
      <c r="D29" s="1">
        <f>4*B10+2*B11</f>
        <v>4596</v>
      </c>
      <c r="E29" s="1">
        <v>2.56</v>
      </c>
      <c r="F29" s="1">
        <v>283.24</v>
      </c>
      <c r="G29" s="1">
        <f>$E$2*F29</f>
        <v>81.629768000000013</v>
      </c>
      <c r="H29">
        <f t="shared" si="1"/>
        <v>4960.8697679999996</v>
      </c>
      <c r="J29">
        <f>1/E29*2</f>
        <v>0.78125</v>
      </c>
    </row>
    <row r="30" spans="1:12" x14ac:dyDescent="0.25">
      <c r="A30" s="20" t="s">
        <v>31</v>
      </c>
      <c r="B30" s="1">
        <v>1</v>
      </c>
      <c r="C30" s="2" t="s">
        <v>32</v>
      </c>
      <c r="D30" s="1">
        <f>3*B8+5*B13+3*B14</f>
        <v>1088</v>
      </c>
      <c r="E30" s="1">
        <v>3.07</v>
      </c>
      <c r="F30" s="1">
        <v>236.03</v>
      </c>
      <c r="G30" s="1">
        <f>$E$2*F30</f>
        <v>68.023846000000006</v>
      </c>
      <c r="H30">
        <f t="shared" si="1"/>
        <v>1392.053846</v>
      </c>
      <c r="J30" s="14">
        <f>1/E30*2</f>
        <v>0.65146579804560267</v>
      </c>
      <c r="K30" s="14"/>
    </row>
    <row r="31" spans="1:12" x14ac:dyDescent="0.25">
      <c r="A31" s="5"/>
      <c r="B31" s="1"/>
      <c r="C31" s="1"/>
      <c r="D31" s="1"/>
      <c r="E31" s="1"/>
      <c r="F31" s="1"/>
      <c r="G31" s="1"/>
      <c r="J31" s="13" t="s">
        <v>75</v>
      </c>
      <c r="K31">
        <f>SUM(J29:J30)</f>
        <v>1.4327157980456027</v>
      </c>
      <c r="L31">
        <f t="shared" ref="L31:L38" si="2">K31/$K$40</f>
        <v>0.10241458370592693</v>
      </c>
    </row>
    <row r="32" spans="1:12" x14ac:dyDescent="0.25">
      <c r="A32" s="7" t="s">
        <v>35</v>
      </c>
      <c r="B32" s="1"/>
      <c r="C32" s="1"/>
      <c r="D32" s="1"/>
      <c r="E32" s="1"/>
      <c r="F32" s="1"/>
      <c r="G32" s="1"/>
    </row>
    <row r="33" spans="1:12" x14ac:dyDescent="0.25">
      <c r="A33" s="9" t="s">
        <v>36</v>
      </c>
      <c r="B33" s="1">
        <v>1</v>
      </c>
      <c r="C33" s="2" t="s">
        <v>37</v>
      </c>
      <c r="D33" s="1">
        <f>30*B4+100*B5+50*B15</f>
        <v>4700</v>
      </c>
      <c r="E33" s="1">
        <v>0.31</v>
      </c>
      <c r="F33" s="1">
        <v>1989.41</v>
      </c>
      <c r="G33" s="1">
        <f>$E$2*F33</f>
        <v>573.34796200000005</v>
      </c>
      <c r="H33">
        <f t="shared" si="1"/>
        <v>7262.7579619999997</v>
      </c>
      <c r="J33">
        <f>1/E33</f>
        <v>3.2258064516129035</v>
      </c>
    </row>
    <row r="34" spans="1:12" x14ac:dyDescent="0.25">
      <c r="A34" s="20" t="s">
        <v>40</v>
      </c>
      <c r="B34" s="1">
        <v>1</v>
      </c>
      <c r="C34" s="2" t="s">
        <v>41</v>
      </c>
      <c r="D34" s="1">
        <f>8*B10+30*B13+15*B15</f>
        <v>10129</v>
      </c>
      <c r="E34" s="1">
        <v>0.62</v>
      </c>
      <c r="F34" s="1">
        <v>994.7</v>
      </c>
      <c r="G34" s="1">
        <f>$E$2*F34</f>
        <v>286.67254000000003</v>
      </c>
      <c r="H34">
        <f t="shared" si="1"/>
        <v>11410.37254</v>
      </c>
      <c r="J34" s="14">
        <f>1/E34*4</f>
        <v>6.4516129032258069</v>
      </c>
      <c r="K34" s="14"/>
    </row>
    <row r="35" spans="1:12" x14ac:dyDescent="0.25">
      <c r="A35" s="1"/>
      <c r="B35" s="1"/>
      <c r="C35" s="1"/>
      <c r="D35" s="1"/>
      <c r="E35" s="1"/>
      <c r="F35" s="1"/>
      <c r="G35" s="1"/>
      <c r="J35" s="13" t="s">
        <v>74</v>
      </c>
      <c r="K35">
        <f>SUM(J33:J34)</f>
        <v>9.67741935483871</v>
      </c>
      <c r="L35">
        <f t="shared" si="2"/>
        <v>0.69176934876091867</v>
      </c>
    </row>
    <row r="36" spans="1:12" x14ac:dyDescent="0.25">
      <c r="A36" s="7" t="s">
        <v>44</v>
      </c>
      <c r="B36" s="1"/>
      <c r="C36" s="1"/>
      <c r="D36" s="1"/>
      <c r="E36" s="1"/>
      <c r="F36" s="1"/>
      <c r="G36" s="1"/>
    </row>
    <row r="37" spans="1:12" x14ac:dyDescent="0.25">
      <c r="A37" s="8" t="s">
        <v>45</v>
      </c>
      <c r="B37" s="1">
        <v>20</v>
      </c>
      <c r="C37" s="2" t="s">
        <v>46</v>
      </c>
      <c r="D37" s="1">
        <f>H33+H26</f>
        <v>107805.83938600002</v>
      </c>
      <c r="E37" s="1">
        <v>0.72</v>
      </c>
      <c r="F37" s="1">
        <v>1056.95</v>
      </c>
      <c r="G37" s="1">
        <f>$E$2*F37</f>
        <v>304.61299000000002</v>
      </c>
      <c r="H37">
        <f t="shared" si="1"/>
        <v>109167.40237600001</v>
      </c>
      <c r="J37" s="14">
        <f>1/E37</f>
        <v>1.3888888888888888</v>
      </c>
      <c r="K37" s="14"/>
    </row>
    <row r="38" spans="1:12" x14ac:dyDescent="0.25">
      <c r="J38" s="13" t="s">
        <v>73</v>
      </c>
      <c r="K38">
        <f>SUM(J37)</f>
        <v>1.3888888888888888</v>
      </c>
      <c r="L38">
        <f t="shared" si="2"/>
        <v>9.9281712090687396E-2</v>
      </c>
    </row>
    <row r="40" spans="1:12" x14ac:dyDescent="0.25">
      <c r="J40" t="s">
        <v>71</v>
      </c>
      <c r="K40">
        <f>SUM(K23:K37)</f>
        <v>13.989372862750685</v>
      </c>
    </row>
  </sheetData>
  <conditionalFormatting sqref="H24:H38 J40 H40:H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{9BAE95EA-14E8-4362-9C45-851007743641}</x14:id>
        </ext>
      </extLst>
    </cfRule>
  </conditionalFormatting>
  <conditionalFormatting sqref="J24:J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{E33AF4C7-0A01-495A-A581-93B8264FCEF6}</x14:id>
        </ext>
      </extLst>
    </cfRule>
  </conditionalFormatting>
  <conditionalFormatting sqref="J29:J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{16857896-B1BA-4502-B546-1A8C3AC24EEF}</x14:id>
        </ext>
      </extLst>
    </cfRule>
  </conditionalFormatting>
  <conditionalFormatting sqref="J33:J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{0E8D3099-D8D3-4D8F-9E07-3AEDEFCD3D0A}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E95EA-14E8-4362-9C45-851007743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L27:L38</xm:sqref>
        </x14:conditionalFormatting>
        <x14:conditionalFormatting xmlns:xm="http://schemas.microsoft.com/office/excel/2006/main">
          <x14:cfRule type="dataBar" id="{E33AF4C7-0A01-495A-A581-93B8264FC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J24:J26</xm:sqref>
        </x14:conditionalFormatting>
        <x14:conditionalFormatting xmlns:xm="http://schemas.microsoft.com/office/excel/2006/main">
          <x14:cfRule type="dataBar" id="{16857896-B1BA-4502-B546-1A8C3AC24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J29:J30</xm:sqref>
        </x14:conditionalFormatting>
        <x14:conditionalFormatting xmlns:xm="http://schemas.microsoft.com/office/excel/2006/main">
          <x14:cfRule type="dataBar" id="{0E8D3099-D8D3-4D8F-9E07-3AEDEFCD3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J33:J34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topLeftCell="A6" workbookViewId="0">
      <selection activeCell="D18" sqref="D1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43.7109375" bestFit="1" customWidth="1"/>
    <col min="4" max="4" width="22.140625" bestFit="1" customWidth="1"/>
    <col min="5" max="5" width="23.28515625" bestFit="1" customWidth="1"/>
    <col min="10" max="10" width="40.5703125" bestFit="1" customWidth="1"/>
  </cols>
  <sheetData>
    <row r="2" spans="1:12" x14ac:dyDescent="0.25">
      <c r="A2" s="30" t="s">
        <v>1</v>
      </c>
      <c r="B2" s="31" t="s">
        <v>2</v>
      </c>
      <c r="C2" s="31" t="s">
        <v>96</v>
      </c>
      <c r="D2" s="31" t="s">
        <v>95</v>
      </c>
      <c r="E2" s="32" t="s">
        <v>97</v>
      </c>
      <c r="G2" s="28" t="s">
        <v>9</v>
      </c>
      <c r="H2" s="29">
        <v>0.14000000000000001</v>
      </c>
    </row>
    <row r="3" spans="1:12" x14ac:dyDescent="0.25">
      <c r="A3" s="33" t="s">
        <v>58</v>
      </c>
      <c r="B3" s="27">
        <v>10.5</v>
      </c>
      <c r="C3" s="16">
        <f>E10*20*B19</f>
        <v>87</v>
      </c>
      <c r="D3" s="26">
        <f t="shared" ref="D3:D4" si="0">C3*24</f>
        <v>2088</v>
      </c>
      <c r="E3" s="34">
        <f>D3*B3</f>
        <v>21924</v>
      </c>
    </row>
    <row r="4" spans="1:12" x14ac:dyDescent="0.25">
      <c r="A4" s="33" t="s">
        <v>60</v>
      </c>
      <c r="B4" s="27">
        <v>860</v>
      </c>
      <c r="C4" s="16">
        <f>E10*8*B19</f>
        <v>34.799999999999997</v>
      </c>
      <c r="D4" s="26">
        <f t="shared" si="0"/>
        <v>835.19999999999993</v>
      </c>
      <c r="E4" s="34">
        <f>D4*B4</f>
        <v>718271.99999999988</v>
      </c>
    </row>
    <row r="5" spans="1:12" x14ac:dyDescent="0.25">
      <c r="A5" s="35" t="s">
        <v>10</v>
      </c>
      <c r="B5" s="36">
        <v>18.5</v>
      </c>
      <c r="C5" s="14">
        <f>E10*10*B19</f>
        <v>43.5</v>
      </c>
      <c r="D5" s="37">
        <f>C5*24</f>
        <v>1044</v>
      </c>
      <c r="E5" s="38">
        <f>D5*B5</f>
        <v>19314</v>
      </c>
    </row>
    <row r="6" spans="1:12" x14ac:dyDescent="0.25">
      <c r="E6" s="46">
        <f>SUM(E3:E5)</f>
        <v>759509.99999999988</v>
      </c>
    </row>
    <row r="8" spans="1:12" x14ac:dyDescent="0.25">
      <c r="A8" s="30"/>
      <c r="B8" s="31" t="s">
        <v>14</v>
      </c>
      <c r="C8" s="31" t="s">
        <v>4</v>
      </c>
      <c r="D8" s="31" t="s">
        <v>92</v>
      </c>
      <c r="E8" s="31" t="s">
        <v>6</v>
      </c>
      <c r="F8" s="31" t="s">
        <v>7</v>
      </c>
      <c r="G8" s="31" t="s">
        <v>8</v>
      </c>
      <c r="H8" s="39" t="s">
        <v>55</v>
      </c>
      <c r="J8" s="16"/>
      <c r="K8" s="16"/>
      <c r="L8" s="16"/>
    </row>
    <row r="9" spans="1:12" x14ac:dyDescent="0.25">
      <c r="A9" s="40" t="s">
        <v>35</v>
      </c>
      <c r="B9" s="16"/>
      <c r="C9" s="16"/>
      <c r="D9" s="16"/>
      <c r="E9" s="16"/>
      <c r="F9" s="16"/>
      <c r="G9" s="16"/>
      <c r="H9" s="41"/>
      <c r="J9" s="16"/>
      <c r="K9" s="17"/>
      <c r="L9" s="16"/>
    </row>
    <row r="10" spans="1:12" x14ac:dyDescent="0.25">
      <c r="A10" s="42" t="s">
        <v>38</v>
      </c>
      <c r="B10" s="43">
        <v>1</v>
      </c>
      <c r="C10" s="44" t="s">
        <v>39</v>
      </c>
      <c r="D10" s="14">
        <f>20*B3+8*B4+10*B5</f>
        <v>7275</v>
      </c>
      <c r="E10" s="14">
        <v>0.28999999999999998</v>
      </c>
      <c r="F10" s="14">
        <v>1989.41</v>
      </c>
      <c r="G10" s="14">
        <f>$H$2*F10</f>
        <v>278.51740000000007</v>
      </c>
      <c r="H10" s="47">
        <f>D10+F10+G10</f>
        <v>9542.9274000000005</v>
      </c>
      <c r="J10" s="16"/>
      <c r="K10" s="16"/>
      <c r="L10" s="16"/>
    </row>
    <row r="11" spans="1:12" x14ac:dyDescent="0.25">
      <c r="A11" s="16"/>
      <c r="B11" s="16"/>
      <c r="C11" s="16"/>
      <c r="D11" s="16"/>
      <c r="E11" s="16"/>
      <c r="F11" s="16"/>
      <c r="G11" s="16"/>
      <c r="J11" s="17"/>
      <c r="K11" s="16"/>
      <c r="L11" s="16"/>
    </row>
    <row r="12" spans="1:12" x14ac:dyDescent="0.25">
      <c r="J12" s="16"/>
      <c r="K12" s="16"/>
      <c r="L12" s="16"/>
    </row>
    <row r="13" spans="1:12" x14ac:dyDescent="0.25">
      <c r="A13" s="30" t="s">
        <v>88</v>
      </c>
      <c r="B13" s="45">
        <v>10800</v>
      </c>
      <c r="J13" s="16"/>
      <c r="K13" s="16"/>
      <c r="L13" s="16"/>
    </row>
    <row r="14" spans="1:12" x14ac:dyDescent="0.25">
      <c r="A14" s="33" t="s">
        <v>89</v>
      </c>
      <c r="B14" s="41">
        <f>B13/1.03</f>
        <v>10485.436893203883</v>
      </c>
    </row>
    <row r="15" spans="1:12" x14ac:dyDescent="0.25">
      <c r="A15" s="33" t="s">
        <v>90</v>
      </c>
      <c r="B15" s="34">
        <f>B14-H10</f>
        <v>942.50949320388281</v>
      </c>
    </row>
    <row r="16" spans="1:12" x14ac:dyDescent="0.25">
      <c r="A16" s="35" t="s">
        <v>91</v>
      </c>
      <c r="B16" s="38">
        <f>B15*E10</f>
        <v>273.32775302912597</v>
      </c>
    </row>
    <row r="19" spans="1:2" x14ac:dyDescent="0.25">
      <c r="A19" s="30" t="s">
        <v>93</v>
      </c>
      <c r="B19" s="45">
        <v>15</v>
      </c>
    </row>
    <row r="20" spans="1:2" x14ac:dyDescent="0.25">
      <c r="A20" s="35" t="s">
        <v>94</v>
      </c>
      <c r="B20" s="38">
        <f>B16*24*B19</f>
        <v>98397.99109048536</v>
      </c>
    </row>
  </sheetData>
  <conditionalFormatting sqref="H11:H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9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{3165805C-5004-49C5-854A-5F4767D7AE87}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65805C-5004-49C5-854A-5F4767D7A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All of them</vt:lpstr>
      <vt:lpstr>Jumbo jet</vt:lpstr>
      <vt:lpstr>Luxury jet</vt:lpstr>
      <vt:lpstr>s. Engine</vt:lpstr>
      <vt:lpstr>BFRs</vt:lpstr>
      <vt:lpstr>SORs</vt:lpstr>
      <vt:lpstr>Rocket Engines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2021-02-02T03:42:33Z</dcterms:created>
  <dcterms:modified xsi:type="dcterms:W3CDTF">2021-03-23T01:26:51Z</dcterms:modified>
</cp:coreProperties>
</file>