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4" l="1"/>
  <c r="J103" i="4"/>
  <c r="J104" i="4"/>
  <c r="K102" i="4"/>
  <c r="K103" i="4"/>
  <c r="K104" i="4"/>
  <c r="L102" i="4"/>
  <c r="L103" i="4"/>
  <c r="O103" i="4" s="1"/>
  <c r="L104" i="4"/>
  <c r="M102" i="4"/>
  <c r="M103" i="4"/>
  <c r="M104" i="4"/>
  <c r="N102" i="4"/>
  <c r="N103" i="4"/>
  <c r="N104" i="4"/>
  <c r="O104" i="4" s="1"/>
  <c r="O102" i="4"/>
  <c r="P102" i="4"/>
  <c r="P103" i="4"/>
  <c r="P104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O99" i="4" s="1"/>
  <c r="M100" i="4"/>
  <c r="M101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O97" i="4" s="1"/>
  <c r="K98" i="4"/>
  <c r="K99" i="4"/>
  <c r="K100" i="4"/>
  <c r="K101" i="4"/>
  <c r="J93" i="4"/>
  <c r="L93" i="4"/>
  <c r="N93" i="4"/>
  <c r="P93" i="4"/>
  <c r="J94" i="4"/>
  <c r="L94" i="4"/>
  <c r="N94" i="4"/>
  <c r="P94" i="4"/>
  <c r="J95" i="4"/>
  <c r="L95" i="4"/>
  <c r="N95" i="4"/>
  <c r="O95" i="4" s="1"/>
  <c r="P95" i="4"/>
  <c r="J96" i="4"/>
  <c r="L96" i="4"/>
  <c r="N96" i="4"/>
  <c r="O96" i="4"/>
  <c r="P96" i="4"/>
  <c r="J97" i="4"/>
  <c r="L97" i="4"/>
  <c r="N97" i="4"/>
  <c r="P97" i="4"/>
  <c r="J98" i="4"/>
  <c r="L98" i="4"/>
  <c r="N98" i="4"/>
  <c r="P98" i="4"/>
  <c r="J99" i="4"/>
  <c r="L99" i="4"/>
  <c r="N99" i="4"/>
  <c r="P99" i="4"/>
  <c r="J100" i="4"/>
  <c r="L100" i="4"/>
  <c r="N100" i="4"/>
  <c r="P100" i="4"/>
  <c r="J101" i="4"/>
  <c r="L101" i="4"/>
  <c r="N101" i="4"/>
  <c r="P101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O98" i="4" l="1"/>
  <c r="O94" i="4"/>
  <c r="O101" i="4"/>
  <c r="O93" i="4"/>
  <c r="O100" i="4"/>
  <c r="O40" i="4"/>
  <c r="O32" i="4"/>
  <c r="O20" i="4"/>
  <c r="O25" i="4"/>
  <c r="O90" i="4"/>
  <c r="P90" i="4" s="1"/>
  <c r="O86" i="4"/>
  <c r="P86" i="4" s="1"/>
  <c r="O82" i="4"/>
  <c r="P82" i="4" s="1"/>
  <c r="O78" i="4"/>
  <c r="P78" i="4" s="1"/>
  <c r="O74" i="4"/>
  <c r="P74" i="4" s="1"/>
  <c r="O70" i="4"/>
  <c r="P70" i="4" s="1"/>
  <c r="O66" i="4"/>
  <c r="P66" i="4" s="1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P89" i="4" s="1"/>
  <c r="O85" i="4"/>
  <c r="P85" i="4" s="1"/>
  <c r="O81" i="4"/>
  <c r="P81" i="4" s="1"/>
  <c r="O77" i="4"/>
  <c r="P77" i="4" s="1"/>
  <c r="O73" i="4"/>
  <c r="P73" i="4" s="1"/>
  <c r="O69" i="4"/>
  <c r="P69" i="4" s="1"/>
  <c r="O65" i="4"/>
  <c r="P65" i="4" s="1"/>
  <c r="O61" i="4"/>
  <c r="O57" i="4"/>
  <c r="O53" i="4"/>
  <c r="O49" i="4"/>
  <c r="O45" i="4"/>
  <c r="O41" i="4"/>
  <c r="O37" i="4"/>
  <c r="O33" i="4"/>
  <c r="O29" i="4"/>
  <c r="O21" i="4"/>
  <c r="O92" i="4"/>
  <c r="P92" i="4" s="1"/>
  <c r="O88" i="4"/>
  <c r="P88" i="4" s="1"/>
  <c r="O84" i="4"/>
  <c r="P84" i="4" s="1"/>
  <c r="O80" i="4"/>
  <c r="P80" i="4" s="1"/>
  <c r="O76" i="4"/>
  <c r="P76" i="4" s="1"/>
  <c r="O72" i="4"/>
  <c r="P72" i="4" s="1"/>
  <c r="O68" i="4"/>
  <c r="P68" i="4" s="1"/>
  <c r="O64" i="4"/>
  <c r="P64" i="4" s="1"/>
  <c r="O60" i="4"/>
  <c r="O56" i="4"/>
  <c r="O52" i="4"/>
  <c r="O48" i="4"/>
  <c r="O44" i="4"/>
  <c r="O36" i="4"/>
  <c r="O28" i="4"/>
  <c r="O24" i="4"/>
  <c r="O91" i="4"/>
  <c r="P91" i="4" s="1"/>
  <c r="O87" i="4"/>
  <c r="P87" i="4" s="1"/>
  <c r="O83" i="4"/>
  <c r="P83" i="4" s="1"/>
  <c r="O79" i="4"/>
  <c r="P79" i="4" s="1"/>
  <c r="O75" i="4"/>
  <c r="P75" i="4" s="1"/>
  <c r="O71" i="4"/>
  <c r="P71" i="4" s="1"/>
  <c r="O67" i="4"/>
  <c r="P67" i="4" s="1"/>
  <c r="O63" i="4"/>
  <c r="O59" i="4"/>
  <c r="O55" i="4"/>
  <c r="O51" i="4"/>
  <c r="O47" i="4"/>
  <c r="O43" i="4"/>
  <c r="O39" i="4"/>
  <c r="O35" i="4"/>
  <c r="O31" i="4"/>
  <c r="O27" i="4"/>
  <c r="O23" i="4"/>
  <c r="O19" i="4"/>
  <c r="C22" i="3"/>
  <c r="D22" i="3"/>
  <c r="E22" i="3"/>
  <c r="F22" i="3"/>
  <c r="G22" i="3"/>
  <c r="B22" i="3"/>
  <c r="C21" i="3"/>
  <c r="D21" i="3"/>
  <c r="E21" i="3"/>
  <c r="F21" i="3"/>
  <c r="G21" i="3"/>
  <c r="B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6" i="4"/>
  <c r="P6" i="4" s="1"/>
  <c r="O7" i="4"/>
  <c r="P7" i="4" s="1"/>
  <c r="O8" i="4"/>
  <c r="P8" i="4" s="1"/>
  <c r="O9" i="4"/>
  <c r="P9" i="4" s="1"/>
  <c r="O10" i="4"/>
  <c r="P10" i="4" s="1"/>
  <c r="O5" i="4"/>
  <c r="P5" i="4" s="1"/>
  <c r="I6" i="4"/>
  <c r="J6" i="4"/>
  <c r="I7" i="4"/>
  <c r="J7" i="4"/>
  <c r="I8" i="4"/>
  <c r="J8" i="4"/>
  <c r="I9" i="4"/>
  <c r="J9" i="4"/>
  <c r="I10" i="4"/>
  <c r="J10" i="4"/>
  <c r="J5" i="4"/>
  <c r="I5" i="4"/>
  <c r="T11" i="4" l="1"/>
  <c r="K11" i="4"/>
  <c r="L5" i="4"/>
  <c r="T5" i="4"/>
  <c r="U5" i="4"/>
  <c r="K5" i="4"/>
  <c r="P11" i="4"/>
  <c r="S11" i="4" s="1"/>
  <c r="O11" i="4"/>
  <c r="F11" i="4"/>
  <c r="G11" i="4"/>
  <c r="H9" i="4" s="1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H5" i="4" l="1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H11" i="4" l="1"/>
  <c r="Q11" i="4"/>
  <c r="P40" i="4"/>
  <c r="K6" i="4"/>
  <c r="T6" i="4"/>
  <c r="T10" i="4"/>
  <c r="T9" i="4"/>
  <c r="T7" i="4"/>
  <c r="T8" i="4"/>
  <c r="K7" i="4"/>
  <c r="K8" i="4"/>
  <c r="K10" i="4"/>
  <c r="M2" i="3"/>
  <c r="C18" i="3" s="1"/>
  <c r="J11" i="4"/>
  <c r="P20" i="4"/>
  <c r="K9" i="4"/>
  <c r="P18" i="4"/>
  <c r="U8" i="4" s="1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L6" i="4" l="1"/>
  <c r="U6" i="4"/>
  <c r="U9" i="4"/>
  <c r="U7" i="4"/>
  <c r="U11" i="4"/>
  <c r="G18" i="3"/>
  <c r="G19" i="3" s="1"/>
  <c r="B18" i="3"/>
  <c r="B19" i="3" s="1"/>
  <c r="L8" i="4"/>
  <c r="L10" i="4"/>
  <c r="F18" i="3"/>
  <c r="F19" i="3" s="1"/>
  <c r="E18" i="3"/>
  <c r="E19" i="3" s="1"/>
  <c r="D18" i="3"/>
  <c r="D19" i="3" s="1"/>
  <c r="L9" i="4"/>
  <c r="L11" i="4"/>
  <c r="L7" i="4"/>
  <c r="C19" i="3"/>
</calcChain>
</file>

<file path=xl/sharedStrings.xml><?xml version="1.0" encoding="utf-8"?>
<sst xmlns="http://schemas.openxmlformats.org/spreadsheetml/2006/main" count="323" uniqueCount="82">
  <si>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</si>
  <si>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</si>
  <si>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</si>
  <si>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</si>
  <si>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</si>
  <si>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</si>
  <si>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</si>
  <si>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</si>
  <si>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</si>
  <si>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</si>
  <si>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</si>
  <si>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</si>
  <si>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</si>
  <si>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</si>
  <si>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</si>
  <si>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</si>
  <si>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</si>
  <si>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</si>
  <si>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</si>
  <si>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</si>
  <si>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</si>
  <si>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</si>
  <si>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</si>
  <si>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</si>
  <si>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</si>
  <si>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</si>
  <si>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</si>
  <si>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</si>
  <si>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</si>
  <si>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</si>
  <si>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</si>
  <si>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</si>
  <si>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</si>
  <si>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</si>
  <si>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</si>
  <si>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</si>
  <si>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</si>
  <si>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</si>
  <si>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</si>
  <si>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</si>
  <si>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</si>
  <si>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</si>
  <si>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</si>
  <si>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</si>
  <si>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</si>
  <si>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</si>
  <si>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</si>
  <si>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</si>
  <si>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</si>
  <si>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</si>
  <si>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</si>
  <si>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</si>
  <si>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</si>
  <si>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</si>
  <si>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</si>
  <si>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</si>
  <si>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</si>
  <si>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</si>
  <si>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</si>
  <si>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</si>
  <si>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</si>
  <si>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</si>
  <si>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</si>
  <si>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</si>
  <si>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</si>
  <si>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</si>
  <si>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</si>
  <si>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</si>
  <si>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</si>
  <si>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</si>
  <si>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</si>
  <si>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</si>
  <si>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</si>
  <si>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</si>
  <si>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</si>
  <si>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</si>
  <si>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</si>
  <si>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</si>
  <si>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</si>
  <si>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</si>
  <si>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</si>
  <si>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P_T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</si>
</sst>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3" applyNumberFormat="1" applyFont="1"/>
    <xf numFmtId="44" fontId="0" fillId="0" borderId="0" xfId="2" applyFont="1"/>
    <xf numFmtId="44" fontId="0" fillId="0" borderId="1" xfId="2" applyNumberFormat="1" applyFont="1" applyBorder="1"/>
    <xf numFmtId="0" fontId="3" fillId="3" borderId="0" xfId="0" applyFont="1" applyFill="1"/>
    <xf numFmtId="0" fontId="4" fillId="0" borderId="0" xfId="0" applyFont="1"/>
    <xf numFmtId="167" fontId="0" fillId="0" borderId="0" xfId="3" applyNumberFormat="1" applyFont="1" applyBorder="1"/>
    <xf numFmtId="9" fontId="0" fillId="0" borderId="7" xfId="3" applyNumberFormat="1" applyFont="1" applyBorder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4" fontId="0" fillId="0" borderId="2" xfId="2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6">
    <dxf>
      <font>
        <color rgb="FF9C0006"/>
      </font>
      <fill>
        <patternFill patternType="solid">
          <bgColor rgb="FFFFABAB"/>
        </patternFill>
      </fill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color rgb="FF9C0006"/>
      </font>
      <fill>
        <patternFill patternType="solid">
          <bgColor rgb="FFFFABAB"/>
        </patternFill>
      </fill>
    </dxf>
    <dxf>
      <font>
        <color rgb="FF9C0006"/>
      </font>
      <fill>
        <patternFill patternType="solid">
          <bgColor rgb="FFFFABAB"/>
        </patternFill>
      </fill>
    </dxf>
    <dxf>
      <font>
        <color rgb="FF9C0006"/>
      </font>
      <fill>
        <patternFill patternType="solid">
          <bgColor rgb="FFFFABA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104" totalsRowShown="0">
  <autoFilter ref="A16:P104"/>
  <sortState ref="A17:R63">
    <sortCondition ref="A16:A63"/>
  </sortState>
  <tableColumns count="16">
    <tableColumn id="1" name="No."/>
    <tableColumn id="23" name="Economy "/>
    <tableColumn id="2" name="QualityBonus" dataDxfId="25" dataCellStyle="Porcentaje"/>
    <tableColumn id="3" name="Product" dataDxfId="24" dataCellStyle="Moneda"/>
    <tableColumn id="7" name="Base price1" dataDxfId="23" dataCellStyle="Moneda"/>
    <tableColumn id="24" name="Req." dataDxfId="22" dataCellStyle="Millares"/>
    <tableColumn id="18" name="Product2" dataDxfId="21" dataCellStyle="Moneda"/>
    <tableColumn id="8" name="Base price2" dataDxfId="16" dataCellStyle="Moneda"/>
    <tableColumn id="35" name="Req.2" dataDxfId="15" dataCellStyle="Millares"/>
    <tableColumn id="12" name="Order price" dataDxfId="12" dataCellStyle="Moneda">
      <calculatedColumnFormula>Tabla22[[#This Row],[Base price1]]*Tabla22[[#This Row],[Req.]]+Tabla22[[#This Row],[Base price2]]*Tabla22[[#This Row],[Req.2]]</calculatedColumnFormula>
    </tableColumn>
    <tableColumn id="4" name="Bonus1" dataDxfId="2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" dataCellStyle="Moneda">
      <calculatedColumnFormula>IFERROR((Tabla22[[#This Row],[Base price1]]-LOOKUP(Tabla22[[#This Row],[Product]],$R$18:$R$23,$S$18:$S$23))*Tabla22[[#This Row],[Req.]],0)</calculatedColumnFormula>
    </tableColumn>
    <tableColumn id="9" name="p2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P_T" dataDxfId="11" dataCellStyle="Moneda">
      <calculatedColumnFormula>SUM(Tabla22[[#This Row],[Bonus1]:[p2]])</calculatedColumnFormula>
    </tableColumn>
    <tableColumn id="36" name="profit -wages" dataCellStyle="Moneda">
      <calculatedColumnFormula>IF(Tabla22[[#This Row],[QualityBonus]]&gt;0,Tabla22[[#This Row],[P_T]]-$C$4,"")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6" headerRowBorderDxfId="7">
  <autoFilter ref="R17:T23"/>
  <sortState ref="T18:V23">
    <sortCondition ref="T17:T23"/>
  </sortState>
  <tableColumns count="3">
    <tableColumn id="1" name="Goods sold" dataDxfId="10"/>
    <tableColumn id="2" name="COGS" dataDxfId="9"/>
    <tableColumn id="3" name="Q" dataDxfId="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20" dataCellStyle="Moneda">
  <autoFilter ref="B8:E19"/>
  <sortState ref="B9:E19">
    <sortCondition ref="B8:B19"/>
  </sortState>
  <tableColumns count="4">
    <tableColumn id="1" name="Quality"/>
    <tableColumn id="2" name="Unit price" dataDxfId="19" dataCellStyle="Moneda">
      <calculatedColumnFormula>$C$3*(1+$C$4*B9)</calculatedColumnFormula>
    </tableColumn>
    <tableColumn id="3" name="Unit profit" dataDxfId="18" dataCellStyle="Moneda">
      <calculatedColumnFormula>C9-$C$5</calculatedColumnFormula>
    </tableColumn>
    <tableColumn id="4" name="Total profit" dataDxfId="17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4"/>
  <sheetViews>
    <sheetView tabSelected="1" zoomScale="80" zoomScaleNormal="80" workbookViewId="0">
      <selection activeCell="B2" sqref="B2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14" width="13.85546875" bestFit="1" customWidth="1"/>
    <col min="15" max="15" width="16" customWidth="1"/>
    <col min="16" max="16" width="15.85546875" bestFit="1" customWidth="1"/>
    <col min="17" max="17" width="24.42578125" customWidth="1"/>
    <col min="18" max="18" width="20.7109375" bestFit="1" customWidth="1"/>
    <col min="19" max="19" width="31.5703125" bestFit="1" customWidth="1"/>
    <col min="20" max="21" width="13.42578125" bestFit="1" customWidth="1"/>
  </cols>
  <sheetData>
    <row r="2" spans="1:26" x14ac:dyDescent="0.25">
      <c r="M2" s="46"/>
      <c r="N2" s="54" t="s">
        <v>69</v>
      </c>
      <c r="O2" s="60" t="s">
        <v>13</v>
      </c>
      <c r="P2" s="46"/>
      <c r="Q2" s="46"/>
      <c r="R2" s="46"/>
      <c r="S2" s="46"/>
    </row>
    <row r="3" spans="1:26" x14ac:dyDescent="0.25">
      <c r="F3" s="81" t="s">
        <v>66</v>
      </c>
      <c r="G3" s="82"/>
      <c r="H3" s="82"/>
      <c r="I3" s="82"/>
      <c r="J3" s="82"/>
      <c r="K3" s="82"/>
      <c r="L3" s="82"/>
      <c r="N3" s="81" t="s">
        <v>70</v>
      </c>
      <c r="O3" s="82"/>
      <c r="P3" s="82"/>
      <c r="Q3" s="82"/>
      <c r="R3" s="82"/>
      <c r="S3" s="82"/>
      <c r="T3" s="82"/>
      <c r="U3" s="82"/>
    </row>
    <row r="4" spans="1:26" x14ac:dyDescent="0.25">
      <c r="B4" s="35" t="s">
        <v>21</v>
      </c>
      <c r="C4" s="36">
        <v>43000</v>
      </c>
      <c r="E4" s="50"/>
      <c r="F4" s="55" t="s">
        <v>59</v>
      </c>
      <c r="G4" s="52" t="s">
        <v>60</v>
      </c>
      <c r="H4" s="52" t="s">
        <v>80</v>
      </c>
      <c r="I4" s="55" t="s">
        <v>61</v>
      </c>
      <c r="J4" s="55" t="s">
        <v>72</v>
      </c>
      <c r="K4" s="55" t="s">
        <v>63</v>
      </c>
      <c r="L4" s="56" t="s">
        <v>64</v>
      </c>
      <c r="N4" s="54"/>
      <c r="O4" s="55" t="s">
        <v>59</v>
      </c>
      <c r="P4" s="52" t="s">
        <v>60</v>
      </c>
      <c r="Q4" s="52" t="s">
        <v>80</v>
      </c>
      <c r="R4" s="55" t="s">
        <v>61</v>
      </c>
      <c r="S4" s="55" t="s">
        <v>72</v>
      </c>
      <c r="T4" s="55" t="s">
        <v>63</v>
      </c>
      <c r="U4" s="56" t="s">
        <v>64</v>
      </c>
      <c r="Y4" s="46"/>
      <c r="Z4" s="46"/>
    </row>
    <row r="5" spans="1:26" x14ac:dyDescent="0.25">
      <c r="E5" s="61" t="s">
        <v>27</v>
      </c>
      <c r="F5" s="49">
        <f>SUMIFS(Tabla22[Req.],Tabla22[Product],N5)+SUMIFS(Tabla22[Req.2],Tabla22[Product2],N5)</f>
        <v>4</v>
      </c>
      <c r="G5" s="47">
        <f>F5/COUNTIF(Tabla22[QualityBonus],"&gt;0")</f>
        <v>5.2631578947368418E-2</v>
      </c>
      <c r="H5" s="79">
        <f>G5/$G$11</f>
        <v>1.1235955056179775E-2</v>
      </c>
      <c r="I5" s="22">
        <f>IFERROR((SUMIF(Tabla22[Product],E5,Tabla22[QualityBonus])+SUMIF(Tabla22[Product2],E5,Tabla22[QualityBonus]))/(COUNTIF(Tabla22[Product],E5)+COUNTIF(Tabla22[Product2],E5)),0)</f>
        <v>2.3699999999999999E-2</v>
      </c>
      <c r="J5" s="23">
        <f>IFERROR((SUMIF(Tabla22[Product],E5,Tabla22[Base price1])+SUMIF(Tabla22[Product2],E5,Tabla22[Base price2]))/(COUNTIF(Tabla22[Product],E5)+COUNTIF(Tabla22[Product2],E5)),0)</f>
        <v>835083</v>
      </c>
      <c r="K5" s="23">
        <f>IFERROR((SUMIF(Tabla22[Product],E5,Tabla22[P_T])+SUMIF(Tabla22[Product2],E5,Tabla22[P_T]))/(COUNTIF(Tabla22[Product],E5)+COUNTIF(Tabla22[Product2],E5)),0)</f>
        <v>250346.85399999999</v>
      </c>
      <c r="L5" s="42">
        <f>IFERROR((SUMIF(Tabla22[Product],E5,Tabla22[profit -wages])+SUMIF(Tabla22[Product2],E5,Tabla22[profit -wages]))/(COUNTIF(Tabla22[Product],E5)+COUNTIF(Tabla22[Product2],E5)),0)</f>
        <v>207346.85399999999</v>
      </c>
      <c r="N5" s="61" t="s">
        <v>27</v>
      </c>
      <c r="O5" s="49">
        <f>SUMIFS(Tabla22[Req.],Tabla22[Product],N5,Tabla22[[Economy ]],$O$2)+SUMIFS(Tabla22[Req.2],Tabla22[Product2],N5,Tabla22[[Economy ]],$O$2)</f>
        <v>4</v>
      </c>
      <c r="P5" s="47">
        <f>IFERROR(O5/COUNTIF(Tabla22[[Economy ]],$O$2),0)</f>
        <v>4.5454545454545456E-2</v>
      </c>
      <c r="Q5" s="37">
        <f>P5/$P$11</f>
        <v>1.1235955056179777E-2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2.3699999999999999E-2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835083</v>
      </c>
      <c r="T5" s="23">
        <f>IFERROR((SUMIFS(Tabla22[P_T],Tabla22[Product],N5,Tabla22[[Economy ]],$O$2)+SUMIFS(Tabla22[P_T],Tabla22[Product2],N5,Tabla22[[Economy ]],$O$2))/(COUNTIFS(Tabla22[Product],N5,Tabla22[[Economy ]],$O$2)+COUNTIFS(Tabla22[Product2],N5,Tabla22[[Economy ]],$O$2)),0)</f>
        <v>250346.85399999999</v>
      </c>
      <c r="U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207346.85399999999</v>
      </c>
      <c r="Y5" s="46"/>
      <c r="Z5" s="46"/>
    </row>
    <row r="6" spans="1:26" x14ac:dyDescent="0.25">
      <c r="E6" s="61" t="s">
        <v>57</v>
      </c>
      <c r="F6" s="47">
        <f>SUMIFS(Tabla22[Req.],Tabla22[Product],N6)+SUMIFS(Tabla22[Req.2],Tabla22[Product2],N6)</f>
        <v>9</v>
      </c>
      <c r="G6" s="47">
        <f>F6/COUNTIF(Tabla22[QualityBonus],"&gt;0")</f>
        <v>0.11842105263157894</v>
      </c>
      <c r="H6" s="79">
        <f t="shared" ref="H6:H10" si="0">G6/$G$11</f>
        <v>2.5280898876404494E-2</v>
      </c>
      <c r="I6" s="37">
        <f>IFERROR((SUMIF(Tabla22[Product],E6,Tabla22[QualityBonus])+SUMIF(Tabla22[Product2],E6,Tabla22[QualityBonus]))/(COUNTIF(Tabla22[Product],E6)+COUNTIF(Tabla22[Product2],E6)),0)</f>
        <v>1.9949999999999999E-2</v>
      </c>
      <c r="J6" s="3">
        <f>IFERROR((SUMIF(Tabla22[Product],E6,Tabla22[Base price1])+SUMIF(Tabla22[Product2],E6,Tabla22[Base price2]))/(COUNTIF(Tabla22[Product],E6)+COUNTIF(Tabla22[Product2],E6)),0)</f>
        <v>226108</v>
      </c>
      <c r="K6" s="3">
        <f>IFERROR((SUMIF(Tabla22[Product],E6,Tabla22[P_T])+SUMIF(Tabla22[Product2],E6,Tabla22[P_T]))/(COUNTIF(Tabla22[Product],E6)+COUNTIF(Tabla22[Product2],E6)),0)</f>
        <v>54273.788524999996</v>
      </c>
      <c r="L6" s="43">
        <f>IFERROR((SUMIF(Tabla22[Product],E6,Tabla22[profit -wages])+SUMIF(Tabla22[Product2],E6,Tabla22[profit -wages]))/(COUNTIF(Tabla22[Product],E6)+COUNTIF(Tabla22[Product2],E6)),0)</f>
        <v>11273.788525000004</v>
      </c>
      <c r="N6" s="61" t="s">
        <v>57</v>
      </c>
      <c r="O6" s="47">
        <f>SUMIFS(Tabla22[Req.],Tabla22[Product],N6,Tabla22[[Economy ]],$O$2)+SUMIFS(Tabla22[Req.2],Tabla22[Product2],N6,Tabla22[[Economy ]],$O$2)</f>
        <v>9</v>
      </c>
      <c r="P6" s="47">
        <f>IFERROR(O6/COUNTIF(Tabla22[[Economy ]],$O$2),0)</f>
        <v>0.10227272727272728</v>
      </c>
      <c r="Q6" s="37">
        <f t="shared" ref="Q6:Q10" si="1">P6/$P$11</f>
        <v>2.5280898876404501E-2</v>
      </c>
      <c r="R6" s="37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1.9949999999999999E-2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226108</v>
      </c>
      <c r="T6" s="3">
        <f>IFERROR((SUMIFS(Tabla22[P_T],Tabla22[Product],N6,Tabla22[[Economy ]],$O$2)+SUMIFS(Tabla22[P_T],Tabla22[Product2],N6,Tabla22[[Economy ]],$O$2))/(COUNTIFS(Tabla22[Product],N6,Tabla22[[Economy ]],$O$2)+COUNTIFS(Tabla22[Product2],N6,Tabla22[[Economy ]],$O$2)),0)</f>
        <v>54273.788524999996</v>
      </c>
      <c r="U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11273.788525000004</v>
      </c>
      <c r="Y6" s="46"/>
      <c r="Z6" s="46"/>
    </row>
    <row r="7" spans="1:26" x14ac:dyDescent="0.25">
      <c r="E7" s="61" t="s">
        <v>53</v>
      </c>
      <c r="F7" s="47">
        <f>SUMIFS(Tabla22[Req.],Tabla22[Product],N7)+SUMIFS(Tabla22[Req.2],Tabla22[Product2],N7)</f>
        <v>40</v>
      </c>
      <c r="G7" s="47">
        <f>F7/COUNTIF(Tabla22[QualityBonus],"&gt;0")</f>
        <v>0.52631578947368418</v>
      </c>
      <c r="H7" s="79">
        <f t="shared" si="0"/>
        <v>0.11235955056179775</v>
      </c>
      <c r="I7" s="37">
        <f>IFERROR((SUMIF(Tabla22[Product],E7,Tabla22[QualityBonus])+SUMIF(Tabla22[Product2],E7,Tabla22[QualityBonus]))/(COUNTIF(Tabla22[Product],E7)+COUNTIF(Tabla22[Product2],E7)),0)</f>
        <v>2.0739999999999998E-2</v>
      </c>
      <c r="J7" s="3">
        <f>IFERROR((SUMIF(Tabla22[Product],E7,Tabla22[Base price1])+SUMIF(Tabla22[Product2],E7,Tabla22[Base price2]))/(COUNTIF(Tabla22[Product],E7)+COUNTIF(Tabla22[Product2],E7)),0)</f>
        <v>120382.25</v>
      </c>
      <c r="K7" s="3">
        <f>IFERROR((SUMIF(Tabla22[Product],E7,Tabla22[P_T])+SUMIF(Tabla22[Product2],E7,Tabla22[P_T]))/(COUNTIF(Tabla22[Product],E7)+COUNTIF(Tabla22[Product2],E7)),0)</f>
        <v>53608.653904999999</v>
      </c>
      <c r="L7" s="43">
        <f>IFERROR((SUMIF(Tabla22[Product],E7,Tabla22[profit -wages])+SUMIF(Tabla22[Product2],E7,Tabla22[profit -wages]))/(COUNTIF(Tabla22[Product],E7)+COUNTIF(Tabla22[Product2],E7)),0)</f>
        <v>10608.653905000001</v>
      </c>
      <c r="N7" s="61" t="s">
        <v>53</v>
      </c>
      <c r="O7" s="47">
        <f>SUMIFS(Tabla22[Req.],Tabla22[Product],N7,Tabla22[[Economy ]],$O$2)+SUMIFS(Tabla22[Req.2],Tabla22[Product2],N7,Tabla22[[Economy ]],$O$2)</f>
        <v>40</v>
      </c>
      <c r="P7" s="47">
        <f>IFERROR(O7/COUNTIF(Tabla22[[Economy ]],$O$2),0)</f>
        <v>0.45454545454545453</v>
      </c>
      <c r="Q7" s="37">
        <f t="shared" si="1"/>
        <v>0.11235955056179776</v>
      </c>
      <c r="R7" s="37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2.0739999999999998E-2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120382.25</v>
      </c>
      <c r="T7" s="3">
        <f>IFERROR((SUMIFS(Tabla22[P_T],Tabla22[Product],N7,Tabla22[[Economy ]],$O$2)+SUMIFS(Tabla22[P_T],Tabla22[Product2],N7,Tabla22[[Economy ]],$O$2))/(COUNTIFS(Tabla22[Product],N7,Tabla22[[Economy ]],$O$2)+COUNTIFS(Tabla22[Product2],N7,Tabla22[[Economy ]],$O$2)),0)</f>
        <v>53608.653904999999</v>
      </c>
      <c r="U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10608.653905000001</v>
      </c>
      <c r="Y7" s="46"/>
      <c r="Z7" s="46"/>
    </row>
    <row r="8" spans="1:26" x14ac:dyDescent="0.25">
      <c r="E8" s="61" t="s">
        <v>58</v>
      </c>
      <c r="F8" s="47">
        <f>SUMIFS(Tabla22[Req.],Tabla22[Product],N8)+SUMIFS(Tabla22[Req.2],Tabla22[Product2],N8)</f>
        <v>36</v>
      </c>
      <c r="G8" s="47">
        <f>F8/COUNTIF(Tabla22[QualityBonus],"&gt;0")</f>
        <v>0.47368421052631576</v>
      </c>
      <c r="H8" s="79">
        <f t="shared" si="0"/>
        <v>0.10112359550561797</v>
      </c>
      <c r="I8" s="37">
        <f>IFERROR((SUMIF(Tabla22[Product],E8,Tabla22[QualityBonus])+SUMIF(Tabla22[Product2],E8,Tabla22[QualityBonus]))/(COUNTIF(Tabla22[Product],E8)+COUNTIF(Tabla22[Product2],E8)),0)</f>
        <v>2.1626666666666669E-2</v>
      </c>
      <c r="J8" s="3">
        <f>IFERROR((SUMIF(Tabla22[Product],E8,Tabla22[Base price1])+SUMIF(Tabla22[Product2],E8,Tabla22[Base price2]))/(COUNTIF(Tabla22[Product],E8)+COUNTIF(Tabla22[Product2],E8)),0)</f>
        <v>84606.2</v>
      </c>
      <c r="K8" s="3">
        <f>IFERROR((SUMIF(Tabla22[Product],E8,Tabla22[P_T])+SUMIF(Tabla22[Product2],E8,Tabla22[P_T]))/(COUNTIF(Tabla22[Product],E8)+COUNTIF(Tabla22[Product2],E8)),0)</f>
        <v>64241.802946666678</v>
      </c>
      <c r="L8" s="43">
        <f>IFERROR((SUMIF(Tabla22[Product],E8,Tabla22[profit -wages])+SUMIF(Tabla22[Product2],E8,Tabla22[profit -wages]))/(COUNTIF(Tabla22[Product],E8)+COUNTIF(Tabla22[Product2],E8)),0)</f>
        <v>21241.802946666667</v>
      </c>
      <c r="N8" s="61" t="s">
        <v>58</v>
      </c>
      <c r="O8" s="47">
        <f>SUMIFS(Tabla22[Req.],Tabla22[Product],N8,Tabla22[[Economy ]],$O$2)+SUMIFS(Tabla22[Req.2],Tabla22[Product2],N8,Tabla22[[Economy ]],$O$2)</f>
        <v>36</v>
      </c>
      <c r="P8" s="47">
        <f>IFERROR(O8/COUNTIF(Tabla22[[Economy ]],$O$2),0)</f>
        <v>0.40909090909090912</v>
      </c>
      <c r="Q8" s="37">
        <f t="shared" si="1"/>
        <v>0.101123595505618</v>
      </c>
      <c r="R8" s="37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2.1626666666666669E-2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84606.2</v>
      </c>
      <c r="T8" s="3">
        <f>IFERROR((SUMIFS(Tabla22[P_T],Tabla22[Product],N8,Tabla22[[Economy ]],$O$2)+SUMIFS(Tabla22[P_T],Tabla22[Product2],N8,Tabla22[[Economy ]],$O$2))/(COUNTIFS(Tabla22[Product],N8,Tabla22[[Economy ]],$O$2)+COUNTIFS(Tabla22[Product2],N8,Tabla22[[Economy ]],$O$2)),0)</f>
        <v>64241.802946666678</v>
      </c>
      <c r="U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21241.802946666667</v>
      </c>
      <c r="Y8" s="46"/>
      <c r="Z8" s="46"/>
    </row>
    <row r="9" spans="1:26" x14ac:dyDescent="0.25">
      <c r="B9" s="50" t="s">
        <v>73</v>
      </c>
      <c r="E9" s="61" t="s">
        <v>55</v>
      </c>
      <c r="F9" s="47">
        <f>SUMIFS(Tabla22[Req.],Tabla22[Product],N9)+SUMIFS(Tabla22[Req.2],Tabla22[Product2],N9)</f>
        <v>105</v>
      </c>
      <c r="G9" s="47">
        <f>F9/COUNTIF(Tabla22[QualityBonus],"&gt;0")</f>
        <v>1.381578947368421</v>
      </c>
      <c r="H9" s="79">
        <f t="shared" si="0"/>
        <v>0.2949438202247191</v>
      </c>
      <c r="I9" s="37">
        <f>IFERROR((SUMIF(Tabla22[Product],E9,Tabla22[QualityBonus])+SUMIF(Tabla22[Product2],E9,Tabla22[QualityBonus]))/(COUNTIF(Tabla22[Product],E9)+COUNTIF(Tabla22[Product2],E9)),0)</f>
        <v>2.1419999999999998E-2</v>
      </c>
      <c r="J9" s="3">
        <f>IFERROR((SUMIF(Tabla22[Product],E9,Tabla22[Base price1])+SUMIF(Tabla22[Product2],E9,Tabla22[Base price2]))/(COUNTIF(Tabla22[Product],E9)+COUNTIF(Tabla22[Product2],E9)),0)</f>
        <v>61455.022222222222</v>
      </c>
      <c r="K9" s="3">
        <f>IFERROR((SUMIF(Tabla22[Product],E9,Tabla22[P_T])+SUMIF(Tabla22[Product2],E9,Tabla22[P_T]))/(COUNTIF(Tabla22[Product],E9)+COUNTIF(Tabla22[Product2],E9)),0)</f>
        <v>52889.740973333341</v>
      </c>
      <c r="L9" s="43">
        <f>IFERROR((SUMIF(Tabla22[Product],E9,Tabla22[profit -wages])+SUMIF(Tabla22[Product2],E9,Tabla22[profit -wages]))/(COUNTIF(Tabla22[Product],E9)+COUNTIF(Tabla22[Product2],E9)),0)</f>
        <v>9889.7409733333334</v>
      </c>
      <c r="N9" s="61" t="s">
        <v>55</v>
      </c>
      <c r="O9" s="47">
        <f>SUMIFS(Tabla22[Req.],Tabla22[Product],N9,Tabla22[[Economy ]],$O$2)+SUMIFS(Tabla22[Req.2],Tabla22[Product2],N9,Tabla22[[Economy ]],$O$2)</f>
        <v>105</v>
      </c>
      <c r="P9" s="47">
        <f>IFERROR(O9/COUNTIF(Tabla22[[Economy ]],$O$2),0)</f>
        <v>1.1931818181818181</v>
      </c>
      <c r="Q9" s="37">
        <f t="shared" si="1"/>
        <v>0.2949438202247191</v>
      </c>
      <c r="R9" s="37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2.1419999999999998E-2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61455.022222222222</v>
      </c>
      <c r="T9" s="3">
        <f>IFERROR((SUMIFS(Tabla22[P_T],Tabla22[Product],N9,Tabla22[[Economy ]],$O$2)+SUMIFS(Tabla22[P_T],Tabla22[Product2],N9,Tabla22[[Economy ]],$O$2))/(COUNTIFS(Tabla22[Product],N9,Tabla22[[Economy ]],$O$2)+COUNTIFS(Tabla22[Product2],N9,Tabla22[[Economy ]],$O$2)),0)</f>
        <v>52889.740973333341</v>
      </c>
      <c r="U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9889.7409733333334</v>
      </c>
      <c r="Y9" s="46"/>
      <c r="Z9" s="46"/>
    </row>
    <row r="10" spans="1:26" x14ac:dyDescent="0.25">
      <c r="B10" s="63" t="s">
        <v>67</v>
      </c>
      <c r="E10" s="62" t="s">
        <v>54</v>
      </c>
      <c r="F10" s="48">
        <f>SUMIFS(Tabla22[Req.],Tabla22[Product],N10)+SUMIFS(Tabla22[Req.2],Tabla22[Product2],N10)</f>
        <v>162</v>
      </c>
      <c r="G10" s="48">
        <f>F10/COUNTIF(Tabla22[QualityBonus],"&gt;0")</f>
        <v>2.1315789473684212</v>
      </c>
      <c r="H10" s="79">
        <f t="shared" si="0"/>
        <v>0.45505617977528096</v>
      </c>
      <c r="I10" s="45">
        <f>IFERROR((SUMIF(Tabla22[Product],E10,Tabla22[QualityBonus])+SUMIF(Tabla22[Product2],E10,Tabla22[QualityBonus]))/(COUNTIF(Tabla22[Product],E10)+COUNTIF(Tabla22[Product2],E10)),0)</f>
        <v>2.1131111111111107E-2</v>
      </c>
      <c r="J10" s="39">
        <f>IFERROR((SUMIF(Tabla22[Product],E10,Tabla22[Base price1])+SUMIF(Tabla22[Product2],E10,Tabla22[Base price2]))/(COUNTIF(Tabla22[Product],E10)+COUNTIF(Tabla22[Product2],E10)),0)</f>
        <v>41497.755555555559</v>
      </c>
      <c r="K10" s="39">
        <f>IFERROR((SUMIF(Tabla22[Product],E10,Tabla22[P_T])+SUMIF(Tabla22[Product2],E10,Tabla22[P_T]))/(COUNTIF(Tabla22[Product],E10)+COUNTIF(Tabla22[Product2],E10)),0)</f>
        <v>68111.238277777782</v>
      </c>
      <c r="L10" s="44">
        <f>IFERROR((SUMIF(Tabla22[Product],E10,Tabla22[profit -wages])+SUMIF(Tabla22[Product2],E10,Tabla22[profit -wages]))/(COUNTIF(Tabla22[Product],E10)+COUNTIF(Tabla22[Product2],E10)),0)</f>
        <v>25111.238277777775</v>
      </c>
      <c r="N10" s="62" t="s">
        <v>54</v>
      </c>
      <c r="O10" s="48">
        <f>SUMIFS(Tabla22[Req.],Tabla22[Product],N10,Tabla22[[Economy ]],$O$2)+SUMIFS(Tabla22[Req.2],Tabla22[Product2],N10,Tabla22[[Economy ]],$O$2)</f>
        <v>162</v>
      </c>
      <c r="P10" s="48">
        <f>IFERROR(O10/COUNTIF(Tabla22[[Economy ]],$O$2),0)</f>
        <v>1.8409090909090908</v>
      </c>
      <c r="Q10" s="45">
        <f t="shared" si="1"/>
        <v>0.45505617977528096</v>
      </c>
      <c r="R10" s="45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2.1131111111111107E-2</v>
      </c>
      <c r="S10" s="39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41497.755555555559</v>
      </c>
      <c r="T10" s="39">
        <f>IFERROR((SUMIFS(Tabla22[P_T],Tabla22[Product],N10,Tabla22[[Economy ]],$O$2)+SUMIFS(Tabla22[P_T],Tabla22[Product2],N10,Tabla22[[Economy ]],$O$2))/(COUNTIFS(Tabla22[Product],N10,Tabla22[[Economy ]],$O$2)+COUNTIFS(Tabla22[Product2],N10,Tabla22[[Economy ]],$O$2)),0)</f>
        <v>68111.238277777782</v>
      </c>
      <c r="U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25111.238277777775</v>
      </c>
      <c r="Y10" s="46"/>
      <c r="Z10" s="46"/>
    </row>
    <row r="11" spans="1:26" x14ac:dyDescent="0.25">
      <c r="B11" s="63" t="s">
        <v>13</v>
      </c>
      <c r="E11" s="51" t="s">
        <v>62</v>
      </c>
      <c r="F11" s="48">
        <f>SUM(F5:F10)</f>
        <v>356</v>
      </c>
      <c r="G11" s="48">
        <f>SUM(G5:G10)</f>
        <v>4.6842105263157894</v>
      </c>
      <c r="H11" s="80">
        <f>SUM(H5:H10)</f>
        <v>1</v>
      </c>
      <c r="I11" s="57">
        <f>AVERAGE(Tabla22[QualityBonus])</f>
        <v>2.1505263157894743E-2</v>
      </c>
      <c r="J11" s="39">
        <f>SUMPRODUCT(G5:G10,J5:J10)/G11</f>
        <v>74190.536329588023</v>
      </c>
      <c r="K11" s="39">
        <f>AVERAGEIF(Tabla22[P_T],"&gt;0")</f>
        <v>58336.130084210527</v>
      </c>
      <c r="L11" s="58">
        <f>AVERAGE(Tabla22[profit -wages])</f>
        <v>15336.130084210532</v>
      </c>
      <c r="M11" s="53"/>
      <c r="N11" s="51" t="s">
        <v>62</v>
      </c>
      <c r="O11" s="48">
        <f>SUM(O5:O10)</f>
        <v>356</v>
      </c>
      <c r="P11" s="48">
        <f>SUM(P5:P10)</f>
        <v>4.045454545454545</v>
      </c>
      <c r="Q11" s="80">
        <f>SUM(Q5:Q10)</f>
        <v>1.0000000000000002</v>
      </c>
      <c r="R11" s="57">
        <f>IFERROR(AVERAGEIFS(Tabla22[QualityBonus],Tabla22[[Economy ]],$O$2),0)</f>
        <v>2.1505263157894743E-2</v>
      </c>
      <c r="S11" s="39">
        <f>IFERROR(SUMPRODUCT(S5:S10,P5:P10)/P11,0)</f>
        <v>74190.536329588023</v>
      </c>
      <c r="T11" s="39">
        <f>IFERROR(AVERAGEIFS(Tabla22[P_T],Tabla22[[Economy ]],$O$2),0)</f>
        <v>50381.203254545457</v>
      </c>
      <c r="U11" s="58">
        <f>IFERROR(AVERAGEIFS(Tabla22[profit -wages],Tabla22[[Economy ]],$O$2),0)</f>
        <v>15336.130084210532</v>
      </c>
      <c r="Y11" s="46"/>
      <c r="Z11" s="46"/>
    </row>
    <row r="12" spans="1:26" x14ac:dyDescent="0.25">
      <c r="B12" s="64" t="s">
        <v>68</v>
      </c>
      <c r="S12" s="46"/>
      <c r="T12" s="46"/>
      <c r="U12" s="46"/>
      <c r="V12" s="46"/>
      <c r="W12" s="46"/>
    </row>
    <row r="13" spans="1:26" x14ac:dyDescent="0.25">
      <c r="L13" s="53"/>
      <c r="S13" s="46"/>
      <c r="T13" s="46"/>
      <c r="U13" s="46"/>
      <c r="V13" s="46"/>
      <c r="W13" s="46"/>
    </row>
    <row r="14" spans="1:26" x14ac:dyDescent="0.25">
      <c r="S14" s="46"/>
      <c r="T14" s="46"/>
      <c r="U14" s="46"/>
      <c r="V14" s="46"/>
      <c r="W14" s="46"/>
    </row>
    <row r="15" spans="1:26" x14ac:dyDescent="0.25">
      <c r="D15" s="67" t="s">
        <v>46</v>
      </c>
      <c r="E15" s="68"/>
      <c r="F15" s="69"/>
      <c r="G15" s="70" t="s">
        <v>47</v>
      </c>
      <c r="H15" s="68"/>
      <c r="I15" s="69"/>
      <c r="J15" s="83" t="s">
        <v>50</v>
      </c>
      <c r="K15" s="84"/>
      <c r="L15" s="84"/>
      <c r="M15" s="84"/>
      <c r="N15" s="84"/>
      <c r="O15" s="84"/>
      <c r="P15" s="84"/>
      <c r="R15" s="46"/>
      <c r="S15" s="46"/>
      <c r="T15" s="46"/>
      <c r="U15" s="46"/>
      <c r="V15" s="46"/>
      <c r="W15" s="46"/>
    </row>
    <row r="16" spans="1:26" x14ac:dyDescent="0.25">
      <c r="A16" t="s">
        <v>45</v>
      </c>
      <c r="B16" t="s">
        <v>12</v>
      </c>
      <c r="C16" t="s">
        <v>0</v>
      </c>
      <c r="D16" s="1" t="s">
        <v>48</v>
      </c>
      <c r="E16" s="13" t="s">
        <v>49</v>
      </c>
      <c r="F16" s="4" t="s">
        <v>4</v>
      </c>
      <c r="G16" s="66" t="s">
        <v>65</v>
      </c>
      <c r="H16" s="13" t="s">
        <v>3</v>
      </c>
      <c r="I16" s="4" t="s">
        <v>5</v>
      </c>
      <c r="J16" s="66" t="s">
        <v>71</v>
      </c>
      <c r="K16" s="13" t="s">
        <v>78</v>
      </c>
      <c r="L16" s="13" t="s">
        <v>79</v>
      </c>
      <c r="M16" s="1" t="s">
        <v>51</v>
      </c>
      <c r="N16" t="s">
        <v>52</v>
      </c>
      <c r="O16" s="41" t="s">
        <v>81</v>
      </c>
      <c r="P16" t="s">
        <v>20</v>
      </c>
      <c r="R16" s="46"/>
      <c r="S16" s="46"/>
      <c r="T16" s="46"/>
      <c r="U16" s="46"/>
      <c r="V16" s="46"/>
    </row>
    <row r="17" spans="1:22" x14ac:dyDescent="0.25">
      <c r="A17" s="13">
        <v>1</v>
      </c>
      <c r="B17" s="13" t="s">
        <v>13</v>
      </c>
      <c r="C17" s="37">
        <v>2.9100000000000001E-2</v>
      </c>
      <c r="D17" s="2" t="s">
        <v>53</v>
      </c>
      <c r="E17" s="3">
        <v>124454</v>
      </c>
      <c r="F17" s="4">
        <v>1</v>
      </c>
      <c r="G17" s="2" t="s">
        <v>55</v>
      </c>
      <c r="H17" s="3">
        <v>63090</v>
      </c>
      <c r="I17" s="4">
        <v>3</v>
      </c>
      <c r="J17" s="2">
        <f>Tabla22[[#This Row],[Base price1]]*Tabla22[[#This Row],[Req.]]+Tabla22[[#This Row],[Base price2]]*Tabla22[[#This Row],[Req.2]]</f>
        <v>313724</v>
      </c>
      <c r="K17" s="3">
        <f>IFERROR(LOOKUP(Tabla22[[#This Row],[Product]],$R$18:$R$23,$T$18:$T$23)*Tabla22[[#This Row],[QualityBonus]]*Tabla22[[#This Row],[Base price1]]*Tabla22[[#This Row],[Req.]],0)</f>
        <v>21729.668400000002</v>
      </c>
      <c r="L17" s="3">
        <f>IF(Tabla22[[#This Row],[Req.2]]&gt;0,LOOKUP(Tabla22[[#This Row],[Product2]],$R$18:$R$23,$T$18:$T$23)*Tabla22[[#This Row],[Base price2]]*Tabla22[[#This Row],[Req.2]]*Tabla22[[#This Row],[QualityBonus]],0)</f>
        <v>27538.785</v>
      </c>
      <c r="M17" s="2">
        <f>IFERROR((Tabla22[[#This Row],[Base price1]]-LOOKUP(Tabla22[[#This Row],[Product]],$R$18:$R$23,$S$18:$S$23))*Tabla22[[#This Row],[Req.]],0)</f>
        <v>5454</v>
      </c>
      <c r="N17" s="3">
        <f>IF(Tabla22[[#This Row],[Req.2]]&gt;0,(Tabla22[[#This Row],[Base price2]]-LOOKUP(Tabla22[[#This Row],[Product2]],$R$18:$R$23,$S$18:$S$23))*Tabla22[[#This Row],[Req.2]],0)</f>
        <v>24270</v>
      </c>
      <c r="O17" s="2">
        <f>SUM(Tabla22[[#This Row],[Bonus1]:[p2]])</f>
        <v>78992.453399999999</v>
      </c>
      <c r="P17" s="3">
        <f>IF(Tabla22[[#This Row],[QualityBonus]]&gt;0,Tabla22[[#This Row],[P_T]]-$C$4,"")</f>
        <v>35992.453399999999</v>
      </c>
      <c r="R17" s="78" t="s">
        <v>76</v>
      </c>
      <c r="S17" s="78" t="s">
        <v>2</v>
      </c>
      <c r="T17" s="78" t="s">
        <v>77</v>
      </c>
      <c r="U17" s="46"/>
      <c r="V17" s="46"/>
    </row>
    <row r="18" spans="1:22" x14ac:dyDescent="0.25">
      <c r="A18" s="13">
        <v>2</v>
      </c>
      <c r="B18" s="13" t="s">
        <v>13</v>
      </c>
      <c r="C18" s="37">
        <v>2.0899999999999998E-2</v>
      </c>
      <c r="D18" s="2" t="s">
        <v>56</v>
      </c>
      <c r="E18" s="3">
        <v>84382</v>
      </c>
      <c r="F18" s="4">
        <v>2</v>
      </c>
      <c r="G18" s="2" t="s">
        <v>55</v>
      </c>
      <c r="H18" s="3">
        <v>62008</v>
      </c>
      <c r="I18" s="4">
        <v>4</v>
      </c>
      <c r="J18" s="2">
        <f>Tabla22[[#This Row],[Base price1]]*Tabla22[[#This Row],[Req.]]+Tabla22[[#This Row],[Base price2]]*Tabla22[[#This Row],[Req.2]]</f>
        <v>416796</v>
      </c>
      <c r="K18" s="3">
        <f>IFERROR(LOOKUP(Tabla22[[#This Row],[Product]],$R$18:$R$23,$T$18:$T$23)*Tabla22[[#This Row],[QualityBonus]]*Tabla22[[#This Row],[Base price1]]*Tabla22[[#This Row],[Req.]],0)</f>
        <v>14108.670399999999</v>
      </c>
      <c r="L18" s="3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2">
        <f>IFERROR((Tabla22[[#This Row],[Base price1]]-LOOKUP(Tabla22[[#This Row],[Product]],$R$18:$R$23,$S$18:$S$23))*Tabla22[[#This Row],[Req.]],0)</f>
        <v>4764</v>
      </c>
      <c r="N18" s="3">
        <f>IF(Tabla22[[#This Row],[Req.2]]&gt;0,(Tabla22[[#This Row],[Base price2]]-LOOKUP(Tabla22[[#This Row],[Product2]],$R$18:$R$23,$S$18:$S$23))*Tabla22[[#This Row],[Req.2]],0)</f>
        <v>28032</v>
      </c>
      <c r="O18" s="2">
        <f>SUM(Tabla22[[#This Row],[Bonus1]:[p2]])</f>
        <v>72824.0144</v>
      </c>
      <c r="P18" s="3">
        <f>IF(Tabla22[[#This Row],[QualityBonus]]&gt;0,Tabla22[[#This Row],[P_T]]-$C$4,"")</f>
        <v>29824.0144</v>
      </c>
      <c r="R18" s="46" t="s">
        <v>27</v>
      </c>
      <c r="S18" s="77">
        <v>858000</v>
      </c>
      <c r="T18" s="77">
        <v>6</v>
      </c>
      <c r="U18" s="46"/>
      <c r="V18" s="46"/>
    </row>
    <row r="19" spans="1:22" x14ac:dyDescent="0.25">
      <c r="A19" s="13">
        <v>3</v>
      </c>
      <c r="B19" s="13" t="s">
        <v>13</v>
      </c>
      <c r="C19" s="37">
        <v>2.7300000000000001E-2</v>
      </c>
      <c r="D19" s="2" t="s">
        <v>56</v>
      </c>
      <c r="E19" s="3">
        <v>85355</v>
      </c>
      <c r="F19" s="4">
        <v>1</v>
      </c>
      <c r="G19" s="2" t="s">
        <v>55</v>
      </c>
      <c r="H19" s="3">
        <v>61900</v>
      </c>
      <c r="I19" s="4">
        <v>4</v>
      </c>
      <c r="J19" s="2">
        <f>Tabla22[[#This Row],[Base price1]]*Tabla22[[#This Row],[Req.]]+Tabla22[[#This Row],[Base price2]]*Tabla22[[#This Row],[Req.2]]</f>
        <v>332955</v>
      </c>
      <c r="K19" s="3">
        <f>IFERROR(LOOKUP(Tabla22[[#This Row],[Product]],$R$18:$R$23,$T$18:$T$23)*Tabla22[[#This Row],[QualityBonus]]*Tabla22[[#This Row],[Base price1]]*Tabla22[[#This Row],[Req.]],0)</f>
        <v>9320.7659999999996</v>
      </c>
      <c r="L19" s="3">
        <f>IF(Tabla22[[#This Row],[Req.2]]&gt;0,LOOKUP(Tabla22[[#This Row],[Product2]],$R$18:$R$23,$T$18:$T$23)*Tabla22[[#This Row],[Base price2]]*Tabla22[[#This Row],[Req.2]]*Tabla22[[#This Row],[QualityBonus]],0)</f>
        <v>33797.4</v>
      </c>
      <c r="M19" s="2">
        <f>IFERROR((Tabla22[[#This Row],[Base price1]]-LOOKUP(Tabla22[[#This Row],[Product]],$R$18:$R$23,$S$18:$S$23))*Tabla22[[#This Row],[Req.]],0)</f>
        <v>3355</v>
      </c>
      <c r="N19" s="3">
        <f>IF(Tabla22[[#This Row],[Req.2]]&gt;0,(Tabla22[[#This Row],[Base price2]]-LOOKUP(Tabla22[[#This Row],[Product2]],$R$18:$R$23,$S$18:$S$23))*Tabla22[[#This Row],[Req.2]],0)</f>
        <v>27600</v>
      </c>
      <c r="O19" s="2">
        <f>SUM(Tabla22[[#This Row],[Bonus1]:[p2]])</f>
        <v>74073.165999999997</v>
      </c>
      <c r="P19" s="3">
        <f>IF(Tabla22[[#This Row],[QualityBonus]]&gt;0,Tabla22[[#This Row],[P_T]]-$C$4,"")</f>
        <v>31073.165999999997</v>
      </c>
      <c r="R19" s="46" t="s">
        <v>57</v>
      </c>
      <c r="S19" s="77">
        <v>238000</v>
      </c>
      <c r="T19" s="77">
        <v>4</v>
      </c>
      <c r="U19" s="46"/>
      <c r="V19" s="46"/>
    </row>
    <row r="20" spans="1:22" x14ac:dyDescent="0.25">
      <c r="A20" s="13">
        <v>4</v>
      </c>
      <c r="B20" s="13" t="s">
        <v>13</v>
      </c>
      <c r="C20" s="37">
        <v>2.92E-2</v>
      </c>
      <c r="D20" s="2" t="s">
        <v>55</v>
      </c>
      <c r="E20" s="3">
        <v>59763</v>
      </c>
      <c r="F20" s="4">
        <v>3</v>
      </c>
      <c r="G20" s="2"/>
      <c r="H20" s="3"/>
      <c r="I20" s="4"/>
      <c r="J20" s="2">
        <f>Tabla22[[#This Row],[Base price1]]*Tabla22[[#This Row],[Req.]]+Tabla22[[#This Row],[Base price2]]*Tabla22[[#This Row],[Req.2]]</f>
        <v>179289</v>
      </c>
      <c r="K20" s="3">
        <f>IFERROR(LOOKUP(Tabla22[[#This Row],[Product]],$R$18:$R$23,$T$18:$T$23)*Tabla22[[#This Row],[QualityBonus]]*Tabla22[[#This Row],[Base price1]]*Tabla22[[#This Row],[Req.]],0)</f>
        <v>26176.193999999996</v>
      </c>
      <c r="L20" s="3">
        <f>IF(Tabla22[[#This Row],[Req.2]]&gt;0,LOOKUP(Tabla22[[#This Row],[Product2]],$R$18:$R$23,$T$18:$T$23)*Tabla22[[#This Row],[Base price2]]*Tabla22[[#This Row],[Req.2]]*Tabla22[[#This Row],[QualityBonus]],0)</f>
        <v>0</v>
      </c>
      <c r="M20" s="2">
        <f>IFERROR((Tabla22[[#This Row],[Base price1]]-LOOKUP(Tabla22[[#This Row],[Product]],$R$18:$R$23,$S$18:$S$23))*Tabla22[[#This Row],[Req.]],0)</f>
        <v>14289</v>
      </c>
      <c r="N20" s="3">
        <f>IF(Tabla22[[#This Row],[Req.2]]&gt;0,(Tabla22[[#This Row],[Base price2]]-LOOKUP(Tabla22[[#This Row],[Product2]],$R$18:$R$23,$S$18:$S$23))*Tabla22[[#This Row],[Req.2]],0)</f>
        <v>0</v>
      </c>
      <c r="O20" s="2">
        <f>SUM(Tabla22[[#This Row],[Bonus1]:[p2]])</f>
        <v>40465.193999999996</v>
      </c>
      <c r="P20" s="3">
        <f>IF(Tabla22[[#This Row],[QualityBonus]]&gt;0,Tabla22[[#This Row],[P_T]]-$C$4,"")</f>
        <v>-2534.8060000000041</v>
      </c>
      <c r="R20" s="46" t="s">
        <v>58</v>
      </c>
      <c r="S20" s="77">
        <v>82000</v>
      </c>
      <c r="T20" s="77">
        <v>4</v>
      </c>
      <c r="U20" s="46"/>
      <c r="V20" s="46"/>
    </row>
    <row r="21" spans="1:22" x14ac:dyDescent="0.25">
      <c r="A21" s="13">
        <v>5</v>
      </c>
      <c r="B21" s="13" t="s">
        <v>13</v>
      </c>
      <c r="C21" s="37">
        <v>2.23E-2</v>
      </c>
      <c r="D21" s="2" t="s">
        <v>53</v>
      </c>
      <c r="E21" s="3">
        <v>121295</v>
      </c>
      <c r="F21" s="4">
        <v>1</v>
      </c>
      <c r="G21" s="2" t="s">
        <v>55</v>
      </c>
      <c r="H21" s="3">
        <v>61528</v>
      </c>
      <c r="I21" s="4">
        <v>2</v>
      </c>
      <c r="J21" s="2">
        <f>Tabla22[[#This Row],[Base price1]]*Tabla22[[#This Row],[Req.]]+Tabla22[[#This Row],[Base price2]]*Tabla22[[#This Row],[Req.2]]</f>
        <v>244351</v>
      </c>
      <c r="K21" s="3">
        <f>IFERROR(LOOKUP(Tabla22[[#This Row],[Product]],$R$18:$R$23,$T$18:$T$23)*Tabla22[[#This Row],[QualityBonus]]*Tabla22[[#This Row],[Base price1]]*Tabla22[[#This Row],[Req.]],0)</f>
        <v>16229.271000000001</v>
      </c>
      <c r="L21" s="3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2">
        <f>IFERROR((Tabla22[[#This Row],[Base price1]]-LOOKUP(Tabla22[[#This Row],[Product]],$R$18:$R$23,$S$18:$S$23))*Tabla22[[#This Row],[Req.]],0)</f>
        <v>2295</v>
      </c>
      <c r="N21" s="3">
        <f>IF(Tabla22[[#This Row],[Req.2]]&gt;0,(Tabla22[[#This Row],[Base price2]]-LOOKUP(Tabla22[[#This Row],[Product2]],$R$18:$R$23,$S$18:$S$23))*Tabla22[[#This Row],[Req.2]],0)</f>
        <v>13056</v>
      </c>
      <c r="O21" s="2">
        <f>SUM(Tabla22[[#This Row],[Bonus1]:[p2]])</f>
        <v>45301.014999999999</v>
      </c>
      <c r="P21" s="3">
        <f>IF(Tabla22[[#This Row],[QualityBonus]]&gt;0,Tabla22[[#This Row],[P_T]]-$C$4,"")</f>
        <v>2301.0149999999994</v>
      </c>
      <c r="R21" s="46" t="s">
        <v>55</v>
      </c>
      <c r="S21" s="77">
        <v>55000</v>
      </c>
      <c r="T21" s="77">
        <v>5</v>
      </c>
      <c r="U21" s="46"/>
      <c r="V21" s="46"/>
    </row>
    <row r="22" spans="1:22" x14ac:dyDescent="0.25">
      <c r="A22" s="24">
        <v>6</v>
      </c>
      <c r="B22" s="24" t="s">
        <v>13</v>
      </c>
      <c r="C22" s="45">
        <v>1.6500000000000001E-2</v>
      </c>
      <c r="D22" s="38" t="s">
        <v>53</v>
      </c>
      <c r="E22" s="39">
        <v>120391</v>
      </c>
      <c r="F22" s="40">
        <v>1</v>
      </c>
      <c r="G22" s="38" t="s">
        <v>54</v>
      </c>
      <c r="H22" s="39">
        <v>41297</v>
      </c>
      <c r="I22" s="40">
        <v>2</v>
      </c>
      <c r="J22" s="38">
        <f>Tabla22[[#This Row],[Base price1]]*Tabla22[[#This Row],[Req.]]+Tabla22[[#This Row],[Base price2]]*Tabla22[[#This Row],[Req.2]]</f>
        <v>202985</v>
      </c>
      <c r="K22" s="39">
        <f>IFERROR(LOOKUP(Tabla22[[#This Row],[Product]],$R$18:$R$23,$T$18:$T$23)*Tabla22[[#This Row],[QualityBonus]]*Tabla22[[#This Row],[Base price1]]*Tabla22[[#This Row],[Req.]],0)</f>
        <v>11918.709000000001</v>
      </c>
      <c r="L22" s="39">
        <f>IF(Tabla22[[#This Row],[Req.2]]&gt;0,LOOKUP(Tabla22[[#This Row],[Product2]],$R$18:$R$23,$T$18:$T$23)*Tabla22[[#This Row],[Base price2]]*Tabla22[[#This Row],[Req.2]]*Tabla22[[#This Row],[QualityBonus]],0)</f>
        <v>8176.8060000000005</v>
      </c>
      <c r="M22" s="38">
        <f>IFERROR((Tabla22[[#This Row],[Base price1]]-LOOKUP(Tabla22[[#This Row],[Product]],$R$18:$R$23,$S$18:$S$23))*Tabla22[[#This Row],[Req.]],0)</f>
        <v>1391</v>
      </c>
      <c r="N22" s="39">
        <f>IF(Tabla22[[#This Row],[Req.2]]&gt;0,(Tabla22[[#This Row],[Base price2]]-LOOKUP(Tabla22[[#This Row],[Product2]],$R$18:$R$23,$S$18:$S$23))*Tabla22[[#This Row],[Req.2]],0)</f>
        <v>8394</v>
      </c>
      <c r="O22" s="38">
        <f>SUM(Tabla22[[#This Row],[Bonus1]:[p2]])</f>
        <v>29880.514999999999</v>
      </c>
      <c r="P22" s="39">
        <f>IF(Tabla22[[#This Row],[QualityBonus]]&gt;0,Tabla22[[#This Row],[P_T]]-$C$4,"")</f>
        <v>-13119.485000000001</v>
      </c>
      <c r="R22" s="46" t="s">
        <v>54</v>
      </c>
      <c r="S22" s="77">
        <v>37100</v>
      </c>
      <c r="T22" s="77">
        <v>6</v>
      </c>
      <c r="U22" s="46"/>
      <c r="V22" s="46"/>
    </row>
    <row r="23" spans="1:22" x14ac:dyDescent="0.25">
      <c r="A23" s="13">
        <v>7</v>
      </c>
      <c r="B23" s="13" t="s">
        <v>13</v>
      </c>
      <c r="C23" s="37">
        <v>2.7699999999999999E-2</v>
      </c>
      <c r="D23" s="2" t="s">
        <v>55</v>
      </c>
      <c r="E23" s="3">
        <v>59574</v>
      </c>
      <c r="F23" s="4">
        <v>3</v>
      </c>
      <c r="G23" s="2"/>
      <c r="H23" s="3"/>
      <c r="I23" s="4"/>
      <c r="J23" s="2">
        <f>Tabla22[[#This Row],[Base price1]]*Tabla22[[#This Row],[Req.]]+Tabla22[[#This Row],[Base price2]]*Tabla22[[#This Row],[Req.2]]</f>
        <v>178722</v>
      </c>
      <c r="K23" s="3">
        <f>IFERROR(LOOKUP(Tabla22[[#This Row],[Product]],$R$18:$R$23,$T$18:$T$23)*Tabla22[[#This Row],[QualityBonus]]*Tabla22[[#This Row],[Base price1]]*Tabla22[[#This Row],[Req.]],0)</f>
        <v>24752.996999999999</v>
      </c>
      <c r="L23" s="3">
        <f>IF(Tabla22[[#This Row],[Req.2]]&gt;0,LOOKUP(Tabla22[[#This Row],[Product2]],$R$18:$R$23,$T$18:$T$23)*Tabla22[[#This Row],[Base price2]]*Tabla22[[#This Row],[Req.2]]*Tabla22[[#This Row],[QualityBonus]],0)</f>
        <v>0</v>
      </c>
      <c r="M23" s="2">
        <f>IFERROR((Tabla22[[#This Row],[Base price1]]-LOOKUP(Tabla22[[#This Row],[Product]],$R$18:$R$23,$S$18:$S$23))*Tabla22[[#This Row],[Req.]],0)</f>
        <v>13722</v>
      </c>
      <c r="N23" s="3">
        <f>IF(Tabla22[[#This Row],[Req.2]]&gt;0,(Tabla22[[#This Row],[Base price2]]-LOOKUP(Tabla22[[#This Row],[Product2]],$R$18:$R$23,$S$18:$S$23))*Tabla22[[#This Row],[Req.2]],0)</f>
        <v>0</v>
      </c>
      <c r="O23" s="2">
        <f>SUM(Tabla22[[#This Row],[Bonus1]:[p2]])</f>
        <v>38474.997000000003</v>
      </c>
      <c r="P23" s="3">
        <f>IF(Tabla22[[#This Row],[QualityBonus]]&gt;0,Tabla22[[#This Row],[P_T]]-$C$4,"")</f>
        <v>-4525.002999999997</v>
      </c>
      <c r="R23" s="46" t="s">
        <v>53</v>
      </c>
      <c r="S23" s="77">
        <v>119000</v>
      </c>
      <c r="T23" s="77">
        <v>6</v>
      </c>
      <c r="U23" s="46"/>
      <c r="V23" s="46"/>
    </row>
    <row r="24" spans="1:22" x14ac:dyDescent="0.25">
      <c r="A24" s="13">
        <v>8</v>
      </c>
      <c r="B24" s="13" t="s">
        <v>13</v>
      </c>
      <c r="C24" s="37">
        <v>1.9400000000000001E-2</v>
      </c>
      <c r="D24" s="2" t="s">
        <v>54</v>
      </c>
      <c r="E24" s="3">
        <v>42425</v>
      </c>
      <c r="F24" s="4">
        <v>5</v>
      </c>
      <c r="G24" s="2" t="s">
        <v>55</v>
      </c>
      <c r="H24" s="3">
        <v>62774</v>
      </c>
      <c r="I24" s="4">
        <v>4</v>
      </c>
      <c r="J24" s="2">
        <f>Tabla22[[#This Row],[Base price1]]*Tabla22[[#This Row],[Req.]]+Tabla22[[#This Row],[Base price2]]*Tabla22[[#This Row],[Req.2]]</f>
        <v>463221</v>
      </c>
      <c r="K24" s="3">
        <f>IFERROR(LOOKUP(Tabla22[[#This Row],[Product]],$R$18:$R$23,$T$18:$T$23)*Tabla22[[#This Row],[QualityBonus]]*Tabla22[[#This Row],[Base price1]]*Tabla22[[#This Row],[Req.]],0)</f>
        <v>24691.350000000002</v>
      </c>
      <c r="L24" s="3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2">
        <f>IFERROR((Tabla22[[#This Row],[Base price1]]-LOOKUP(Tabla22[[#This Row],[Product]],$R$18:$R$23,$S$18:$S$23))*Tabla22[[#This Row],[Req.]],0)</f>
        <v>26625</v>
      </c>
      <c r="N24" s="3">
        <f>IF(Tabla22[[#This Row],[Req.2]]&gt;0,(Tabla22[[#This Row],[Base price2]]-LOOKUP(Tabla22[[#This Row],[Product2]],$R$18:$R$23,$S$18:$S$23))*Tabla22[[#This Row],[Req.2]],0)</f>
        <v>31096</v>
      </c>
      <c r="O24" s="2">
        <f>SUM(Tabla22[[#This Row],[Bonus1]:[p2]])</f>
        <v>106768.66200000001</v>
      </c>
      <c r="P24" s="3">
        <f>IF(Tabla22[[#This Row],[QualityBonus]]&gt;0,Tabla22[[#This Row],[P_T]]-$C$4,"")</f>
        <v>63768.662000000011</v>
      </c>
      <c r="R24" s="46"/>
      <c r="S24" s="46"/>
      <c r="T24" s="46"/>
      <c r="U24" s="46"/>
      <c r="V24" s="46"/>
    </row>
    <row r="25" spans="1:22" x14ac:dyDescent="0.25">
      <c r="A25" s="13">
        <v>9</v>
      </c>
      <c r="B25" s="13" t="s">
        <v>13</v>
      </c>
      <c r="C25" s="37">
        <v>2.9399999999999999E-2</v>
      </c>
      <c r="D25" s="2" t="s">
        <v>55</v>
      </c>
      <c r="E25" s="3">
        <v>62463</v>
      </c>
      <c r="F25" s="4">
        <v>1</v>
      </c>
      <c r="G25" s="2"/>
      <c r="H25" s="3"/>
      <c r="I25" s="4"/>
      <c r="J25" s="2">
        <f>Tabla22[[#This Row],[Base price1]]*Tabla22[[#This Row],[Req.]]+Tabla22[[#This Row],[Base price2]]*Tabla22[[#This Row],[Req.2]]</f>
        <v>62463</v>
      </c>
      <c r="K25" s="3">
        <f>IFERROR(LOOKUP(Tabla22[[#This Row],[Product]],$R$18:$R$23,$T$18:$T$23)*Tabla22[[#This Row],[QualityBonus]]*Tabla22[[#This Row],[Base price1]]*Tabla22[[#This Row],[Req.]],0)</f>
        <v>9182.0609999999997</v>
      </c>
      <c r="L25" s="3">
        <f>IF(Tabla22[[#This Row],[Req.2]]&gt;0,LOOKUP(Tabla22[[#This Row],[Product2]],$R$18:$R$23,$T$18:$T$23)*Tabla22[[#This Row],[Base price2]]*Tabla22[[#This Row],[Req.2]]*Tabla22[[#This Row],[QualityBonus]],0)</f>
        <v>0</v>
      </c>
      <c r="M25" s="2">
        <f>IFERROR((Tabla22[[#This Row],[Base price1]]-LOOKUP(Tabla22[[#This Row],[Product]],$R$18:$R$23,$S$18:$S$23))*Tabla22[[#This Row],[Req.]],0)</f>
        <v>7463</v>
      </c>
      <c r="N25" s="3">
        <f>IF(Tabla22[[#This Row],[Req.2]]&gt;0,(Tabla22[[#This Row],[Base price2]]-LOOKUP(Tabla22[[#This Row],[Product2]],$R$18:$R$23,$S$18:$S$23))*Tabla22[[#This Row],[Req.2]],0)</f>
        <v>0</v>
      </c>
      <c r="O25" s="2">
        <f>SUM(Tabla22[[#This Row],[Bonus1]:[p2]])</f>
        <v>16645.061000000002</v>
      </c>
      <c r="P25" s="3">
        <f>IF(Tabla22[[#This Row],[QualityBonus]]&gt;0,Tabla22[[#This Row],[P_T]]-$C$4,"")</f>
        <v>-26354.938999999998</v>
      </c>
      <c r="R25" s="46"/>
      <c r="S25" s="46"/>
      <c r="T25" s="46"/>
      <c r="U25" s="46"/>
      <c r="V25" s="46"/>
    </row>
    <row r="26" spans="1:22" x14ac:dyDescent="0.25">
      <c r="A26" s="13">
        <v>10</v>
      </c>
      <c r="B26" s="13" t="s">
        <v>13</v>
      </c>
      <c r="C26" s="37">
        <v>1.35E-2</v>
      </c>
      <c r="D26" s="2" t="s">
        <v>55</v>
      </c>
      <c r="E26" s="3">
        <v>63155</v>
      </c>
      <c r="F26" s="4">
        <v>1</v>
      </c>
      <c r="G26" s="2" t="s">
        <v>53</v>
      </c>
      <c r="H26" s="3">
        <v>121803</v>
      </c>
      <c r="I26" s="4">
        <v>2</v>
      </c>
      <c r="J26" s="2">
        <f>Tabla22[[#This Row],[Base price1]]*Tabla22[[#This Row],[Req.]]+Tabla22[[#This Row],[Base price2]]*Tabla22[[#This Row],[Req.2]]</f>
        <v>306761</v>
      </c>
      <c r="K26" s="3">
        <f>IFERROR(LOOKUP(Tabla22[[#This Row],[Product]],$R$18:$R$23,$T$18:$T$23)*Tabla22[[#This Row],[QualityBonus]]*Tabla22[[#This Row],[Base price1]]*Tabla22[[#This Row],[Req.]],0)</f>
        <v>4262.9625000000005</v>
      </c>
      <c r="L26" s="3">
        <f>IF(Tabla22[[#This Row],[Req.2]]&gt;0,LOOKUP(Tabla22[[#This Row],[Product2]],$R$18:$R$23,$T$18:$T$23)*Tabla22[[#This Row],[Base price2]]*Tabla22[[#This Row],[Req.2]]*Tabla22[[#This Row],[QualityBonus]],0)</f>
        <v>19732.085999999999</v>
      </c>
      <c r="M26" s="2">
        <f>IFERROR((Tabla22[[#This Row],[Base price1]]-LOOKUP(Tabla22[[#This Row],[Product]],$R$18:$R$23,$S$18:$S$23))*Tabla22[[#This Row],[Req.]],0)</f>
        <v>8155</v>
      </c>
      <c r="N26" s="3">
        <f>IF(Tabla22[[#This Row],[Req.2]]&gt;0,(Tabla22[[#This Row],[Base price2]]-LOOKUP(Tabla22[[#This Row],[Product2]],$R$18:$R$23,$S$18:$S$23))*Tabla22[[#This Row],[Req.2]],0)</f>
        <v>5606</v>
      </c>
      <c r="O26" s="2">
        <f>SUM(Tabla22[[#This Row],[Bonus1]:[p2]])</f>
        <v>37756.048500000004</v>
      </c>
      <c r="P26" s="3">
        <f>IF(Tabla22[[#This Row],[QualityBonus]]&gt;0,Tabla22[[#This Row],[P_T]]-$C$4,"")</f>
        <v>-5243.9514999999956</v>
      </c>
      <c r="R26" s="46"/>
      <c r="S26" s="46"/>
      <c r="T26" s="46"/>
      <c r="U26" s="46"/>
      <c r="V26" s="46"/>
    </row>
    <row r="27" spans="1:22" x14ac:dyDescent="0.25">
      <c r="A27" s="13">
        <v>11</v>
      </c>
      <c r="B27" s="13" t="s">
        <v>13</v>
      </c>
      <c r="C27" s="37">
        <v>1.9599999999999999E-2</v>
      </c>
      <c r="D27" s="2" t="s">
        <v>53</v>
      </c>
      <c r="E27" s="3">
        <v>122297</v>
      </c>
      <c r="F27" s="4">
        <v>2</v>
      </c>
      <c r="G27" s="2" t="s">
        <v>55</v>
      </c>
      <c r="H27" s="3">
        <v>62060</v>
      </c>
      <c r="I27" s="4">
        <v>1</v>
      </c>
      <c r="J27" s="2">
        <f>Tabla22[[#This Row],[Base price1]]*Tabla22[[#This Row],[Req.]]+Tabla22[[#This Row],[Base price2]]*Tabla22[[#This Row],[Req.2]]</f>
        <v>306654</v>
      </c>
      <c r="K27" s="3">
        <f>IFERROR(LOOKUP(Tabla22[[#This Row],[Product]],$R$18:$R$23,$T$18:$T$23)*Tabla22[[#This Row],[QualityBonus]]*Tabla22[[#This Row],[Base price1]]*Tabla22[[#This Row],[Req.]],0)</f>
        <v>28764.254399999998</v>
      </c>
      <c r="L27" s="3">
        <f>IF(Tabla22[[#This Row],[Req.2]]&gt;0,LOOKUP(Tabla22[[#This Row],[Product2]],$R$18:$R$23,$T$18:$T$23)*Tabla22[[#This Row],[Base price2]]*Tabla22[[#This Row],[Req.2]]*Tabla22[[#This Row],[QualityBonus]],0)</f>
        <v>6081.88</v>
      </c>
      <c r="M27" s="2">
        <f>IFERROR((Tabla22[[#This Row],[Base price1]]-LOOKUP(Tabla22[[#This Row],[Product]],$R$18:$R$23,$S$18:$S$23))*Tabla22[[#This Row],[Req.]],0)</f>
        <v>6594</v>
      </c>
      <c r="N27" s="3">
        <f>IF(Tabla22[[#This Row],[Req.2]]&gt;0,(Tabla22[[#This Row],[Base price2]]-LOOKUP(Tabla22[[#This Row],[Product2]],$R$18:$R$23,$S$18:$S$23))*Tabla22[[#This Row],[Req.2]],0)</f>
        <v>7060</v>
      </c>
      <c r="O27" s="2">
        <f>SUM(Tabla22[[#This Row],[Bonus1]:[p2]])</f>
        <v>48500.134399999995</v>
      </c>
      <c r="P27" s="3">
        <f>IF(Tabla22[[#This Row],[QualityBonus]]&gt;0,Tabla22[[#This Row],[P_T]]-$C$4,"")</f>
        <v>5500.1343999999954</v>
      </c>
      <c r="R27" s="46"/>
      <c r="S27" s="46"/>
      <c r="T27" s="46"/>
      <c r="U27" s="46"/>
      <c r="V27" s="46"/>
    </row>
    <row r="28" spans="1:22" x14ac:dyDescent="0.25">
      <c r="A28" s="13">
        <v>12</v>
      </c>
      <c r="B28" s="13" t="s">
        <v>13</v>
      </c>
      <c r="C28" s="37">
        <v>2.01E-2</v>
      </c>
      <c r="D28" s="2" t="s">
        <v>54</v>
      </c>
      <c r="E28" s="3">
        <v>42060</v>
      </c>
      <c r="F28" s="4">
        <v>2</v>
      </c>
      <c r="G28" s="2"/>
      <c r="H28" s="3"/>
      <c r="I28" s="4"/>
      <c r="J28" s="2">
        <f>Tabla22[[#This Row],[Base price1]]*Tabla22[[#This Row],[Req.]]+Tabla22[[#This Row],[Base price2]]*Tabla22[[#This Row],[Req.2]]</f>
        <v>84120</v>
      </c>
      <c r="K28" s="3">
        <f>IFERROR(LOOKUP(Tabla22[[#This Row],[Product]],$R$18:$R$23,$T$18:$T$23)*Tabla22[[#This Row],[QualityBonus]]*Tabla22[[#This Row],[Base price1]]*Tabla22[[#This Row],[Req.]],0)</f>
        <v>10144.871999999999</v>
      </c>
      <c r="L28" s="3">
        <f>IF(Tabla22[[#This Row],[Req.2]]&gt;0,LOOKUP(Tabla22[[#This Row],[Product2]],$R$18:$R$23,$T$18:$T$23)*Tabla22[[#This Row],[Base price2]]*Tabla22[[#This Row],[Req.2]]*Tabla22[[#This Row],[QualityBonus]],0)</f>
        <v>0</v>
      </c>
      <c r="M28" s="2">
        <f>IFERROR((Tabla22[[#This Row],[Base price1]]-LOOKUP(Tabla22[[#This Row],[Product]],$R$18:$R$23,$S$18:$S$23))*Tabla22[[#This Row],[Req.]],0)</f>
        <v>9920</v>
      </c>
      <c r="N28" s="3">
        <f>IF(Tabla22[[#This Row],[Req.2]]&gt;0,(Tabla22[[#This Row],[Base price2]]-LOOKUP(Tabla22[[#This Row],[Product2]],$R$18:$R$23,$S$18:$S$23))*Tabla22[[#This Row],[Req.2]],0)</f>
        <v>0</v>
      </c>
      <c r="O28" s="2">
        <f>SUM(Tabla22[[#This Row],[Bonus1]:[p2]])</f>
        <v>20064.871999999999</v>
      </c>
      <c r="P28" s="3">
        <f>IF(Tabla22[[#This Row],[QualityBonus]]&gt;0,Tabla22[[#This Row],[P_T]]-$C$4,"")</f>
        <v>-22935.128000000001</v>
      </c>
      <c r="R28" s="46"/>
      <c r="S28" s="46"/>
      <c r="T28" s="46"/>
      <c r="U28" s="46"/>
      <c r="V28" s="46"/>
    </row>
    <row r="29" spans="1:22" x14ac:dyDescent="0.25">
      <c r="A29" s="24">
        <v>13</v>
      </c>
      <c r="B29" s="24" t="s">
        <v>13</v>
      </c>
      <c r="C29" s="45">
        <v>1.23E-2</v>
      </c>
      <c r="D29" s="38" t="s">
        <v>58</v>
      </c>
      <c r="E29" s="39">
        <v>82625</v>
      </c>
      <c r="F29" s="40">
        <v>4</v>
      </c>
      <c r="G29" s="38" t="s">
        <v>55</v>
      </c>
      <c r="H29" s="39">
        <v>60733</v>
      </c>
      <c r="I29" s="40">
        <v>3</v>
      </c>
      <c r="J29" s="38">
        <f>Tabla22[[#This Row],[Base price1]]*Tabla22[[#This Row],[Req.]]+Tabla22[[#This Row],[Base price2]]*Tabla22[[#This Row],[Req.2]]</f>
        <v>512699</v>
      </c>
      <c r="K29" s="39">
        <f>IFERROR(LOOKUP(Tabla22[[#This Row],[Product]],$R$18:$R$23,$T$18:$T$23)*Tabla22[[#This Row],[QualityBonus]]*Tabla22[[#This Row],[Base price1]]*Tabla22[[#This Row],[Req.]],0)</f>
        <v>16260.6</v>
      </c>
      <c r="L29" s="39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38">
        <f>IFERROR((Tabla22[[#This Row],[Base price1]]-LOOKUP(Tabla22[[#This Row],[Product]],$R$18:$R$23,$S$18:$S$23))*Tabla22[[#This Row],[Req.]],0)</f>
        <v>2500</v>
      </c>
      <c r="N29" s="39">
        <f>IF(Tabla22[[#This Row],[Req.2]]&gt;0,(Tabla22[[#This Row],[Base price2]]-LOOKUP(Tabla22[[#This Row],[Product2]],$R$18:$R$23,$S$18:$S$23))*Tabla22[[#This Row],[Req.2]],0)</f>
        <v>17199</v>
      </c>
      <c r="O29" s="38">
        <f>SUM(Tabla22[[#This Row],[Bonus1]:[p2]])</f>
        <v>47164.838499999998</v>
      </c>
      <c r="P29" s="39">
        <f>IF(Tabla22[[#This Row],[QualityBonus]]&gt;0,Tabla22[[#This Row],[P_T]]-$C$4,"")</f>
        <v>4164.838499999998</v>
      </c>
      <c r="R29" s="46"/>
      <c r="S29" s="46"/>
      <c r="T29" s="46"/>
      <c r="U29" s="46"/>
      <c r="V29" s="46"/>
    </row>
    <row r="30" spans="1:22" x14ac:dyDescent="0.25">
      <c r="A30" s="13">
        <v>14</v>
      </c>
      <c r="B30" s="13" t="s">
        <v>13</v>
      </c>
      <c r="C30" s="37">
        <v>2.4E-2</v>
      </c>
      <c r="D30" s="2" t="s">
        <v>53</v>
      </c>
      <c r="E30" s="3">
        <v>122928</v>
      </c>
      <c r="F30" s="4">
        <v>4</v>
      </c>
      <c r="G30" s="2" t="s">
        <v>58</v>
      </c>
      <c r="H30" s="3">
        <v>84564</v>
      </c>
      <c r="I30" s="4">
        <v>2</v>
      </c>
      <c r="J30" s="2">
        <f>Tabla22[[#This Row],[Base price1]]*Tabla22[[#This Row],[Req.]]+Tabla22[[#This Row],[Base price2]]*Tabla22[[#This Row],[Req.2]]</f>
        <v>660840</v>
      </c>
      <c r="K30" s="3">
        <f>IFERROR(LOOKUP(Tabla22[[#This Row],[Product]],$R$18:$R$23,$T$18:$T$23)*Tabla22[[#This Row],[QualityBonus]]*Tabla22[[#This Row],[Base price1]]*Tabla22[[#This Row],[Req.]],0)</f>
        <v>70806.528000000006</v>
      </c>
      <c r="L30" s="3">
        <f>IF(Tabla22[[#This Row],[Req.2]]&gt;0,LOOKUP(Tabla22[[#This Row],[Product2]],$R$18:$R$23,$T$18:$T$23)*Tabla22[[#This Row],[Base price2]]*Tabla22[[#This Row],[Req.2]]*Tabla22[[#This Row],[QualityBonus]],0)</f>
        <v>16236.288</v>
      </c>
      <c r="M30" s="2">
        <f>IFERROR((Tabla22[[#This Row],[Base price1]]-LOOKUP(Tabla22[[#This Row],[Product]],$R$18:$R$23,$S$18:$S$23))*Tabla22[[#This Row],[Req.]],0)</f>
        <v>15712</v>
      </c>
      <c r="N30" s="3">
        <f>IF(Tabla22[[#This Row],[Req.2]]&gt;0,(Tabla22[[#This Row],[Base price2]]-LOOKUP(Tabla22[[#This Row],[Product2]],$R$18:$R$23,$S$18:$S$23))*Tabla22[[#This Row],[Req.2]],0)</f>
        <v>5128</v>
      </c>
      <c r="O30" s="2">
        <f>SUM(Tabla22[[#This Row],[Bonus1]:[p2]])</f>
        <v>107882.81600000001</v>
      </c>
      <c r="P30" s="3">
        <f>IF(Tabla22[[#This Row],[QualityBonus]]&gt;0,Tabla22[[#This Row],[P_T]]-$C$4,"")</f>
        <v>64882.816000000006</v>
      </c>
      <c r="R30" s="46"/>
      <c r="S30" s="46"/>
      <c r="T30" s="46"/>
      <c r="U30" s="46"/>
      <c r="V30" s="46"/>
    </row>
    <row r="31" spans="1:22" x14ac:dyDescent="0.25">
      <c r="A31" s="13">
        <v>15</v>
      </c>
      <c r="B31" s="13" t="s">
        <v>13</v>
      </c>
      <c r="C31" s="37">
        <v>1.3299999999999999E-2</v>
      </c>
      <c r="D31" s="2" t="s">
        <v>54</v>
      </c>
      <c r="E31" s="3">
        <v>41066</v>
      </c>
      <c r="F31" s="4">
        <v>2</v>
      </c>
      <c r="G31" s="2" t="s">
        <v>55</v>
      </c>
      <c r="H31" s="3">
        <v>59787</v>
      </c>
      <c r="I31" s="4">
        <v>1</v>
      </c>
      <c r="J31" s="2">
        <f>Tabla22[[#This Row],[Base price1]]*Tabla22[[#This Row],[Req.]]+Tabla22[[#This Row],[Base price2]]*Tabla22[[#This Row],[Req.2]]</f>
        <v>141919</v>
      </c>
      <c r="K31" s="3">
        <f>IFERROR(LOOKUP(Tabla22[[#This Row],[Product]],$R$18:$R$23,$T$18:$T$23)*Tabla22[[#This Row],[QualityBonus]]*Tabla22[[#This Row],[Base price1]]*Tabla22[[#This Row],[Req.]],0)</f>
        <v>6554.1336000000001</v>
      </c>
      <c r="L31" s="3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2">
        <f>IFERROR((Tabla22[[#This Row],[Base price1]]-LOOKUP(Tabla22[[#This Row],[Product]],$R$18:$R$23,$S$18:$S$23))*Tabla22[[#This Row],[Req.]],0)</f>
        <v>7932</v>
      </c>
      <c r="N31" s="3">
        <f>IF(Tabla22[[#This Row],[Req.2]]&gt;0,(Tabla22[[#This Row],[Base price2]]-LOOKUP(Tabla22[[#This Row],[Product2]],$R$18:$R$23,$S$18:$S$23))*Tabla22[[#This Row],[Req.2]],0)</f>
        <v>4787</v>
      </c>
      <c r="O31" s="2">
        <f>SUM(Tabla22[[#This Row],[Bonus1]:[p2]])</f>
        <v>23248.969100000002</v>
      </c>
      <c r="P31" s="3">
        <f>IF(Tabla22[[#This Row],[QualityBonus]]&gt;0,Tabla22[[#This Row],[P_T]]-$C$4,"")</f>
        <v>-19751.030899999998</v>
      </c>
      <c r="R31" s="46"/>
      <c r="S31" s="46"/>
      <c r="T31" s="46"/>
      <c r="U31" s="46"/>
      <c r="V31" s="46"/>
    </row>
    <row r="32" spans="1:22" x14ac:dyDescent="0.25">
      <c r="A32" s="13">
        <v>16</v>
      </c>
      <c r="B32" s="13" t="s">
        <v>13</v>
      </c>
      <c r="C32" s="37">
        <v>1.9099999999999999E-2</v>
      </c>
      <c r="D32" s="2" t="s">
        <v>54</v>
      </c>
      <c r="E32" s="3">
        <v>40811</v>
      </c>
      <c r="F32" s="4">
        <v>5</v>
      </c>
      <c r="G32" s="2" t="s">
        <v>53</v>
      </c>
      <c r="H32" s="3">
        <v>119896</v>
      </c>
      <c r="I32" s="4">
        <v>2</v>
      </c>
      <c r="J32" s="2">
        <f>Tabla22[[#This Row],[Base price1]]*Tabla22[[#This Row],[Req.]]+Tabla22[[#This Row],[Base price2]]*Tabla22[[#This Row],[Req.2]]</f>
        <v>443847</v>
      </c>
      <c r="K32" s="3">
        <f>IFERROR(LOOKUP(Tabla22[[#This Row],[Product]],$R$18:$R$23,$T$18:$T$23)*Tabla22[[#This Row],[QualityBonus]]*Tabla22[[#This Row],[Base price1]]*Tabla22[[#This Row],[Req.]],0)</f>
        <v>23384.703000000001</v>
      </c>
      <c r="L32" s="3">
        <f>IF(Tabla22[[#This Row],[Req.2]]&gt;0,LOOKUP(Tabla22[[#This Row],[Product2]],$R$18:$R$23,$T$18:$T$23)*Tabla22[[#This Row],[Base price2]]*Tabla22[[#This Row],[Req.2]]*Tabla22[[#This Row],[QualityBonus]],0)</f>
        <v>27480.163199999999</v>
      </c>
      <c r="M32" s="2">
        <f>IFERROR((Tabla22[[#This Row],[Base price1]]-LOOKUP(Tabla22[[#This Row],[Product]],$R$18:$R$23,$S$18:$S$23))*Tabla22[[#This Row],[Req.]],0)</f>
        <v>18555</v>
      </c>
      <c r="N32" s="3">
        <f>IF(Tabla22[[#This Row],[Req.2]]&gt;0,(Tabla22[[#This Row],[Base price2]]-LOOKUP(Tabla22[[#This Row],[Product2]],$R$18:$R$23,$S$18:$S$23))*Tabla22[[#This Row],[Req.2]],0)</f>
        <v>1792</v>
      </c>
      <c r="O32" s="2">
        <f>SUM(Tabla22[[#This Row],[Bonus1]:[p2]])</f>
        <v>71211.866200000004</v>
      </c>
      <c r="P32" s="3">
        <f>IF(Tabla22[[#This Row],[QualityBonus]]&gt;0,Tabla22[[#This Row],[P_T]]-$C$4,"")</f>
        <v>28211.866200000004</v>
      </c>
      <c r="R32" s="46"/>
      <c r="S32" s="46"/>
      <c r="T32" s="46"/>
      <c r="U32" s="46"/>
      <c r="V32" s="46"/>
    </row>
    <row r="33" spans="1:22" x14ac:dyDescent="0.25">
      <c r="A33" s="13">
        <v>17</v>
      </c>
      <c r="B33" s="13" t="s">
        <v>13</v>
      </c>
      <c r="C33" s="37">
        <v>2.53E-2</v>
      </c>
      <c r="D33" s="2" t="s">
        <v>53</v>
      </c>
      <c r="E33" s="3">
        <v>122798</v>
      </c>
      <c r="F33" s="4">
        <v>1</v>
      </c>
      <c r="G33" s="2" t="s">
        <v>55</v>
      </c>
      <c r="H33" s="3">
        <v>61610</v>
      </c>
      <c r="I33" s="4">
        <v>1</v>
      </c>
      <c r="J33" s="2">
        <f>Tabla22[[#This Row],[Base price1]]*Tabla22[[#This Row],[Req.]]+Tabla22[[#This Row],[Base price2]]*Tabla22[[#This Row],[Req.2]]</f>
        <v>184408</v>
      </c>
      <c r="K33" s="3">
        <f>IFERROR(LOOKUP(Tabla22[[#This Row],[Product]],$R$18:$R$23,$T$18:$T$23)*Tabla22[[#This Row],[QualityBonus]]*Tabla22[[#This Row],[Base price1]]*Tabla22[[#This Row],[Req.]],0)</f>
        <v>18640.736399999998</v>
      </c>
      <c r="L33" s="3">
        <f>IF(Tabla22[[#This Row],[Req.2]]&gt;0,LOOKUP(Tabla22[[#This Row],[Product2]],$R$18:$R$23,$T$18:$T$23)*Tabla22[[#This Row],[Base price2]]*Tabla22[[#This Row],[Req.2]]*Tabla22[[#This Row],[QualityBonus]],0)</f>
        <v>7793.665</v>
      </c>
      <c r="M33" s="2">
        <f>IFERROR((Tabla22[[#This Row],[Base price1]]-LOOKUP(Tabla22[[#This Row],[Product]],$R$18:$R$23,$S$18:$S$23))*Tabla22[[#This Row],[Req.]],0)</f>
        <v>3798</v>
      </c>
      <c r="N33" s="3">
        <f>IF(Tabla22[[#This Row],[Req.2]]&gt;0,(Tabla22[[#This Row],[Base price2]]-LOOKUP(Tabla22[[#This Row],[Product2]],$R$18:$R$23,$S$18:$S$23))*Tabla22[[#This Row],[Req.2]],0)</f>
        <v>6610</v>
      </c>
      <c r="O33" s="2">
        <f>SUM(Tabla22[[#This Row],[Bonus1]:[p2]])</f>
        <v>36842.401400000002</v>
      </c>
      <c r="P33" s="3">
        <f>IF(Tabla22[[#This Row],[QualityBonus]]&gt;0,Tabla22[[#This Row],[P_T]]-$C$4,"")</f>
        <v>-6157.5985999999975</v>
      </c>
      <c r="S33" s="46"/>
      <c r="T33" s="46"/>
      <c r="U33" s="46"/>
      <c r="V33" s="46"/>
    </row>
    <row r="34" spans="1:22" x14ac:dyDescent="0.25">
      <c r="A34" s="13">
        <v>18</v>
      </c>
      <c r="B34" s="13" t="s">
        <v>13</v>
      </c>
      <c r="C34" s="37">
        <v>1.4800000000000001E-2</v>
      </c>
      <c r="D34" s="2" t="s">
        <v>56</v>
      </c>
      <c r="E34" s="3">
        <v>86511</v>
      </c>
      <c r="F34" s="4">
        <v>2</v>
      </c>
      <c r="G34" s="2" t="s">
        <v>53</v>
      </c>
      <c r="H34" s="3">
        <v>117824</v>
      </c>
      <c r="I34" s="4">
        <v>3</v>
      </c>
      <c r="J34" s="2">
        <f>Tabla22[[#This Row],[Base price1]]*Tabla22[[#This Row],[Req.]]+Tabla22[[#This Row],[Base price2]]*Tabla22[[#This Row],[Req.2]]</f>
        <v>526494</v>
      </c>
      <c r="K34" s="3">
        <f>IFERROR(LOOKUP(Tabla22[[#This Row],[Product]],$R$18:$R$23,$T$18:$T$23)*Tabla22[[#This Row],[QualityBonus]]*Tabla22[[#This Row],[Base price1]]*Tabla22[[#This Row],[Req.]],0)</f>
        <v>10242.902400000001</v>
      </c>
      <c r="L34" s="3">
        <f>IF(Tabla22[[#This Row],[Req.2]]&gt;0,LOOKUP(Tabla22[[#This Row],[Product2]],$R$18:$R$23,$T$18:$T$23)*Tabla22[[#This Row],[Base price2]]*Tabla22[[#This Row],[Req.2]]*Tabla22[[#This Row],[QualityBonus]],0)</f>
        <v>31388.313600000001</v>
      </c>
      <c r="M34" s="2">
        <f>IFERROR((Tabla22[[#This Row],[Base price1]]-LOOKUP(Tabla22[[#This Row],[Product]],$R$18:$R$23,$S$18:$S$23))*Tabla22[[#This Row],[Req.]],0)</f>
        <v>9022</v>
      </c>
      <c r="N34" s="3">
        <f>IF(Tabla22[[#This Row],[Req.2]]&gt;0,(Tabla22[[#This Row],[Base price2]]-LOOKUP(Tabla22[[#This Row],[Product2]],$R$18:$R$23,$S$18:$S$23))*Tabla22[[#This Row],[Req.2]],0)</f>
        <v>-3528</v>
      </c>
      <c r="O34" s="2">
        <f>SUM(Tabla22[[#This Row],[Bonus1]:[p2]])</f>
        <v>47125.216</v>
      </c>
      <c r="P34" s="3">
        <f>IF(Tabla22[[#This Row],[QualityBonus]]&gt;0,Tabla22[[#This Row],[P_T]]-$C$4,"")</f>
        <v>4125.2160000000003</v>
      </c>
      <c r="S34" s="46"/>
      <c r="T34" s="46"/>
      <c r="U34" s="46"/>
      <c r="V34" s="46"/>
    </row>
    <row r="35" spans="1:22" x14ac:dyDescent="0.25">
      <c r="A35" s="13">
        <v>19</v>
      </c>
      <c r="B35" s="13" t="s">
        <v>13</v>
      </c>
      <c r="C35" s="37">
        <v>2.3300000000000001E-2</v>
      </c>
      <c r="D35" s="2" t="s">
        <v>54</v>
      </c>
      <c r="E35" s="3">
        <v>41738</v>
      </c>
      <c r="F35" s="4">
        <v>4</v>
      </c>
      <c r="G35" s="2" t="s">
        <v>53</v>
      </c>
      <c r="H35" s="3">
        <v>119747</v>
      </c>
      <c r="I35" s="4">
        <v>1</v>
      </c>
      <c r="J35" s="2">
        <f>Tabla22[[#This Row],[Base price1]]*Tabla22[[#This Row],[Req.]]+Tabla22[[#This Row],[Base price2]]*Tabla22[[#This Row],[Req.2]]</f>
        <v>286699</v>
      </c>
      <c r="K35" s="3">
        <f>IFERROR(LOOKUP(Tabla22[[#This Row],[Product]],$R$18:$R$23,$T$18:$T$23)*Tabla22[[#This Row],[QualityBonus]]*Tabla22[[#This Row],[Base price1]]*Tabla22[[#This Row],[Req.]],0)</f>
        <v>23339.889600000002</v>
      </c>
      <c r="L35" s="3">
        <f>IF(Tabla22[[#This Row],[Req.2]]&gt;0,LOOKUP(Tabla22[[#This Row],[Product2]],$R$18:$R$23,$T$18:$T$23)*Tabla22[[#This Row],[Base price2]]*Tabla22[[#This Row],[Req.2]]*Tabla22[[#This Row],[QualityBonus]],0)</f>
        <v>16740.6306</v>
      </c>
      <c r="M35" s="2">
        <f>IFERROR((Tabla22[[#This Row],[Base price1]]-LOOKUP(Tabla22[[#This Row],[Product]],$R$18:$R$23,$S$18:$S$23))*Tabla22[[#This Row],[Req.]],0)</f>
        <v>18552</v>
      </c>
      <c r="N35" s="3">
        <f>IF(Tabla22[[#This Row],[Req.2]]&gt;0,(Tabla22[[#This Row],[Base price2]]-LOOKUP(Tabla22[[#This Row],[Product2]],$R$18:$R$23,$S$18:$S$23))*Tabla22[[#This Row],[Req.2]],0)</f>
        <v>747</v>
      </c>
      <c r="O35" s="2">
        <f>SUM(Tabla22[[#This Row],[Bonus1]:[p2]])</f>
        <v>59379.520199999999</v>
      </c>
      <c r="P35" s="3">
        <f>IF(Tabla22[[#This Row],[QualityBonus]]&gt;0,Tabla22[[#This Row],[P_T]]-$C$4,"")</f>
        <v>16379.520199999999</v>
      </c>
      <c r="S35" s="46"/>
      <c r="T35" s="46"/>
      <c r="U35" s="46"/>
      <c r="V35" s="46"/>
    </row>
    <row r="36" spans="1:22" x14ac:dyDescent="0.25">
      <c r="A36" s="13">
        <v>20</v>
      </c>
      <c r="B36" s="13" t="s">
        <v>13</v>
      </c>
      <c r="C36" s="37">
        <v>2.07E-2</v>
      </c>
      <c r="D36" s="2" t="s">
        <v>54</v>
      </c>
      <c r="E36" s="3">
        <v>41925</v>
      </c>
      <c r="F36" s="4">
        <v>5</v>
      </c>
      <c r="G36" s="2" t="s">
        <v>55</v>
      </c>
      <c r="H36" s="3">
        <v>60640</v>
      </c>
      <c r="I36" s="4">
        <v>2</v>
      </c>
      <c r="J36" s="2">
        <f>Tabla22[[#This Row],[Base price1]]*Tabla22[[#This Row],[Req.]]+Tabla22[[#This Row],[Base price2]]*Tabla22[[#This Row],[Req.2]]</f>
        <v>330905</v>
      </c>
      <c r="K36" s="3">
        <f>IFERROR(LOOKUP(Tabla22[[#This Row],[Product]],$R$18:$R$23,$T$18:$T$23)*Tabla22[[#This Row],[QualityBonus]]*Tabla22[[#This Row],[Base price1]]*Tabla22[[#This Row],[Req.]],0)</f>
        <v>26035.424999999999</v>
      </c>
      <c r="L36" s="3">
        <f>IF(Tabla22[[#This Row],[Req.2]]&gt;0,LOOKUP(Tabla22[[#This Row],[Product2]],$R$18:$R$23,$T$18:$T$23)*Tabla22[[#This Row],[Base price2]]*Tabla22[[#This Row],[Req.2]]*Tabla22[[#This Row],[QualityBonus]],0)</f>
        <v>12552.48</v>
      </c>
      <c r="M36" s="2">
        <f>IFERROR((Tabla22[[#This Row],[Base price1]]-LOOKUP(Tabla22[[#This Row],[Product]],$R$18:$R$23,$S$18:$S$23))*Tabla22[[#This Row],[Req.]],0)</f>
        <v>24125</v>
      </c>
      <c r="N36" s="3">
        <f>IF(Tabla22[[#This Row],[Req.2]]&gt;0,(Tabla22[[#This Row],[Base price2]]-LOOKUP(Tabla22[[#This Row],[Product2]],$R$18:$R$23,$S$18:$S$23))*Tabla22[[#This Row],[Req.2]],0)</f>
        <v>11280</v>
      </c>
      <c r="O36" s="2">
        <f>SUM(Tabla22[[#This Row],[Bonus1]:[p2]])</f>
        <v>73992.904999999999</v>
      </c>
      <c r="P36" s="3">
        <f>IF(Tabla22[[#This Row],[QualityBonus]]&gt;0,Tabla22[[#This Row],[P_T]]-$C$4,"")</f>
        <v>30992.904999999999</v>
      </c>
      <c r="S36" s="46"/>
      <c r="T36" s="46"/>
      <c r="U36" s="46"/>
      <c r="V36" s="46"/>
    </row>
    <row r="37" spans="1:22" x14ac:dyDescent="0.25">
      <c r="A37" s="24">
        <v>21</v>
      </c>
      <c r="B37" s="24" t="s">
        <v>13</v>
      </c>
      <c r="C37" s="45">
        <v>2.7E-2</v>
      </c>
      <c r="D37" s="38" t="s">
        <v>56</v>
      </c>
      <c r="E37" s="39">
        <v>83391</v>
      </c>
      <c r="F37" s="40">
        <v>1</v>
      </c>
      <c r="G37" s="38" t="s">
        <v>55</v>
      </c>
      <c r="H37" s="39">
        <v>63078</v>
      </c>
      <c r="I37" s="40">
        <v>3</v>
      </c>
      <c r="J37" s="38">
        <f>Tabla22[[#This Row],[Base price1]]*Tabla22[[#This Row],[Req.]]+Tabla22[[#This Row],[Base price2]]*Tabla22[[#This Row],[Req.2]]</f>
        <v>272625</v>
      </c>
      <c r="K37" s="39">
        <f>IFERROR(LOOKUP(Tabla22[[#This Row],[Product]],$R$18:$R$23,$T$18:$T$23)*Tabla22[[#This Row],[QualityBonus]]*Tabla22[[#This Row],[Base price1]]*Tabla22[[#This Row],[Req.]],0)</f>
        <v>9006.2279999999992</v>
      </c>
      <c r="L37" s="39">
        <f>IF(Tabla22[[#This Row],[Req.2]]&gt;0,LOOKUP(Tabla22[[#This Row],[Product2]],$R$18:$R$23,$T$18:$T$23)*Tabla22[[#This Row],[Base price2]]*Tabla22[[#This Row],[Req.2]]*Tabla22[[#This Row],[QualityBonus]],0)</f>
        <v>25546.59</v>
      </c>
      <c r="M37" s="38">
        <f>IFERROR((Tabla22[[#This Row],[Base price1]]-LOOKUP(Tabla22[[#This Row],[Product]],$R$18:$R$23,$S$18:$S$23))*Tabla22[[#This Row],[Req.]],0)</f>
        <v>1391</v>
      </c>
      <c r="N37" s="39">
        <f>IF(Tabla22[[#This Row],[Req.2]]&gt;0,(Tabla22[[#This Row],[Base price2]]-LOOKUP(Tabla22[[#This Row],[Product2]],$R$18:$R$23,$S$18:$S$23))*Tabla22[[#This Row],[Req.2]],0)</f>
        <v>24234</v>
      </c>
      <c r="O37" s="38">
        <f>SUM(Tabla22[[#This Row],[Bonus1]:[p2]])</f>
        <v>60177.817999999999</v>
      </c>
      <c r="P37" s="39">
        <f>IF(Tabla22[[#This Row],[QualityBonus]]&gt;0,Tabla22[[#This Row],[P_T]]-$C$4,"")</f>
        <v>17177.817999999999</v>
      </c>
      <c r="S37" s="46"/>
      <c r="T37" s="46"/>
      <c r="U37" s="46"/>
      <c r="V37" s="46"/>
    </row>
    <row r="38" spans="1:22" x14ac:dyDescent="0.25">
      <c r="A38" s="13">
        <v>22</v>
      </c>
      <c r="B38" s="13" t="s">
        <v>13</v>
      </c>
      <c r="C38" s="37">
        <v>1.2800000000000001E-2</v>
      </c>
      <c r="D38" s="2" t="s">
        <v>55</v>
      </c>
      <c r="E38" s="3">
        <v>62248</v>
      </c>
      <c r="F38" s="4">
        <v>2</v>
      </c>
      <c r="G38" s="2" t="s">
        <v>54</v>
      </c>
      <c r="H38" s="3">
        <v>41091</v>
      </c>
      <c r="I38" s="4">
        <v>4</v>
      </c>
      <c r="J38" s="2">
        <f>Tabla22[[#This Row],[Base price1]]*Tabla22[[#This Row],[Req.]]+Tabla22[[#This Row],[Base price2]]*Tabla22[[#This Row],[Req.2]]</f>
        <v>288860</v>
      </c>
      <c r="K38" s="3">
        <f>IFERROR(LOOKUP(Tabla22[[#This Row],[Product]],$R$18:$R$23,$T$18:$T$23)*Tabla22[[#This Row],[QualityBonus]]*Tabla22[[#This Row],[Base price1]]*Tabla22[[#This Row],[Req.]],0)</f>
        <v>7967.7440000000006</v>
      </c>
      <c r="L38" s="3">
        <f>IF(Tabla22[[#This Row],[Req.2]]&gt;0,LOOKUP(Tabla22[[#This Row],[Product2]],$R$18:$R$23,$T$18:$T$23)*Tabla22[[#This Row],[Base price2]]*Tabla22[[#This Row],[Req.2]]*Tabla22[[#This Row],[QualityBonus]],0)</f>
        <v>12623.155200000001</v>
      </c>
      <c r="M38" s="2">
        <f>IFERROR((Tabla22[[#This Row],[Base price1]]-LOOKUP(Tabla22[[#This Row],[Product]],$R$18:$R$23,$S$18:$S$23))*Tabla22[[#This Row],[Req.]],0)</f>
        <v>14496</v>
      </c>
      <c r="N38" s="3">
        <f>IF(Tabla22[[#This Row],[Req.2]]&gt;0,(Tabla22[[#This Row],[Base price2]]-LOOKUP(Tabla22[[#This Row],[Product2]],$R$18:$R$23,$S$18:$S$23))*Tabla22[[#This Row],[Req.2]],0)</f>
        <v>15964</v>
      </c>
      <c r="O38" s="2">
        <f>SUM(Tabla22[[#This Row],[Bonus1]:[p2]])</f>
        <v>51050.8992</v>
      </c>
      <c r="P38" s="3">
        <f>IF(Tabla22[[#This Row],[QualityBonus]]&gt;0,Tabla22[[#This Row],[P_T]]-$C$4,"")</f>
        <v>8050.8991999999998</v>
      </c>
      <c r="S38" s="46"/>
      <c r="T38" s="46"/>
      <c r="U38" s="46"/>
      <c r="V38" s="46"/>
    </row>
    <row r="39" spans="1:22" x14ac:dyDescent="0.25">
      <c r="A39" s="13">
        <v>23</v>
      </c>
      <c r="B39" s="13" t="s">
        <v>13</v>
      </c>
      <c r="C39" s="37">
        <v>2.6599999999999999E-2</v>
      </c>
      <c r="D39" s="2" t="s">
        <v>55</v>
      </c>
      <c r="E39" s="3">
        <v>63084</v>
      </c>
      <c r="F39" s="4">
        <v>3</v>
      </c>
      <c r="G39" s="2" t="s">
        <v>54</v>
      </c>
      <c r="H39" s="3">
        <v>40499</v>
      </c>
      <c r="I39" s="4">
        <v>5</v>
      </c>
      <c r="J39" s="2">
        <f>Tabla22[[#This Row],[Base price1]]*Tabla22[[#This Row],[Req.]]+Tabla22[[#This Row],[Base price2]]*Tabla22[[#This Row],[Req.2]]</f>
        <v>391747</v>
      </c>
      <c r="K39" s="3">
        <f>IFERROR(LOOKUP(Tabla22[[#This Row],[Product]],$R$18:$R$23,$T$18:$T$23)*Tabla22[[#This Row],[QualityBonus]]*Tabla22[[#This Row],[Base price1]]*Tabla22[[#This Row],[Req.]],0)</f>
        <v>25170.516000000003</v>
      </c>
      <c r="L39" s="3">
        <f>IF(Tabla22[[#This Row],[Req.2]]&gt;0,LOOKUP(Tabla22[[#This Row],[Product2]],$R$18:$R$23,$T$18:$T$23)*Tabla22[[#This Row],[Base price2]]*Tabla22[[#This Row],[Req.2]]*Tabla22[[#This Row],[QualityBonus]],0)</f>
        <v>32318.201999999997</v>
      </c>
      <c r="M39" s="2">
        <f>IFERROR((Tabla22[[#This Row],[Base price1]]-LOOKUP(Tabla22[[#This Row],[Product]],$R$18:$R$23,$S$18:$S$23))*Tabla22[[#This Row],[Req.]],0)</f>
        <v>24252</v>
      </c>
      <c r="N39" s="3">
        <f>IF(Tabla22[[#This Row],[Req.2]]&gt;0,(Tabla22[[#This Row],[Base price2]]-LOOKUP(Tabla22[[#This Row],[Product2]],$R$18:$R$23,$S$18:$S$23))*Tabla22[[#This Row],[Req.2]],0)</f>
        <v>16995</v>
      </c>
      <c r="O39" s="2">
        <f>SUM(Tabla22[[#This Row],[Bonus1]:[p2]])</f>
        <v>98735.717999999993</v>
      </c>
      <c r="P39" s="3">
        <f>IF(Tabla22[[#This Row],[QualityBonus]]&gt;0,Tabla22[[#This Row],[P_T]]-$C$4,"")</f>
        <v>55735.717999999993</v>
      </c>
    </row>
    <row r="40" spans="1:22" x14ac:dyDescent="0.25">
      <c r="A40" s="13">
        <v>24</v>
      </c>
      <c r="B40" s="13" t="s">
        <v>13</v>
      </c>
      <c r="C40" s="37">
        <v>2.3300000000000001E-2</v>
      </c>
      <c r="D40" s="2" t="s">
        <v>57</v>
      </c>
      <c r="E40" s="3">
        <v>226246</v>
      </c>
      <c r="F40" s="4">
        <v>2</v>
      </c>
      <c r="G40" s="2" t="s">
        <v>54</v>
      </c>
      <c r="H40" s="3">
        <v>40077</v>
      </c>
      <c r="I40" s="4">
        <v>5</v>
      </c>
      <c r="J40" s="2">
        <f>Tabla22[[#This Row],[Base price1]]*Tabla22[[#This Row],[Req.]]+Tabla22[[#This Row],[Base price2]]*Tabla22[[#This Row],[Req.2]]</f>
        <v>652877</v>
      </c>
      <c r="K40" s="3">
        <f>IFERROR(LOOKUP(Tabla22[[#This Row],[Product]],$R$18:$R$23,$T$18:$T$23)*Tabla22[[#This Row],[QualityBonus]]*Tabla22[[#This Row],[Base price1]]*Tabla22[[#This Row],[Req.]],0)</f>
        <v>42172.254400000005</v>
      </c>
      <c r="L40" s="3">
        <f>IF(Tabla22[[#This Row],[Req.2]]&gt;0,LOOKUP(Tabla22[[#This Row],[Product2]],$R$18:$R$23,$T$18:$T$23)*Tabla22[[#This Row],[Base price2]]*Tabla22[[#This Row],[Req.2]]*Tabla22[[#This Row],[QualityBonus]],0)</f>
        <v>28013.823</v>
      </c>
      <c r="M40" s="2">
        <f>IFERROR((Tabla22[[#This Row],[Base price1]]-LOOKUP(Tabla22[[#This Row],[Product]],$R$18:$R$23,$S$18:$S$23))*Tabla22[[#This Row],[Req.]],0)</f>
        <v>-23508</v>
      </c>
      <c r="N40" s="3">
        <f>IF(Tabla22[[#This Row],[Req.2]]&gt;0,(Tabla22[[#This Row],[Base price2]]-LOOKUP(Tabla22[[#This Row],[Product2]],$R$18:$R$23,$S$18:$S$23))*Tabla22[[#This Row],[Req.2]],0)</f>
        <v>14885</v>
      </c>
      <c r="O40" s="2">
        <f>SUM(Tabla22[[#This Row],[Bonus1]:[p2]])</f>
        <v>61563.077400000009</v>
      </c>
      <c r="P40" s="3">
        <f>IF(Tabla22[[#This Row],[QualityBonus]]&gt;0,Tabla22[[#This Row],[P_T]]-$C$4,"")</f>
        <v>18563.077400000009</v>
      </c>
    </row>
    <row r="41" spans="1:22" x14ac:dyDescent="0.25">
      <c r="A41" s="13">
        <v>25</v>
      </c>
      <c r="B41" s="13" t="s">
        <v>13</v>
      </c>
      <c r="C41" s="37">
        <v>2.6800000000000001E-2</v>
      </c>
      <c r="D41" s="2" t="s">
        <v>54</v>
      </c>
      <c r="E41" s="3">
        <v>42129</v>
      </c>
      <c r="F41" s="4">
        <v>3</v>
      </c>
      <c r="G41" s="2" t="s">
        <v>58</v>
      </c>
      <c r="H41" s="3">
        <v>84082</v>
      </c>
      <c r="I41" s="4">
        <v>3</v>
      </c>
      <c r="J41" s="2">
        <f>Tabla22[[#This Row],[Base price1]]*Tabla22[[#This Row],[Req.]]+Tabla22[[#This Row],[Base price2]]*Tabla22[[#This Row],[Req.2]]</f>
        <v>378633</v>
      </c>
      <c r="K41" s="3">
        <f>IFERROR(LOOKUP(Tabla22[[#This Row],[Product]],$R$18:$R$23,$T$18:$T$23)*Tabla22[[#This Row],[QualityBonus]]*Tabla22[[#This Row],[Base price1]]*Tabla22[[#This Row],[Req.]],0)</f>
        <v>20323.029600000002</v>
      </c>
      <c r="L41" s="3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2">
        <f>IFERROR((Tabla22[[#This Row],[Base price1]]-LOOKUP(Tabla22[[#This Row],[Product]],$R$18:$R$23,$S$18:$S$23))*Tabla22[[#This Row],[Req.]],0)</f>
        <v>15087</v>
      </c>
      <c r="N41" s="3">
        <f>IF(Tabla22[[#This Row],[Req.2]]&gt;0,(Tabla22[[#This Row],[Base price2]]-LOOKUP(Tabla22[[#This Row],[Product2]],$R$18:$R$23,$S$18:$S$23))*Tabla22[[#This Row],[Req.2]],0)</f>
        <v>6246</v>
      </c>
      <c r="O41" s="2">
        <f>SUM(Tabla22[[#This Row],[Bonus1]:[p2]])</f>
        <v>68696.800799999997</v>
      </c>
      <c r="P41" s="3">
        <f>IF(Tabla22[[#This Row],[QualityBonus]]&gt;0,Tabla22[[#This Row],[P_T]]-$C$4,"")</f>
        <v>25696.800799999997</v>
      </c>
    </row>
    <row r="42" spans="1:22" x14ac:dyDescent="0.25">
      <c r="A42" s="13">
        <v>26</v>
      </c>
      <c r="B42" s="13" t="s">
        <v>13</v>
      </c>
      <c r="C42" s="37">
        <v>2.81E-2</v>
      </c>
      <c r="D42" s="2" t="s">
        <v>54</v>
      </c>
      <c r="E42" s="3">
        <v>41691</v>
      </c>
      <c r="F42" s="4">
        <v>5</v>
      </c>
      <c r="G42" s="2" t="s">
        <v>55</v>
      </c>
      <c r="H42" s="3">
        <v>59925</v>
      </c>
      <c r="I42" s="4">
        <v>3</v>
      </c>
      <c r="J42" s="2">
        <f>Tabla22[[#This Row],[Base price1]]*Tabla22[[#This Row],[Req.]]+Tabla22[[#This Row],[Base price2]]*Tabla22[[#This Row],[Req.2]]</f>
        <v>388230</v>
      </c>
      <c r="K42" s="3">
        <f>IFERROR(LOOKUP(Tabla22[[#This Row],[Product]],$R$18:$R$23,$T$18:$T$23)*Tabla22[[#This Row],[QualityBonus]]*Tabla22[[#This Row],[Base price1]]*Tabla22[[#This Row],[Req.]],0)</f>
        <v>35145.512999999999</v>
      </c>
      <c r="L42" s="3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2">
        <f>IFERROR((Tabla22[[#This Row],[Base price1]]-LOOKUP(Tabla22[[#This Row],[Product]],$R$18:$R$23,$S$18:$S$23))*Tabla22[[#This Row],[Req.]],0)</f>
        <v>22955</v>
      </c>
      <c r="N42" s="3">
        <f>IF(Tabla22[[#This Row],[Req.2]]&gt;0,(Tabla22[[#This Row],[Base price2]]-LOOKUP(Tabla22[[#This Row],[Product2]],$R$18:$R$23,$S$18:$S$23))*Tabla22[[#This Row],[Req.2]],0)</f>
        <v>14775</v>
      </c>
      <c r="O42" s="2">
        <f>SUM(Tabla22[[#This Row],[Bonus1]:[p2]])</f>
        <v>98133.900500000003</v>
      </c>
      <c r="P42" s="3">
        <f>IF(Tabla22[[#This Row],[QualityBonus]]&gt;0,Tabla22[[#This Row],[P_T]]-$C$4,"")</f>
        <v>55133.900500000003</v>
      </c>
    </row>
    <row r="43" spans="1:22" x14ac:dyDescent="0.25">
      <c r="A43" s="13">
        <v>27</v>
      </c>
      <c r="B43" s="13" t="s">
        <v>13</v>
      </c>
      <c r="C43" s="37">
        <v>2.53E-2</v>
      </c>
      <c r="D43" s="2" t="s">
        <v>54</v>
      </c>
      <c r="E43" s="3">
        <v>42580</v>
      </c>
      <c r="F43" s="4">
        <v>4</v>
      </c>
      <c r="G43" s="2"/>
      <c r="H43" s="3"/>
      <c r="I43" s="4"/>
      <c r="J43" s="2">
        <f>Tabla22[[#This Row],[Base price1]]*Tabla22[[#This Row],[Req.]]+Tabla22[[#This Row],[Base price2]]*Tabla22[[#This Row],[Req.2]]</f>
        <v>170320</v>
      </c>
      <c r="K43" s="3">
        <f>IFERROR(LOOKUP(Tabla22[[#This Row],[Product]],$R$18:$R$23,$T$18:$T$23)*Tabla22[[#This Row],[QualityBonus]]*Tabla22[[#This Row],[Base price1]]*Tabla22[[#This Row],[Req.]],0)</f>
        <v>25854.575999999997</v>
      </c>
      <c r="L43" s="3">
        <f>IF(Tabla22[[#This Row],[Req.2]]&gt;0,LOOKUP(Tabla22[[#This Row],[Product2]],$R$18:$R$23,$T$18:$T$23)*Tabla22[[#This Row],[Base price2]]*Tabla22[[#This Row],[Req.2]]*Tabla22[[#This Row],[QualityBonus]],0)</f>
        <v>0</v>
      </c>
      <c r="M43" s="2">
        <f>IFERROR((Tabla22[[#This Row],[Base price1]]-LOOKUP(Tabla22[[#This Row],[Product]],$R$18:$R$23,$S$18:$S$23))*Tabla22[[#This Row],[Req.]],0)</f>
        <v>21920</v>
      </c>
      <c r="N43" s="3">
        <f>IF(Tabla22[[#This Row],[Req.2]]&gt;0,(Tabla22[[#This Row],[Base price2]]-LOOKUP(Tabla22[[#This Row],[Product2]],$R$18:$R$23,$S$18:$S$23))*Tabla22[[#This Row],[Req.2]],0)</f>
        <v>0</v>
      </c>
      <c r="O43" s="2">
        <f>SUM(Tabla22[[#This Row],[Bonus1]:[p2]])</f>
        <v>47774.576000000001</v>
      </c>
      <c r="P43" s="3">
        <f>IF(Tabla22[[#This Row],[QualityBonus]]&gt;0,Tabla22[[#This Row],[P_T]]-$C$4,"")</f>
        <v>4774.5760000000009</v>
      </c>
    </row>
    <row r="44" spans="1:22" x14ac:dyDescent="0.25">
      <c r="A44" s="13">
        <v>28</v>
      </c>
      <c r="B44" s="13" t="s">
        <v>13</v>
      </c>
      <c r="C44" s="37">
        <v>1.17E-2</v>
      </c>
      <c r="D44" s="2" t="s">
        <v>54</v>
      </c>
      <c r="E44" s="3">
        <v>41608</v>
      </c>
      <c r="F44" s="4">
        <v>5</v>
      </c>
      <c r="G44" s="2" t="s">
        <v>55</v>
      </c>
      <c r="H44" s="3">
        <v>62343</v>
      </c>
      <c r="I44" s="4">
        <v>4</v>
      </c>
      <c r="J44" s="2">
        <f>Tabla22[[#This Row],[Base price1]]*Tabla22[[#This Row],[Req.]]+Tabla22[[#This Row],[Base price2]]*Tabla22[[#This Row],[Req.2]]</f>
        <v>457412</v>
      </c>
      <c r="K44" s="3">
        <f>IFERROR(LOOKUP(Tabla22[[#This Row],[Product]],$R$18:$R$23,$T$18:$T$23)*Tabla22[[#This Row],[QualityBonus]]*Tabla22[[#This Row],[Base price1]]*Tabla22[[#This Row],[Req.]],0)</f>
        <v>14604.408000000001</v>
      </c>
      <c r="L44" s="3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2">
        <f>IFERROR((Tabla22[[#This Row],[Base price1]]-LOOKUP(Tabla22[[#This Row],[Product]],$R$18:$R$23,$S$18:$S$23))*Tabla22[[#This Row],[Req.]],0)</f>
        <v>22540</v>
      </c>
      <c r="N44" s="3">
        <f>IF(Tabla22[[#This Row],[Req.2]]&gt;0,(Tabla22[[#This Row],[Base price2]]-LOOKUP(Tabla22[[#This Row],[Product2]],$R$18:$R$23,$S$18:$S$23))*Tabla22[[#This Row],[Req.2]],0)</f>
        <v>29372</v>
      </c>
      <c r="O44" s="2">
        <f>SUM(Tabla22[[#This Row],[Bonus1]:[p2]])</f>
        <v>81104.67</v>
      </c>
      <c r="P44" s="3">
        <f>IF(Tabla22[[#This Row],[QualityBonus]]&gt;0,Tabla22[[#This Row],[P_T]]-$C$4,"")</f>
        <v>38104.67</v>
      </c>
    </row>
    <row r="45" spans="1:22" x14ac:dyDescent="0.25">
      <c r="A45" s="13">
        <v>29</v>
      </c>
      <c r="B45" s="13" t="s">
        <v>13</v>
      </c>
      <c r="C45" s="37">
        <v>2.5999999999999999E-2</v>
      </c>
      <c r="D45" s="2" t="s">
        <v>54</v>
      </c>
      <c r="E45" s="3">
        <v>42445</v>
      </c>
      <c r="F45" s="4">
        <v>5</v>
      </c>
      <c r="G45" s="2"/>
      <c r="H45" s="3"/>
      <c r="I45" s="4"/>
      <c r="J45" s="2">
        <f>Tabla22[[#This Row],[Base price1]]*Tabla22[[#This Row],[Req.]]+Tabla22[[#This Row],[Base price2]]*Tabla22[[#This Row],[Req.2]]</f>
        <v>212225</v>
      </c>
      <c r="K45" s="3">
        <f>IFERROR(LOOKUP(Tabla22[[#This Row],[Product]],$R$18:$R$23,$T$18:$T$23)*Tabla22[[#This Row],[QualityBonus]]*Tabla22[[#This Row],[Base price1]]*Tabla22[[#This Row],[Req.]],0)</f>
        <v>33107.1</v>
      </c>
      <c r="L45" s="3">
        <f>IF(Tabla22[[#This Row],[Req.2]]&gt;0,LOOKUP(Tabla22[[#This Row],[Product2]],$R$18:$R$23,$T$18:$T$23)*Tabla22[[#This Row],[Base price2]]*Tabla22[[#This Row],[Req.2]]*Tabla22[[#This Row],[QualityBonus]],0)</f>
        <v>0</v>
      </c>
      <c r="M45" s="2">
        <f>IFERROR((Tabla22[[#This Row],[Base price1]]-LOOKUP(Tabla22[[#This Row],[Product]],$R$18:$R$23,$S$18:$S$23))*Tabla22[[#This Row],[Req.]],0)</f>
        <v>26725</v>
      </c>
      <c r="N45" s="3">
        <f>IF(Tabla22[[#This Row],[Req.2]]&gt;0,(Tabla22[[#This Row],[Base price2]]-LOOKUP(Tabla22[[#This Row],[Product2]],$R$18:$R$23,$S$18:$S$23))*Tabla22[[#This Row],[Req.2]],0)</f>
        <v>0</v>
      </c>
      <c r="O45" s="2">
        <f>SUM(Tabla22[[#This Row],[Bonus1]:[p2]])</f>
        <v>59832.1</v>
      </c>
      <c r="P45" s="3">
        <f>IF(Tabla22[[#This Row],[QualityBonus]]&gt;0,Tabla22[[#This Row],[P_T]]-$C$4,"")</f>
        <v>16832.099999999999</v>
      </c>
    </row>
    <row r="46" spans="1:22" x14ac:dyDescent="0.25">
      <c r="A46" s="13">
        <v>30</v>
      </c>
      <c r="B46" s="13" t="s">
        <v>13</v>
      </c>
      <c r="C46" s="37">
        <v>2.2599999999999999E-2</v>
      </c>
      <c r="D46" s="2" t="s">
        <v>54</v>
      </c>
      <c r="E46" s="3">
        <v>41129</v>
      </c>
      <c r="F46" s="4">
        <v>2</v>
      </c>
      <c r="G46" s="2" t="s">
        <v>53</v>
      </c>
      <c r="H46" s="3">
        <v>121638</v>
      </c>
      <c r="I46" s="4">
        <v>3</v>
      </c>
      <c r="J46" s="2">
        <f>Tabla22[[#This Row],[Base price1]]*Tabla22[[#This Row],[Req.]]+Tabla22[[#This Row],[Base price2]]*Tabla22[[#This Row],[Req.2]]</f>
        <v>447172</v>
      </c>
      <c r="K46" s="3">
        <f>IFERROR(LOOKUP(Tabla22[[#This Row],[Product]],$R$18:$R$23,$T$18:$T$23)*Tabla22[[#This Row],[QualityBonus]]*Tabla22[[#This Row],[Base price1]]*Tabla22[[#This Row],[Req.]],0)</f>
        <v>11154.184799999999</v>
      </c>
      <c r="L46" s="3">
        <f>IF(Tabla22[[#This Row],[Req.2]]&gt;0,LOOKUP(Tabla22[[#This Row],[Product2]],$R$18:$R$23,$T$18:$T$23)*Tabla22[[#This Row],[Base price2]]*Tabla22[[#This Row],[Req.2]]*Tabla22[[#This Row],[QualityBonus]],0)</f>
        <v>49482.338399999993</v>
      </c>
      <c r="M46" s="2">
        <f>IFERROR((Tabla22[[#This Row],[Base price1]]-LOOKUP(Tabla22[[#This Row],[Product]],$R$18:$R$23,$S$18:$S$23))*Tabla22[[#This Row],[Req.]],0)</f>
        <v>8058</v>
      </c>
      <c r="N46" s="3">
        <f>IF(Tabla22[[#This Row],[Req.2]]&gt;0,(Tabla22[[#This Row],[Base price2]]-LOOKUP(Tabla22[[#This Row],[Product2]],$R$18:$R$23,$S$18:$S$23))*Tabla22[[#This Row],[Req.2]],0)</f>
        <v>7914</v>
      </c>
      <c r="O46" s="2">
        <f>SUM(Tabla22[[#This Row],[Bonus1]:[p2]])</f>
        <v>76608.523199999996</v>
      </c>
      <c r="P46" s="3">
        <f>IF(Tabla22[[#This Row],[QualityBonus]]&gt;0,Tabla22[[#This Row],[P_T]]-$C$4,"")</f>
        <v>33608.523199999996</v>
      </c>
    </row>
    <row r="47" spans="1:22" x14ac:dyDescent="0.25">
      <c r="A47" s="13">
        <v>31</v>
      </c>
      <c r="B47" s="13" t="s">
        <v>13</v>
      </c>
      <c r="C47" s="37">
        <v>2.9600000000000001E-2</v>
      </c>
      <c r="D47" s="2" t="s">
        <v>55</v>
      </c>
      <c r="E47" s="3">
        <v>60948</v>
      </c>
      <c r="F47" s="4">
        <v>1</v>
      </c>
      <c r="G47" s="2" t="s">
        <v>54</v>
      </c>
      <c r="H47" s="3">
        <v>41020</v>
      </c>
      <c r="I47" s="4">
        <v>3</v>
      </c>
      <c r="J47" s="2">
        <f>Tabla22[[#This Row],[Base price1]]*Tabla22[[#This Row],[Req.]]+Tabla22[[#This Row],[Base price2]]*Tabla22[[#This Row],[Req.2]]</f>
        <v>184008</v>
      </c>
      <c r="K47" s="3">
        <f>IFERROR(LOOKUP(Tabla22[[#This Row],[Product]],$R$18:$R$23,$T$18:$T$23)*Tabla22[[#This Row],[QualityBonus]]*Tabla22[[#This Row],[Base price1]]*Tabla22[[#This Row],[Req.]],0)</f>
        <v>9020.3040000000019</v>
      </c>
      <c r="L47" s="3">
        <f>IF(Tabla22[[#This Row],[Req.2]]&gt;0,LOOKUP(Tabla22[[#This Row],[Product2]],$R$18:$R$23,$T$18:$T$23)*Tabla22[[#This Row],[Base price2]]*Tabla22[[#This Row],[Req.2]]*Tabla22[[#This Row],[QualityBonus]],0)</f>
        <v>21855.456000000002</v>
      </c>
      <c r="M47" s="2">
        <f>IFERROR((Tabla22[[#This Row],[Base price1]]-LOOKUP(Tabla22[[#This Row],[Product]],$R$18:$R$23,$S$18:$S$23))*Tabla22[[#This Row],[Req.]],0)</f>
        <v>5948</v>
      </c>
      <c r="N47" s="3">
        <f>IF(Tabla22[[#This Row],[Req.2]]&gt;0,(Tabla22[[#This Row],[Base price2]]-LOOKUP(Tabla22[[#This Row],[Product2]],$R$18:$R$23,$S$18:$S$23))*Tabla22[[#This Row],[Req.2]],0)</f>
        <v>11760</v>
      </c>
      <c r="O47" s="2">
        <f>SUM(Tabla22[[#This Row],[Bonus1]:[p2]])</f>
        <v>48583.76</v>
      </c>
      <c r="P47" s="3">
        <f>IF(Tabla22[[#This Row],[QualityBonus]]&gt;0,Tabla22[[#This Row],[P_T]]-$C$4,"")</f>
        <v>5583.760000000002</v>
      </c>
    </row>
    <row r="48" spans="1:22" x14ac:dyDescent="0.25">
      <c r="A48" s="13">
        <v>32</v>
      </c>
      <c r="B48" s="13" t="s">
        <v>13</v>
      </c>
      <c r="C48" s="37">
        <v>1.7600000000000001E-2</v>
      </c>
      <c r="D48" s="2" t="s">
        <v>53</v>
      </c>
      <c r="E48" s="3">
        <v>117745</v>
      </c>
      <c r="F48" s="4">
        <v>3</v>
      </c>
      <c r="G48" s="2" t="s">
        <v>55</v>
      </c>
      <c r="H48" s="3">
        <v>62072</v>
      </c>
      <c r="I48" s="4">
        <v>2</v>
      </c>
      <c r="J48" s="2">
        <f>Tabla22[[#This Row],[Base price1]]*Tabla22[[#This Row],[Req.]]+Tabla22[[#This Row],[Base price2]]*Tabla22[[#This Row],[Req.2]]</f>
        <v>477379</v>
      </c>
      <c r="K48" s="3">
        <f>IFERROR(LOOKUP(Tabla22[[#This Row],[Product]],$R$18:$R$23,$T$18:$T$23)*Tabla22[[#This Row],[QualityBonus]]*Tabla22[[#This Row],[Base price1]]*Tabla22[[#This Row],[Req.]],0)</f>
        <v>37301.615999999995</v>
      </c>
      <c r="L48" s="3">
        <f>IF(Tabla22[[#This Row],[Req.2]]&gt;0,LOOKUP(Tabla22[[#This Row],[Product2]],$R$18:$R$23,$T$18:$T$23)*Tabla22[[#This Row],[Base price2]]*Tabla22[[#This Row],[Req.2]]*Tabla22[[#This Row],[QualityBonus]],0)</f>
        <v>10924.672</v>
      </c>
      <c r="M48" s="2">
        <f>IFERROR((Tabla22[[#This Row],[Base price1]]-LOOKUP(Tabla22[[#This Row],[Product]],$R$18:$R$23,$S$18:$S$23))*Tabla22[[#This Row],[Req.]],0)</f>
        <v>-3765</v>
      </c>
      <c r="N48" s="3">
        <f>IF(Tabla22[[#This Row],[Req.2]]&gt;0,(Tabla22[[#This Row],[Base price2]]-LOOKUP(Tabla22[[#This Row],[Product2]],$R$18:$R$23,$S$18:$S$23))*Tabla22[[#This Row],[Req.2]],0)</f>
        <v>14144</v>
      </c>
      <c r="O48" s="2">
        <f>SUM(Tabla22[[#This Row],[Bonus1]:[p2]])</f>
        <v>58605.287999999993</v>
      </c>
      <c r="P48" s="3">
        <f>IF(Tabla22[[#This Row],[QualityBonus]]&gt;0,Tabla22[[#This Row],[P_T]]-$C$4,"")</f>
        <v>15605.287999999993</v>
      </c>
    </row>
    <row r="49" spans="1:16" x14ac:dyDescent="0.25">
      <c r="A49" s="13">
        <v>33</v>
      </c>
      <c r="B49" s="13" t="s">
        <v>13</v>
      </c>
      <c r="C49" s="37">
        <v>1.7000000000000001E-2</v>
      </c>
      <c r="D49" s="2" t="s">
        <v>55</v>
      </c>
      <c r="E49" s="3">
        <v>62999</v>
      </c>
      <c r="F49" s="4">
        <v>1</v>
      </c>
      <c r="G49" s="2"/>
      <c r="H49" s="3"/>
      <c r="I49" s="4"/>
      <c r="J49" s="2">
        <f>Tabla22[[#This Row],[Base price1]]*Tabla22[[#This Row],[Req.]]+Tabla22[[#This Row],[Base price2]]*Tabla22[[#This Row],[Req.2]]</f>
        <v>62999</v>
      </c>
      <c r="K49" s="3">
        <f>IFERROR(LOOKUP(Tabla22[[#This Row],[Product]],$R$18:$R$23,$T$18:$T$23)*Tabla22[[#This Row],[QualityBonus]]*Tabla22[[#This Row],[Base price1]]*Tabla22[[#This Row],[Req.]],0)</f>
        <v>5354.915</v>
      </c>
      <c r="L49" s="3">
        <f>IF(Tabla22[[#This Row],[Req.2]]&gt;0,LOOKUP(Tabla22[[#This Row],[Product2]],$R$18:$R$23,$T$18:$T$23)*Tabla22[[#This Row],[Base price2]]*Tabla22[[#This Row],[Req.2]]*Tabla22[[#This Row],[QualityBonus]],0)</f>
        <v>0</v>
      </c>
      <c r="M49" s="2">
        <f>IFERROR((Tabla22[[#This Row],[Base price1]]-LOOKUP(Tabla22[[#This Row],[Product]],$R$18:$R$23,$S$18:$S$23))*Tabla22[[#This Row],[Req.]],0)</f>
        <v>7999</v>
      </c>
      <c r="N49" s="3">
        <f>IF(Tabla22[[#This Row],[Req.2]]&gt;0,(Tabla22[[#This Row],[Base price2]]-LOOKUP(Tabla22[[#This Row],[Product2]],$R$18:$R$23,$S$18:$S$23))*Tabla22[[#This Row],[Req.2]],0)</f>
        <v>0</v>
      </c>
      <c r="O49" s="2">
        <f>SUM(Tabla22[[#This Row],[Bonus1]:[p2]])</f>
        <v>13353.915000000001</v>
      </c>
      <c r="P49" s="3">
        <f>IF(Tabla22[[#This Row],[QualityBonus]]&gt;0,Tabla22[[#This Row],[P_T]]-$C$4,"")</f>
        <v>-29646.084999999999</v>
      </c>
    </row>
    <row r="50" spans="1:16" x14ac:dyDescent="0.25">
      <c r="A50" s="24">
        <v>34</v>
      </c>
      <c r="B50" s="24" t="s">
        <v>13</v>
      </c>
      <c r="C50" s="45">
        <v>2.8199999999999999E-2</v>
      </c>
      <c r="D50" s="38" t="s">
        <v>53</v>
      </c>
      <c r="E50" s="39">
        <v>117232</v>
      </c>
      <c r="F50" s="40">
        <v>1</v>
      </c>
      <c r="G50" s="38"/>
      <c r="H50" s="39"/>
      <c r="I50" s="40"/>
      <c r="J50" s="38">
        <f>Tabla22[[#This Row],[Base price1]]*Tabla22[[#This Row],[Req.]]+Tabla22[[#This Row],[Base price2]]*Tabla22[[#This Row],[Req.2]]</f>
        <v>117232</v>
      </c>
      <c r="K50" s="39">
        <f>IFERROR(LOOKUP(Tabla22[[#This Row],[Product]],$R$18:$R$23,$T$18:$T$23)*Tabla22[[#This Row],[QualityBonus]]*Tabla22[[#This Row],[Base price1]]*Tabla22[[#This Row],[Req.]],0)</f>
        <v>19835.654399999999</v>
      </c>
      <c r="L50" s="39">
        <f>IF(Tabla22[[#This Row],[Req.2]]&gt;0,LOOKUP(Tabla22[[#This Row],[Product2]],$R$18:$R$23,$T$18:$T$23)*Tabla22[[#This Row],[Base price2]]*Tabla22[[#This Row],[Req.2]]*Tabla22[[#This Row],[QualityBonus]],0)</f>
        <v>0</v>
      </c>
      <c r="M50" s="38">
        <f>IFERROR((Tabla22[[#This Row],[Base price1]]-LOOKUP(Tabla22[[#This Row],[Product]],$R$18:$R$23,$S$18:$S$23))*Tabla22[[#This Row],[Req.]],0)</f>
        <v>-1768</v>
      </c>
      <c r="N50" s="39">
        <f>IF(Tabla22[[#This Row],[Req.2]]&gt;0,(Tabla22[[#This Row],[Base price2]]-LOOKUP(Tabla22[[#This Row],[Product2]],$R$18:$R$23,$S$18:$S$23))*Tabla22[[#This Row],[Req.2]],0)</f>
        <v>0</v>
      </c>
      <c r="O50" s="38">
        <f>SUM(Tabla22[[#This Row],[Bonus1]:[p2]])</f>
        <v>18067.654399999999</v>
      </c>
      <c r="P50" s="39">
        <f>IF(Tabla22[[#This Row],[QualityBonus]]&gt;0,Tabla22[[#This Row],[P_T]]-$C$4,"")</f>
        <v>-24932.345600000001</v>
      </c>
    </row>
    <row r="51" spans="1:16" x14ac:dyDescent="0.25">
      <c r="A51" s="13">
        <v>35</v>
      </c>
      <c r="B51" s="13" t="s">
        <v>13</v>
      </c>
      <c r="C51" s="37">
        <v>2.6499999999999999E-2</v>
      </c>
      <c r="D51" s="2" t="s">
        <v>56</v>
      </c>
      <c r="E51" s="3">
        <v>82956</v>
      </c>
      <c r="F51" s="4">
        <v>4</v>
      </c>
      <c r="G51" s="2" t="s">
        <v>54</v>
      </c>
      <c r="H51" s="3">
        <v>42566</v>
      </c>
      <c r="I51" s="4">
        <v>5</v>
      </c>
      <c r="J51" s="2">
        <f>Tabla22[[#This Row],[Base price1]]*Tabla22[[#This Row],[Req.]]+Tabla22[[#This Row],[Base price2]]*Tabla22[[#This Row],[Req.2]]</f>
        <v>544654</v>
      </c>
      <c r="K51" s="3">
        <f>IFERROR(LOOKUP(Tabla22[[#This Row],[Product]],$R$18:$R$23,$T$18:$T$23)*Tabla22[[#This Row],[QualityBonus]]*Tabla22[[#This Row],[Base price1]]*Tabla22[[#This Row],[Req.]],0)</f>
        <v>35173.343999999997</v>
      </c>
      <c r="L51" s="3">
        <f>IF(Tabla22[[#This Row],[Req.2]]&gt;0,LOOKUP(Tabla22[[#This Row],[Product2]],$R$18:$R$23,$T$18:$T$23)*Tabla22[[#This Row],[Base price2]]*Tabla22[[#This Row],[Req.2]]*Tabla22[[#This Row],[QualityBonus]],0)</f>
        <v>33839.97</v>
      </c>
      <c r="M51" s="2">
        <f>IFERROR((Tabla22[[#This Row],[Base price1]]-LOOKUP(Tabla22[[#This Row],[Product]],$R$18:$R$23,$S$18:$S$23))*Tabla22[[#This Row],[Req.]],0)</f>
        <v>3824</v>
      </c>
      <c r="N51" s="3">
        <f>IF(Tabla22[[#This Row],[Req.2]]&gt;0,(Tabla22[[#This Row],[Base price2]]-LOOKUP(Tabla22[[#This Row],[Product2]],$R$18:$R$23,$S$18:$S$23))*Tabla22[[#This Row],[Req.2]],0)</f>
        <v>27330</v>
      </c>
      <c r="O51" s="2">
        <f>SUM(Tabla22[[#This Row],[Bonus1]:[p2]])</f>
        <v>100167.314</v>
      </c>
      <c r="P51" s="3">
        <f>IF(Tabla22[[#This Row],[QualityBonus]]&gt;0,Tabla22[[#This Row],[P_T]]-$C$4,"")</f>
        <v>57167.313999999998</v>
      </c>
    </row>
    <row r="52" spans="1:16" x14ac:dyDescent="0.25">
      <c r="A52" s="13">
        <v>36</v>
      </c>
      <c r="B52" s="13" t="s">
        <v>13</v>
      </c>
      <c r="C52" s="37">
        <v>2.5999999999999999E-2</v>
      </c>
      <c r="D52" s="2" t="s">
        <v>54</v>
      </c>
      <c r="E52" s="3">
        <v>42329</v>
      </c>
      <c r="F52" s="4">
        <v>4</v>
      </c>
      <c r="G52" s="2"/>
      <c r="H52" s="3"/>
      <c r="I52" s="4"/>
      <c r="J52" s="2">
        <f>Tabla22[[#This Row],[Base price1]]*Tabla22[[#This Row],[Req.]]+Tabla22[[#This Row],[Base price2]]*Tabla22[[#This Row],[Req.2]]</f>
        <v>169316</v>
      </c>
      <c r="K52" s="3">
        <f>IFERROR(LOOKUP(Tabla22[[#This Row],[Product]],$R$18:$R$23,$T$18:$T$23)*Tabla22[[#This Row],[QualityBonus]]*Tabla22[[#This Row],[Base price1]]*Tabla22[[#This Row],[Req.]],0)</f>
        <v>26413.295999999998</v>
      </c>
      <c r="L52" s="3">
        <f>IF(Tabla22[[#This Row],[Req.2]]&gt;0,LOOKUP(Tabla22[[#This Row],[Product2]],$R$18:$R$23,$T$18:$T$23)*Tabla22[[#This Row],[Base price2]]*Tabla22[[#This Row],[Req.2]]*Tabla22[[#This Row],[QualityBonus]],0)</f>
        <v>0</v>
      </c>
      <c r="M52" s="2">
        <f>IFERROR((Tabla22[[#This Row],[Base price1]]-LOOKUP(Tabla22[[#This Row],[Product]],$R$18:$R$23,$S$18:$S$23))*Tabla22[[#This Row],[Req.]],0)</f>
        <v>20916</v>
      </c>
      <c r="N52" s="3">
        <f>IF(Tabla22[[#This Row],[Req.2]]&gt;0,(Tabla22[[#This Row],[Base price2]]-LOOKUP(Tabla22[[#This Row],[Product2]],$R$18:$R$23,$S$18:$S$23))*Tabla22[[#This Row],[Req.2]],0)</f>
        <v>0</v>
      </c>
      <c r="O52" s="2">
        <f>SUM(Tabla22[[#This Row],[Bonus1]:[p2]])</f>
        <v>47329.296000000002</v>
      </c>
      <c r="P52" s="3">
        <f>IF(Tabla22[[#This Row],[QualityBonus]]&gt;0,Tabla22[[#This Row],[P_T]]-$C$4,"")</f>
        <v>4329.2960000000021</v>
      </c>
    </row>
    <row r="53" spans="1:16" x14ac:dyDescent="0.25">
      <c r="A53" s="13">
        <v>37</v>
      </c>
      <c r="B53" s="13" t="s">
        <v>13</v>
      </c>
      <c r="C53" s="37">
        <v>2.4299999999999999E-2</v>
      </c>
      <c r="D53" s="2" t="s">
        <v>54</v>
      </c>
      <c r="E53" s="3">
        <v>41309</v>
      </c>
      <c r="F53" s="4">
        <v>2</v>
      </c>
      <c r="G53" s="2" t="s">
        <v>53</v>
      </c>
      <c r="H53" s="3">
        <v>118549</v>
      </c>
      <c r="I53" s="4">
        <v>3</v>
      </c>
      <c r="J53" s="2">
        <f>Tabla22[[#This Row],[Base price1]]*Tabla22[[#This Row],[Req.]]+Tabla22[[#This Row],[Base price2]]*Tabla22[[#This Row],[Req.2]]</f>
        <v>438265</v>
      </c>
      <c r="K53" s="3">
        <f>IFERROR(LOOKUP(Tabla22[[#This Row],[Product]],$R$18:$R$23,$T$18:$T$23)*Tabla22[[#This Row],[QualityBonus]]*Tabla22[[#This Row],[Base price1]]*Tabla22[[#This Row],[Req.]],0)</f>
        <v>12045.704399999999</v>
      </c>
      <c r="L53" s="3">
        <f>IF(Tabla22[[#This Row],[Req.2]]&gt;0,LOOKUP(Tabla22[[#This Row],[Product2]],$R$18:$R$23,$T$18:$T$23)*Tabla22[[#This Row],[Base price2]]*Tabla22[[#This Row],[Req.2]]*Tabla22[[#This Row],[QualityBonus]],0)</f>
        <v>51853.332599999994</v>
      </c>
      <c r="M53" s="2">
        <f>IFERROR((Tabla22[[#This Row],[Base price1]]-LOOKUP(Tabla22[[#This Row],[Product]],$R$18:$R$23,$S$18:$S$23))*Tabla22[[#This Row],[Req.]],0)</f>
        <v>8418</v>
      </c>
      <c r="N53" s="3">
        <f>IF(Tabla22[[#This Row],[Req.2]]&gt;0,(Tabla22[[#This Row],[Base price2]]-LOOKUP(Tabla22[[#This Row],[Product2]],$R$18:$R$23,$S$18:$S$23))*Tabla22[[#This Row],[Req.2]],0)</f>
        <v>-1353</v>
      </c>
      <c r="O53" s="2">
        <f>SUM(Tabla22[[#This Row],[Bonus1]:[p2]])</f>
        <v>70964.036999999997</v>
      </c>
      <c r="P53" s="3">
        <f>IF(Tabla22[[#This Row],[QualityBonus]]&gt;0,Tabla22[[#This Row],[P_T]]-$C$4,"")</f>
        <v>27964.036999999997</v>
      </c>
    </row>
    <row r="54" spans="1:16" x14ac:dyDescent="0.25">
      <c r="A54" s="13">
        <v>38</v>
      </c>
      <c r="B54" s="13" t="s">
        <v>13</v>
      </c>
      <c r="C54" s="37">
        <v>1.6799999999999999E-2</v>
      </c>
      <c r="D54" s="2" t="s">
        <v>54</v>
      </c>
      <c r="E54" s="3">
        <v>41700</v>
      </c>
      <c r="F54" s="4">
        <v>3</v>
      </c>
      <c r="G54" s="2" t="s">
        <v>58</v>
      </c>
      <c r="H54" s="3">
        <v>86334</v>
      </c>
      <c r="I54" s="4">
        <v>1</v>
      </c>
      <c r="J54" s="2">
        <f>Tabla22[[#This Row],[Base price1]]*Tabla22[[#This Row],[Req.]]+Tabla22[[#This Row],[Base price2]]*Tabla22[[#This Row],[Req.2]]</f>
        <v>211434</v>
      </c>
      <c r="K54" s="3">
        <f>IFERROR(LOOKUP(Tabla22[[#This Row],[Product]],$R$18:$R$23,$T$18:$T$23)*Tabla22[[#This Row],[QualityBonus]]*Tabla22[[#This Row],[Base price1]]*Tabla22[[#This Row],[Req.]],0)</f>
        <v>12610.079999999998</v>
      </c>
      <c r="L54" s="3">
        <f>IF(Tabla22[[#This Row],[Req.2]]&gt;0,LOOKUP(Tabla22[[#This Row],[Product2]],$R$18:$R$23,$T$18:$T$23)*Tabla22[[#This Row],[Base price2]]*Tabla22[[#This Row],[Req.2]]*Tabla22[[#This Row],[QualityBonus]],0)</f>
        <v>5801.6448</v>
      </c>
      <c r="M54" s="2">
        <f>IFERROR((Tabla22[[#This Row],[Base price1]]-LOOKUP(Tabla22[[#This Row],[Product]],$R$18:$R$23,$S$18:$S$23))*Tabla22[[#This Row],[Req.]],0)</f>
        <v>13800</v>
      </c>
      <c r="N54" s="3">
        <f>IF(Tabla22[[#This Row],[Req.2]]&gt;0,(Tabla22[[#This Row],[Base price2]]-LOOKUP(Tabla22[[#This Row],[Product2]],$R$18:$R$23,$S$18:$S$23))*Tabla22[[#This Row],[Req.2]],0)</f>
        <v>4334</v>
      </c>
      <c r="O54" s="2">
        <f>SUM(Tabla22[[#This Row],[Bonus1]:[p2]])</f>
        <v>36545.724799999996</v>
      </c>
      <c r="P54" s="3">
        <f>IF(Tabla22[[#This Row],[QualityBonus]]&gt;0,Tabla22[[#This Row],[P_T]]-$C$4,"")</f>
        <v>-6454.2752000000037</v>
      </c>
    </row>
    <row r="55" spans="1:16" x14ac:dyDescent="0.25">
      <c r="A55" s="13">
        <v>39</v>
      </c>
      <c r="B55" s="13" t="s">
        <v>13</v>
      </c>
      <c r="C55" s="37">
        <v>2.3300000000000001E-2</v>
      </c>
      <c r="D55" s="2" t="s">
        <v>54</v>
      </c>
      <c r="E55" s="3">
        <v>41268</v>
      </c>
      <c r="F55" s="4">
        <v>2</v>
      </c>
      <c r="G55" s="2"/>
      <c r="H55" s="3"/>
      <c r="I55" s="4"/>
      <c r="J55" s="2">
        <f>Tabla22[[#This Row],[Base price1]]*Tabla22[[#This Row],[Req.]]+Tabla22[[#This Row],[Base price2]]*Tabla22[[#This Row],[Req.2]]</f>
        <v>82536</v>
      </c>
      <c r="K55" s="3">
        <f>IFERROR(LOOKUP(Tabla22[[#This Row],[Product]],$R$18:$R$23,$T$18:$T$23)*Tabla22[[#This Row],[QualityBonus]]*Tabla22[[#This Row],[Base price1]]*Tabla22[[#This Row],[Req.]],0)</f>
        <v>11538.532800000001</v>
      </c>
      <c r="L55" s="3">
        <f>IF(Tabla22[[#This Row],[Req.2]]&gt;0,LOOKUP(Tabla22[[#This Row],[Product2]],$R$18:$R$23,$T$18:$T$23)*Tabla22[[#This Row],[Base price2]]*Tabla22[[#This Row],[Req.2]]*Tabla22[[#This Row],[QualityBonus]],0)</f>
        <v>0</v>
      </c>
      <c r="M55" s="2">
        <f>IFERROR((Tabla22[[#This Row],[Base price1]]-LOOKUP(Tabla22[[#This Row],[Product]],$R$18:$R$23,$S$18:$S$23))*Tabla22[[#This Row],[Req.]],0)</f>
        <v>8336</v>
      </c>
      <c r="N55" s="3">
        <f>IF(Tabla22[[#This Row],[Req.2]]&gt;0,(Tabla22[[#This Row],[Base price2]]-LOOKUP(Tabla22[[#This Row],[Product2]],$R$18:$R$23,$S$18:$S$23))*Tabla22[[#This Row],[Req.2]],0)</f>
        <v>0</v>
      </c>
      <c r="O55" s="2">
        <f>SUM(Tabla22[[#This Row],[Bonus1]:[p2]])</f>
        <v>19874.532800000001</v>
      </c>
      <c r="P55" s="3">
        <f>IF(Tabla22[[#This Row],[QualityBonus]]&gt;0,Tabla22[[#This Row],[P_T]]-$C$4,"")</f>
        <v>-23125.467199999999</v>
      </c>
    </row>
    <row r="56" spans="1:16" x14ac:dyDescent="0.25">
      <c r="A56" s="13">
        <v>40</v>
      </c>
      <c r="B56" s="13" t="s">
        <v>13</v>
      </c>
      <c r="C56" s="37">
        <v>2.18E-2</v>
      </c>
      <c r="D56" s="2" t="s">
        <v>56</v>
      </c>
      <c r="E56" s="3">
        <v>85536</v>
      </c>
      <c r="F56" s="4">
        <v>4</v>
      </c>
      <c r="G56" s="2" t="s">
        <v>54</v>
      </c>
      <c r="H56" s="3">
        <v>42025</v>
      </c>
      <c r="I56" s="4">
        <v>5</v>
      </c>
      <c r="J56" s="2">
        <f>Tabla22[[#This Row],[Base price1]]*Tabla22[[#This Row],[Req.]]+Tabla22[[#This Row],[Base price2]]*Tabla22[[#This Row],[Req.2]]</f>
        <v>552269</v>
      </c>
      <c r="K56" s="3">
        <f>IFERROR(LOOKUP(Tabla22[[#This Row],[Product]],$R$18:$R$23,$T$18:$T$23)*Tabla22[[#This Row],[QualityBonus]]*Tabla22[[#This Row],[Base price1]]*Tabla22[[#This Row],[Req.]],0)</f>
        <v>29834.9568</v>
      </c>
      <c r="L56" s="3">
        <f>IF(Tabla22[[#This Row],[Req.2]]&gt;0,LOOKUP(Tabla22[[#This Row],[Product2]],$R$18:$R$23,$T$18:$T$23)*Tabla22[[#This Row],[Base price2]]*Tabla22[[#This Row],[Req.2]]*Tabla22[[#This Row],[QualityBonus]],0)</f>
        <v>27484.35</v>
      </c>
      <c r="M56" s="2">
        <f>IFERROR((Tabla22[[#This Row],[Base price1]]-LOOKUP(Tabla22[[#This Row],[Product]],$R$18:$R$23,$S$18:$S$23))*Tabla22[[#This Row],[Req.]],0)</f>
        <v>14144</v>
      </c>
      <c r="N56" s="3">
        <f>IF(Tabla22[[#This Row],[Req.2]]&gt;0,(Tabla22[[#This Row],[Base price2]]-LOOKUP(Tabla22[[#This Row],[Product2]],$R$18:$R$23,$S$18:$S$23))*Tabla22[[#This Row],[Req.2]],0)</f>
        <v>24625</v>
      </c>
      <c r="O56" s="2">
        <f>SUM(Tabla22[[#This Row],[Bonus1]:[p2]])</f>
        <v>96088.306799999991</v>
      </c>
      <c r="P56" s="3">
        <f>IF(Tabla22[[#This Row],[QualityBonus]]&gt;0,Tabla22[[#This Row],[P_T]]-$C$4,"")</f>
        <v>53088.306799999991</v>
      </c>
    </row>
    <row r="57" spans="1:16" x14ac:dyDescent="0.25">
      <c r="A57" s="13">
        <v>41</v>
      </c>
      <c r="B57" s="13" t="s">
        <v>13</v>
      </c>
      <c r="C57" s="37">
        <v>1.9800000000000002E-2</v>
      </c>
      <c r="D57" s="2" t="s">
        <v>55</v>
      </c>
      <c r="E57" s="3">
        <v>61103</v>
      </c>
      <c r="F57" s="4">
        <v>2</v>
      </c>
      <c r="G57" s="2" t="s">
        <v>54</v>
      </c>
      <c r="H57" s="3">
        <v>42071</v>
      </c>
      <c r="I57" s="4">
        <v>2</v>
      </c>
      <c r="J57" s="2">
        <f>Tabla22[[#This Row],[Base price1]]*Tabla22[[#This Row],[Req.]]+Tabla22[[#This Row],[Base price2]]*Tabla22[[#This Row],[Req.2]]</f>
        <v>206348</v>
      </c>
      <c r="K57" s="3">
        <f>IFERROR(LOOKUP(Tabla22[[#This Row],[Product]],$R$18:$R$23,$T$18:$T$23)*Tabla22[[#This Row],[QualityBonus]]*Tabla22[[#This Row],[Base price1]]*Tabla22[[#This Row],[Req.]],0)</f>
        <v>12098.394</v>
      </c>
      <c r="L57" s="3">
        <f>IF(Tabla22[[#This Row],[Req.2]]&gt;0,LOOKUP(Tabla22[[#This Row],[Product2]],$R$18:$R$23,$T$18:$T$23)*Tabla22[[#This Row],[Base price2]]*Tabla22[[#This Row],[Req.2]]*Tabla22[[#This Row],[QualityBonus]],0)</f>
        <v>9996.0696000000007</v>
      </c>
      <c r="M57" s="2">
        <f>IFERROR((Tabla22[[#This Row],[Base price1]]-LOOKUP(Tabla22[[#This Row],[Product]],$R$18:$R$23,$S$18:$S$23))*Tabla22[[#This Row],[Req.]],0)</f>
        <v>12206</v>
      </c>
      <c r="N57" s="3">
        <f>IF(Tabla22[[#This Row],[Req.2]]&gt;0,(Tabla22[[#This Row],[Base price2]]-LOOKUP(Tabla22[[#This Row],[Product2]],$R$18:$R$23,$S$18:$S$23))*Tabla22[[#This Row],[Req.2]],0)</f>
        <v>9942</v>
      </c>
      <c r="O57" s="2">
        <f>SUM(Tabla22[[#This Row],[Bonus1]:[p2]])</f>
        <v>44242.463600000003</v>
      </c>
      <c r="P57" s="3">
        <f>IF(Tabla22[[#This Row],[QualityBonus]]&gt;0,Tabla22[[#This Row],[P_T]]-$C$4,"")</f>
        <v>1242.4636000000028</v>
      </c>
    </row>
    <row r="58" spans="1:16" x14ac:dyDescent="0.25">
      <c r="A58" s="24">
        <v>42</v>
      </c>
      <c r="B58" s="24" t="s">
        <v>13</v>
      </c>
      <c r="C58" s="45">
        <v>1.0200000000000001E-2</v>
      </c>
      <c r="D58" s="38" t="s">
        <v>54</v>
      </c>
      <c r="E58" s="39">
        <v>39994</v>
      </c>
      <c r="F58" s="40">
        <v>2</v>
      </c>
      <c r="G58" s="38"/>
      <c r="H58" s="39"/>
      <c r="I58" s="40"/>
      <c r="J58" s="38">
        <f>Tabla22[[#This Row],[Base price1]]*Tabla22[[#This Row],[Req.]]+Tabla22[[#This Row],[Base price2]]*Tabla22[[#This Row],[Req.2]]</f>
        <v>79988</v>
      </c>
      <c r="K58" s="39">
        <f>IFERROR(LOOKUP(Tabla22[[#This Row],[Product]],$R$18:$R$23,$T$18:$T$23)*Tabla22[[#This Row],[QualityBonus]]*Tabla22[[#This Row],[Base price1]]*Tabla22[[#This Row],[Req.]],0)</f>
        <v>4895.2656000000006</v>
      </c>
      <c r="L58" s="39">
        <f>IF(Tabla22[[#This Row],[Req.2]]&gt;0,LOOKUP(Tabla22[[#This Row],[Product2]],$R$18:$R$23,$T$18:$T$23)*Tabla22[[#This Row],[Base price2]]*Tabla22[[#This Row],[Req.2]]*Tabla22[[#This Row],[QualityBonus]],0)</f>
        <v>0</v>
      </c>
      <c r="M58" s="38">
        <f>IFERROR((Tabla22[[#This Row],[Base price1]]-LOOKUP(Tabla22[[#This Row],[Product]],$R$18:$R$23,$S$18:$S$23))*Tabla22[[#This Row],[Req.]],0)</f>
        <v>5788</v>
      </c>
      <c r="N58" s="39">
        <f>IF(Tabla22[[#This Row],[Req.2]]&gt;0,(Tabla22[[#This Row],[Base price2]]-LOOKUP(Tabla22[[#This Row],[Product2]],$R$18:$R$23,$S$18:$S$23))*Tabla22[[#This Row],[Req.2]],0)</f>
        <v>0</v>
      </c>
      <c r="O58" s="38">
        <f>SUM(Tabla22[[#This Row],[Bonus1]:[p2]])</f>
        <v>10683.265600000001</v>
      </c>
      <c r="P58" s="39">
        <f>IF(Tabla22[[#This Row],[QualityBonus]]&gt;0,Tabla22[[#This Row],[P_T]]-$C$4,"")</f>
        <v>-32316.734400000001</v>
      </c>
    </row>
    <row r="59" spans="1:16" x14ac:dyDescent="0.25">
      <c r="A59" s="13">
        <v>43</v>
      </c>
      <c r="B59" s="13" t="s">
        <v>13</v>
      </c>
      <c r="C59" s="37">
        <v>2.2800000000000001E-2</v>
      </c>
      <c r="D59" s="2" t="s">
        <v>54</v>
      </c>
      <c r="E59" s="3">
        <v>41087</v>
      </c>
      <c r="F59" s="4">
        <v>4</v>
      </c>
      <c r="G59" s="2" t="s">
        <v>53</v>
      </c>
      <c r="H59" s="3">
        <v>118450</v>
      </c>
      <c r="I59" s="4">
        <v>3</v>
      </c>
      <c r="J59" s="2">
        <f>Tabla22[[#This Row],[Base price1]]*Tabla22[[#This Row],[Req.]]+Tabla22[[#This Row],[Base price2]]*Tabla22[[#This Row],[Req.2]]</f>
        <v>519698</v>
      </c>
      <c r="K59" s="3">
        <f>IFERROR(LOOKUP(Tabla22[[#This Row],[Product]],$R$18:$R$23,$T$18:$T$23)*Tabla22[[#This Row],[QualityBonus]]*Tabla22[[#This Row],[Base price1]]*Tabla22[[#This Row],[Req.]],0)</f>
        <v>22482.806400000001</v>
      </c>
      <c r="L59" s="3">
        <f>IF(Tabla22[[#This Row],[Req.2]]&gt;0,LOOKUP(Tabla22[[#This Row],[Product2]],$R$18:$R$23,$T$18:$T$23)*Tabla22[[#This Row],[Base price2]]*Tabla22[[#This Row],[Req.2]]*Tabla22[[#This Row],[QualityBonus]],0)</f>
        <v>48611.880000000005</v>
      </c>
      <c r="M59" s="2">
        <f>IFERROR((Tabla22[[#This Row],[Base price1]]-LOOKUP(Tabla22[[#This Row],[Product]],$R$18:$R$23,$S$18:$S$23))*Tabla22[[#This Row],[Req.]],0)</f>
        <v>15948</v>
      </c>
      <c r="N59" s="3">
        <f>IF(Tabla22[[#This Row],[Req.2]]&gt;0,(Tabla22[[#This Row],[Base price2]]-LOOKUP(Tabla22[[#This Row],[Product2]],$R$18:$R$23,$S$18:$S$23))*Tabla22[[#This Row],[Req.2]],0)</f>
        <v>-1650</v>
      </c>
      <c r="O59" s="2">
        <f>SUM(Tabla22[[#This Row],[Bonus1]:[p2]])</f>
        <v>85392.686400000006</v>
      </c>
      <c r="P59" s="3">
        <f>IF(Tabla22[[#This Row],[QualityBonus]]&gt;0,Tabla22[[#This Row],[P_T]]-$C$4,"")</f>
        <v>42392.686400000006</v>
      </c>
    </row>
    <row r="60" spans="1:16" x14ac:dyDescent="0.25">
      <c r="A60" s="13">
        <v>44</v>
      </c>
      <c r="B60" s="13" t="s">
        <v>13</v>
      </c>
      <c r="C60" s="37">
        <v>1.7399999999999999E-2</v>
      </c>
      <c r="D60" s="2" t="s">
        <v>54</v>
      </c>
      <c r="E60" s="3">
        <v>40290</v>
      </c>
      <c r="F60" s="4">
        <v>5</v>
      </c>
      <c r="G60" s="2"/>
      <c r="H60" s="3"/>
      <c r="I60" s="4"/>
      <c r="J60" s="2">
        <f>Tabla22[[#This Row],[Base price1]]*Tabla22[[#This Row],[Req.]]+Tabla22[[#This Row],[Base price2]]*Tabla22[[#This Row],[Req.2]]</f>
        <v>201450</v>
      </c>
      <c r="K60" s="3">
        <f>IFERROR(LOOKUP(Tabla22[[#This Row],[Product]],$R$18:$R$23,$T$18:$T$23)*Tabla22[[#This Row],[QualityBonus]]*Tabla22[[#This Row],[Base price1]]*Tabla22[[#This Row],[Req.]],0)</f>
        <v>21031.379999999997</v>
      </c>
      <c r="L60" s="3">
        <f>IF(Tabla22[[#This Row],[Req.2]]&gt;0,LOOKUP(Tabla22[[#This Row],[Product2]],$R$18:$R$23,$T$18:$T$23)*Tabla22[[#This Row],[Base price2]]*Tabla22[[#This Row],[Req.2]]*Tabla22[[#This Row],[QualityBonus]],0)</f>
        <v>0</v>
      </c>
      <c r="M60" s="2">
        <f>IFERROR((Tabla22[[#This Row],[Base price1]]-LOOKUP(Tabla22[[#This Row],[Product]],$R$18:$R$23,$S$18:$S$23))*Tabla22[[#This Row],[Req.]],0)</f>
        <v>15950</v>
      </c>
      <c r="N60" s="3">
        <f>IF(Tabla22[[#This Row],[Req.2]]&gt;0,(Tabla22[[#This Row],[Base price2]]-LOOKUP(Tabla22[[#This Row],[Product2]],$R$18:$R$23,$S$18:$S$23))*Tabla22[[#This Row],[Req.2]],0)</f>
        <v>0</v>
      </c>
      <c r="O60" s="2">
        <f>SUM(Tabla22[[#This Row],[Bonus1]:[p2]])</f>
        <v>36981.379999999997</v>
      </c>
      <c r="P60" s="3">
        <f>IF(Tabla22[[#This Row],[QualityBonus]]&gt;0,Tabla22[[#This Row],[P_T]]-$C$4,"")</f>
        <v>-6018.6200000000026</v>
      </c>
    </row>
    <row r="61" spans="1:16" x14ac:dyDescent="0.25">
      <c r="A61" s="13">
        <v>45</v>
      </c>
      <c r="B61" s="13" t="s">
        <v>13</v>
      </c>
      <c r="C61" s="37">
        <v>2.9000000000000001E-2</v>
      </c>
      <c r="D61" s="2" t="s">
        <v>55</v>
      </c>
      <c r="E61" s="3">
        <v>61156</v>
      </c>
      <c r="F61" s="4">
        <v>3</v>
      </c>
      <c r="G61" s="2"/>
      <c r="H61" s="3"/>
      <c r="I61" s="4"/>
      <c r="J61" s="2">
        <f>Tabla22[[#This Row],[Base price1]]*Tabla22[[#This Row],[Req.]]+Tabla22[[#This Row],[Base price2]]*Tabla22[[#This Row],[Req.2]]</f>
        <v>183468</v>
      </c>
      <c r="K61" s="3">
        <f>IFERROR(LOOKUP(Tabla22[[#This Row],[Product]],$R$18:$R$23,$T$18:$T$23)*Tabla22[[#This Row],[QualityBonus]]*Tabla22[[#This Row],[Base price1]]*Tabla22[[#This Row],[Req.]],0)</f>
        <v>26602.86</v>
      </c>
      <c r="L61" s="3">
        <f>IF(Tabla22[[#This Row],[Req.2]]&gt;0,LOOKUP(Tabla22[[#This Row],[Product2]],$R$18:$R$23,$T$18:$T$23)*Tabla22[[#This Row],[Base price2]]*Tabla22[[#This Row],[Req.2]]*Tabla22[[#This Row],[QualityBonus]],0)</f>
        <v>0</v>
      </c>
      <c r="M61" s="2">
        <f>IFERROR((Tabla22[[#This Row],[Base price1]]-LOOKUP(Tabla22[[#This Row],[Product]],$R$18:$R$23,$S$18:$S$23))*Tabla22[[#This Row],[Req.]],0)</f>
        <v>18468</v>
      </c>
      <c r="N61" s="3">
        <f>IF(Tabla22[[#This Row],[Req.2]]&gt;0,(Tabla22[[#This Row],[Base price2]]-LOOKUP(Tabla22[[#This Row],[Product2]],$R$18:$R$23,$S$18:$S$23))*Tabla22[[#This Row],[Req.2]],0)</f>
        <v>0</v>
      </c>
      <c r="O61" s="2">
        <f>SUM(Tabla22[[#This Row],[Bonus1]:[p2]])</f>
        <v>45070.86</v>
      </c>
      <c r="P61" s="3">
        <f>IF(Tabla22[[#This Row],[QualityBonus]]&gt;0,Tabla22[[#This Row],[P_T]]-$C$4,"")</f>
        <v>2070.8600000000006</v>
      </c>
    </row>
    <row r="62" spans="1:16" x14ac:dyDescent="0.25">
      <c r="A62" s="13">
        <v>46</v>
      </c>
      <c r="B62" s="13" t="s">
        <v>13</v>
      </c>
      <c r="C62" s="37">
        <v>1.5299999999999999E-2</v>
      </c>
      <c r="D62" s="2" t="s">
        <v>54</v>
      </c>
      <c r="E62" s="3">
        <v>40841</v>
      </c>
      <c r="F62" s="4">
        <v>3</v>
      </c>
      <c r="G62" s="2" t="s">
        <v>58</v>
      </c>
      <c r="H62" s="3">
        <v>85277</v>
      </c>
      <c r="I62" s="4">
        <v>4</v>
      </c>
      <c r="J62" s="2">
        <f>Tabla22[[#This Row],[Base price1]]*Tabla22[[#This Row],[Req.]]+Tabla22[[#This Row],[Base price2]]*Tabla22[[#This Row],[Req.2]]</f>
        <v>463631</v>
      </c>
      <c r="K62" s="3">
        <f>IFERROR(LOOKUP(Tabla22[[#This Row],[Product]],$R$18:$R$23,$T$18:$T$23)*Tabla22[[#This Row],[QualityBonus]]*Tabla22[[#This Row],[Base price1]]*Tabla22[[#This Row],[Req.]],0)</f>
        <v>11247.6114</v>
      </c>
      <c r="L62" s="3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2">
        <f>IFERROR((Tabla22[[#This Row],[Base price1]]-LOOKUP(Tabla22[[#This Row],[Product]],$R$18:$R$23,$S$18:$S$23))*Tabla22[[#This Row],[Req.]],0)</f>
        <v>11223</v>
      </c>
      <c r="N62" s="3">
        <f>IF(Tabla22[[#This Row],[Req.2]]&gt;0,(Tabla22[[#This Row],[Base price2]]-LOOKUP(Tabla22[[#This Row],[Product2]],$R$18:$R$23,$S$18:$S$23))*Tabla22[[#This Row],[Req.2]],0)</f>
        <v>13108</v>
      </c>
      <c r="O62" s="2">
        <f>SUM(Tabla22[[#This Row],[Bonus1]:[p2]])</f>
        <v>56454.421000000002</v>
      </c>
      <c r="P62" s="3">
        <f>IF(Tabla22[[#This Row],[QualityBonus]]&gt;0,Tabla22[[#This Row],[P_T]]-$C$4,"")</f>
        <v>13454.421000000002</v>
      </c>
    </row>
    <row r="63" spans="1:16" x14ac:dyDescent="0.25">
      <c r="A63" s="13">
        <v>47</v>
      </c>
      <c r="B63" s="13" t="s">
        <v>13</v>
      </c>
      <c r="C63" s="37">
        <v>2.0899999999999998E-2</v>
      </c>
      <c r="D63" s="2" t="s">
        <v>55</v>
      </c>
      <c r="E63" s="3">
        <v>62292</v>
      </c>
      <c r="F63" s="4">
        <v>2</v>
      </c>
      <c r="G63" s="2"/>
      <c r="H63" s="3"/>
      <c r="I63" s="4"/>
      <c r="J63" s="2">
        <f>Tabla22[[#This Row],[Base price1]]*Tabla22[[#This Row],[Req.]]+Tabla22[[#This Row],[Base price2]]*Tabla22[[#This Row],[Req.2]]</f>
        <v>124584</v>
      </c>
      <c r="K63" s="3">
        <f>IFERROR(LOOKUP(Tabla22[[#This Row],[Product]],$R$18:$R$23,$T$18:$T$23)*Tabla22[[#This Row],[QualityBonus]]*Tabla22[[#This Row],[Base price1]]*Tabla22[[#This Row],[Req.]],0)</f>
        <v>13019.028</v>
      </c>
      <c r="L63" s="3">
        <f>IF(Tabla22[[#This Row],[Req.2]]&gt;0,LOOKUP(Tabla22[[#This Row],[Product2]],$R$18:$R$23,$T$18:$T$23)*Tabla22[[#This Row],[Base price2]]*Tabla22[[#This Row],[Req.2]]*Tabla22[[#This Row],[QualityBonus]],0)</f>
        <v>0</v>
      </c>
      <c r="M63" s="2">
        <f>IFERROR((Tabla22[[#This Row],[Base price1]]-LOOKUP(Tabla22[[#This Row],[Product]],$R$18:$R$23,$S$18:$S$23))*Tabla22[[#This Row],[Req.]],0)</f>
        <v>14584</v>
      </c>
      <c r="N63" s="3">
        <f>IF(Tabla22[[#This Row],[Req.2]]&gt;0,(Tabla22[[#This Row],[Base price2]]-LOOKUP(Tabla22[[#This Row],[Product2]],$R$18:$R$23,$S$18:$S$23))*Tabla22[[#This Row],[Req.2]],0)</f>
        <v>0</v>
      </c>
      <c r="O63" s="2">
        <f>SUM(Tabla22[[#This Row],[Bonus1]:[p2]])</f>
        <v>27603.027999999998</v>
      </c>
      <c r="P63" s="3">
        <f>IF(Tabla22[[#This Row],[QualityBonus]]&gt;0,Tabla22[[#This Row],[P_T]]-$C$4,"")</f>
        <v>-15396.972000000002</v>
      </c>
    </row>
    <row r="64" spans="1:16" x14ac:dyDescent="0.25">
      <c r="A64" s="13">
        <v>48</v>
      </c>
      <c r="B64" s="13" t="s">
        <v>13</v>
      </c>
      <c r="C64" s="74">
        <v>2.5999999999999999E-2</v>
      </c>
      <c r="D64" s="2" t="s">
        <v>55</v>
      </c>
      <c r="E64" s="75">
        <v>62770</v>
      </c>
      <c r="F64" s="5">
        <v>4</v>
      </c>
      <c r="G64" s="2" t="s">
        <v>58</v>
      </c>
      <c r="H64" s="3">
        <v>84716</v>
      </c>
      <c r="I64" s="5">
        <v>1</v>
      </c>
      <c r="J64" s="2">
        <f>Tabla22[[#This Row],[Base price1]]*Tabla22[[#This Row],[Req.]]+Tabla22[[#This Row],[Base price2]]*Tabla22[[#This Row],[Req.2]]</f>
        <v>335796</v>
      </c>
      <c r="K64" s="3">
        <f>IFERROR(LOOKUP(Tabla22[[#This Row],[Product]],$R$18:$R$23,$T$18:$T$23)*Tabla22[[#This Row],[QualityBonus]]*Tabla22[[#This Row],[Base price1]]*Tabla22[[#This Row],[Req.]],0)</f>
        <v>32640.400000000001</v>
      </c>
      <c r="L64" s="3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2">
        <f>IFERROR((Tabla22[[#This Row],[Base price1]]-LOOKUP(Tabla22[[#This Row],[Product]],$R$18:$R$23,$S$18:$S$23))*Tabla22[[#This Row],[Req.]],0)</f>
        <v>31080</v>
      </c>
      <c r="N64" s="3">
        <f>IF(Tabla22[[#This Row],[Req.2]]&gt;0,(Tabla22[[#This Row],[Base price2]]-LOOKUP(Tabla22[[#This Row],[Product2]],$R$18:$R$23,$S$18:$S$23))*Tabla22[[#This Row],[Req.2]],0)</f>
        <v>2716</v>
      </c>
      <c r="O64" s="2">
        <f>SUM(Tabla22[[#This Row],[Bonus1]:[p2]])</f>
        <v>75246.864000000001</v>
      </c>
      <c r="P64" s="75">
        <f>IF(Tabla22[[#This Row],[QualityBonus]]&gt;0,Tabla22[[#This Row],[P_T]]-$C$4,"")</f>
        <v>32246.864000000001</v>
      </c>
    </row>
    <row r="65" spans="1:16" x14ac:dyDescent="0.25">
      <c r="A65" s="13">
        <v>49</v>
      </c>
      <c r="B65" s="13" t="s">
        <v>13</v>
      </c>
      <c r="C65" s="74">
        <v>1.7100000000000001E-2</v>
      </c>
      <c r="D65" s="2" t="s">
        <v>54</v>
      </c>
      <c r="E65" s="75">
        <v>42582</v>
      </c>
      <c r="F65" s="5">
        <v>5</v>
      </c>
      <c r="G65" s="2" t="s">
        <v>55</v>
      </c>
      <c r="H65" s="3">
        <v>62487</v>
      </c>
      <c r="I65" s="5">
        <v>2</v>
      </c>
      <c r="J65" s="2">
        <f>Tabla22[[#This Row],[Base price1]]*Tabla22[[#This Row],[Req.]]+Tabla22[[#This Row],[Base price2]]*Tabla22[[#This Row],[Req.2]]</f>
        <v>337884</v>
      </c>
      <c r="K65" s="3">
        <f>IFERROR(LOOKUP(Tabla22[[#This Row],[Product]],$R$18:$R$23,$T$18:$T$23)*Tabla22[[#This Row],[QualityBonus]]*Tabla22[[#This Row],[Base price1]]*Tabla22[[#This Row],[Req.]],0)</f>
        <v>21844.565999999999</v>
      </c>
      <c r="L65" s="3">
        <f>IF(Tabla22[[#This Row],[Req.2]]&gt;0,LOOKUP(Tabla22[[#This Row],[Product2]],$R$18:$R$23,$T$18:$T$23)*Tabla22[[#This Row],[Base price2]]*Tabla22[[#This Row],[Req.2]]*Tabla22[[#This Row],[QualityBonus]],0)</f>
        <v>10685.277</v>
      </c>
      <c r="M65" s="2">
        <f>IFERROR((Tabla22[[#This Row],[Base price1]]-LOOKUP(Tabla22[[#This Row],[Product]],$R$18:$R$23,$S$18:$S$23))*Tabla22[[#This Row],[Req.]],0)</f>
        <v>27410</v>
      </c>
      <c r="N65" s="3">
        <f>IF(Tabla22[[#This Row],[Req.2]]&gt;0,(Tabla22[[#This Row],[Base price2]]-LOOKUP(Tabla22[[#This Row],[Product2]],$R$18:$R$23,$S$18:$S$23))*Tabla22[[#This Row],[Req.2]],0)</f>
        <v>14974</v>
      </c>
      <c r="O65" s="2">
        <f>SUM(Tabla22[[#This Row],[Bonus1]:[p2]])</f>
        <v>74913.842999999993</v>
      </c>
      <c r="P65" s="75">
        <f>IF(Tabla22[[#This Row],[QualityBonus]]&gt;0,Tabla22[[#This Row],[P_T]]-$C$4,"")</f>
        <v>31913.842999999993</v>
      </c>
    </row>
    <row r="66" spans="1:16" x14ac:dyDescent="0.25">
      <c r="A66" s="13">
        <v>50</v>
      </c>
      <c r="B66" s="13" t="s">
        <v>13</v>
      </c>
      <c r="C66" s="74">
        <v>1.0200000000000001E-2</v>
      </c>
      <c r="D66" s="2" t="s">
        <v>55</v>
      </c>
      <c r="E66" s="75">
        <v>59416</v>
      </c>
      <c r="F66" s="5">
        <v>2</v>
      </c>
      <c r="G66" s="2"/>
      <c r="H66" s="3"/>
      <c r="I66" s="5"/>
      <c r="J66" s="2">
        <f>Tabla22[[#This Row],[Base price1]]*Tabla22[[#This Row],[Req.]]+Tabla22[[#This Row],[Base price2]]*Tabla22[[#This Row],[Req.2]]</f>
        <v>118832</v>
      </c>
      <c r="K66" s="3">
        <f>IFERROR(LOOKUP(Tabla22[[#This Row],[Product]],$R$18:$R$23,$T$18:$T$23)*Tabla22[[#This Row],[QualityBonus]]*Tabla22[[#This Row],[Base price1]]*Tabla22[[#This Row],[Req.]],0)</f>
        <v>6060.4320000000007</v>
      </c>
      <c r="L66" s="3">
        <f>IF(Tabla22[[#This Row],[Req.2]]&gt;0,LOOKUP(Tabla22[[#This Row],[Product2]],$R$18:$R$23,$T$18:$T$23)*Tabla22[[#This Row],[Base price2]]*Tabla22[[#This Row],[Req.2]]*Tabla22[[#This Row],[QualityBonus]],0)</f>
        <v>0</v>
      </c>
      <c r="M66" s="2">
        <f>IFERROR((Tabla22[[#This Row],[Base price1]]-LOOKUP(Tabla22[[#This Row],[Product]],$R$18:$R$23,$S$18:$S$23))*Tabla22[[#This Row],[Req.]],0)</f>
        <v>8832</v>
      </c>
      <c r="N66" s="3">
        <f>IF(Tabla22[[#This Row],[Req.2]]&gt;0,(Tabla22[[#This Row],[Base price2]]-LOOKUP(Tabla22[[#This Row],[Product2]],$R$18:$R$23,$S$18:$S$23))*Tabla22[[#This Row],[Req.2]],0)</f>
        <v>0</v>
      </c>
      <c r="O66" s="2">
        <f>SUM(Tabla22[[#This Row],[Bonus1]:[p2]])</f>
        <v>14892.432000000001</v>
      </c>
      <c r="P66" s="75">
        <f>IF(Tabla22[[#This Row],[QualityBonus]]&gt;0,Tabla22[[#This Row],[P_T]]-$C$4,"")</f>
        <v>-28107.567999999999</v>
      </c>
    </row>
    <row r="67" spans="1:16" x14ac:dyDescent="0.25">
      <c r="A67" s="13">
        <v>51</v>
      </c>
      <c r="B67" s="13" t="s">
        <v>13</v>
      </c>
      <c r="C67" s="74">
        <v>2.7099999999999999E-2</v>
      </c>
      <c r="D67" s="2" t="s">
        <v>54</v>
      </c>
      <c r="E67" s="75">
        <v>42602</v>
      </c>
      <c r="F67" s="5">
        <v>5</v>
      </c>
      <c r="G67" s="2"/>
      <c r="H67" s="3"/>
      <c r="I67" s="5"/>
      <c r="J67" s="2">
        <f>Tabla22[[#This Row],[Base price1]]*Tabla22[[#This Row],[Req.]]+Tabla22[[#This Row],[Base price2]]*Tabla22[[#This Row],[Req.2]]</f>
        <v>213010</v>
      </c>
      <c r="K67" s="3">
        <f>IFERROR(LOOKUP(Tabla22[[#This Row],[Product]],$R$18:$R$23,$T$18:$T$23)*Tabla22[[#This Row],[QualityBonus]]*Tabla22[[#This Row],[Base price1]]*Tabla22[[#This Row],[Req.]],0)</f>
        <v>34635.425999999999</v>
      </c>
      <c r="L67" s="3">
        <f>IF(Tabla22[[#This Row],[Req.2]]&gt;0,LOOKUP(Tabla22[[#This Row],[Product2]],$R$18:$R$23,$T$18:$T$23)*Tabla22[[#This Row],[Base price2]]*Tabla22[[#This Row],[Req.2]]*Tabla22[[#This Row],[QualityBonus]],0)</f>
        <v>0</v>
      </c>
      <c r="M67" s="2">
        <f>IFERROR((Tabla22[[#This Row],[Base price1]]-LOOKUP(Tabla22[[#This Row],[Product]],$R$18:$R$23,$S$18:$S$23))*Tabla22[[#This Row],[Req.]],0)</f>
        <v>27510</v>
      </c>
      <c r="N67" s="3">
        <f>IF(Tabla22[[#This Row],[Req.2]]&gt;0,(Tabla22[[#This Row],[Base price2]]-LOOKUP(Tabla22[[#This Row],[Product2]],$R$18:$R$23,$S$18:$S$23))*Tabla22[[#This Row],[Req.2]],0)</f>
        <v>0</v>
      </c>
      <c r="O67" s="2">
        <f>SUM(Tabla22[[#This Row],[Bonus1]:[p2]])</f>
        <v>62145.425999999999</v>
      </c>
      <c r="P67" s="75">
        <f>IF(Tabla22[[#This Row],[QualityBonus]]&gt;0,Tabla22[[#This Row],[P_T]]-$C$4,"")</f>
        <v>19145.425999999999</v>
      </c>
    </row>
    <row r="68" spans="1:16" x14ac:dyDescent="0.25">
      <c r="A68" s="13">
        <v>52</v>
      </c>
      <c r="B68" s="13" t="s">
        <v>13</v>
      </c>
      <c r="C68" s="74">
        <v>2.9399999999999999E-2</v>
      </c>
      <c r="D68" s="2" t="s">
        <v>27</v>
      </c>
      <c r="E68" s="75">
        <v>825825</v>
      </c>
      <c r="F68" s="5">
        <v>3</v>
      </c>
      <c r="G68" s="2" t="s">
        <v>54</v>
      </c>
      <c r="H68" s="3">
        <v>40101</v>
      </c>
      <c r="I68" s="5">
        <v>5</v>
      </c>
      <c r="J68" s="2">
        <f>Tabla22[[#This Row],[Base price1]]*Tabla22[[#This Row],[Req.]]+Tabla22[[#This Row],[Base price2]]*Tabla22[[#This Row],[Req.2]]</f>
        <v>2677980</v>
      </c>
      <c r="K68" s="3">
        <f>IFERROR(LOOKUP(Tabla22[[#This Row],[Product]],$R$18:$R$23,$T$18:$T$23)*Tabla22[[#This Row],[QualityBonus]]*Tabla22[[#This Row],[Base price1]]*Tabla22[[#This Row],[Req.]],0)</f>
        <v>437026.58999999997</v>
      </c>
      <c r="L68" s="3">
        <f>IF(Tabla22[[#This Row],[Req.2]]&gt;0,LOOKUP(Tabla22[[#This Row],[Product2]],$R$18:$R$23,$T$18:$T$23)*Tabla22[[#This Row],[Base price2]]*Tabla22[[#This Row],[Req.2]]*Tabla22[[#This Row],[QualityBonus]],0)</f>
        <v>35369.082000000002</v>
      </c>
      <c r="M68" s="2">
        <f>IFERROR((Tabla22[[#This Row],[Base price1]]-LOOKUP(Tabla22[[#This Row],[Product]],$R$18:$R$23,$S$18:$S$23))*Tabla22[[#This Row],[Req.]],0)</f>
        <v>-96525</v>
      </c>
      <c r="N68" s="3">
        <f>IF(Tabla22[[#This Row],[Req.2]]&gt;0,(Tabla22[[#This Row],[Base price2]]-LOOKUP(Tabla22[[#This Row],[Product2]],$R$18:$R$23,$S$18:$S$23))*Tabla22[[#This Row],[Req.2]],0)</f>
        <v>15005</v>
      </c>
      <c r="O68" s="2">
        <f>SUM(Tabla22[[#This Row],[Bonus1]:[p2]])</f>
        <v>390875.67199999996</v>
      </c>
      <c r="P68" s="75">
        <f>IF(Tabla22[[#This Row],[QualityBonus]]&gt;0,Tabla22[[#This Row],[P_T]]-$C$4,"")</f>
        <v>347875.67199999996</v>
      </c>
    </row>
    <row r="69" spans="1:16" x14ac:dyDescent="0.25">
      <c r="A69" s="13">
        <v>53</v>
      </c>
      <c r="B69" s="13" t="s">
        <v>13</v>
      </c>
      <c r="C69" s="74">
        <v>2.9600000000000001E-2</v>
      </c>
      <c r="D69" s="2" t="s">
        <v>55</v>
      </c>
      <c r="E69" s="75">
        <v>61467</v>
      </c>
      <c r="F69" s="5">
        <v>1</v>
      </c>
      <c r="G69" s="2"/>
      <c r="H69" s="3"/>
      <c r="I69" s="5"/>
      <c r="J69" s="2">
        <f>Tabla22[[#This Row],[Base price1]]*Tabla22[[#This Row],[Req.]]+Tabla22[[#This Row],[Base price2]]*Tabla22[[#This Row],[Req.2]]</f>
        <v>61467</v>
      </c>
      <c r="K69" s="3">
        <f>IFERROR(LOOKUP(Tabla22[[#This Row],[Product]],$R$18:$R$23,$T$18:$T$23)*Tabla22[[#This Row],[QualityBonus]]*Tabla22[[#This Row],[Base price1]]*Tabla22[[#This Row],[Req.]],0)</f>
        <v>9097.1160000000018</v>
      </c>
      <c r="L69" s="3">
        <f>IF(Tabla22[[#This Row],[Req.2]]&gt;0,LOOKUP(Tabla22[[#This Row],[Product2]],$R$18:$R$23,$T$18:$T$23)*Tabla22[[#This Row],[Base price2]]*Tabla22[[#This Row],[Req.2]]*Tabla22[[#This Row],[QualityBonus]],0)</f>
        <v>0</v>
      </c>
      <c r="M69" s="2">
        <f>IFERROR((Tabla22[[#This Row],[Base price1]]-LOOKUP(Tabla22[[#This Row],[Product]],$R$18:$R$23,$S$18:$S$23))*Tabla22[[#This Row],[Req.]],0)</f>
        <v>6467</v>
      </c>
      <c r="N69" s="3">
        <f>IF(Tabla22[[#This Row],[Req.2]]&gt;0,(Tabla22[[#This Row],[Base price2]]-LOOKUP(Tabla22[[#This Row],[Product2]],$R$18:$R$23,$S$18:$S$23))*Tabla22[[#This Row],[Req.2]],0)</f>
        <v>0</v>
      </c>
      <c r="O69" s="2">
        <f>SUM(Tabla22[[#This Row],[Bonus1]:[p2]])</f>
        <v>15564.116000000002</v>
      </c>
      <c r="P69" s="75">
        <f>IF(Tabla22[[#This Row],[QualityBonus]]&gt;0,Tabla22[[#This Row],[P_T]]-$C$4,"")</f>
        <v>-27435.883999999998</v>
      </c>
    </row>
    <row r="70" spans="1:16" x14ac:dyDescent="0.25">
      <c r="A70" s="13">
        <v>54</v>
      </c>
      <c r="B70" s="13" t="s">
        <v>13</v>
      </c>
      <c r="C70" s="74">
        <v>1.9099999999999999E-2</v>
      </c>
      <c r="D70" s="2" t="s">
        <v>53</v>
      </c>
      <c r="E70" s="75">
        <v>119307</v>
      </c>
      <c r="F70" s="5">
        <v>1</v>
      </c>
      <c r="G70" s="2" t="s">
        <v>54</v>
      </c>
      <c r="H70" s="3">
        <v>42570</v>
      </c>
      <c r="I70" s="5">
        <v>3</v>
      </c>
      <c r="J70" s="2">
        <f>Tabla22[[#This Row],[Base price1]]*Tabla22[[#This Row],[Req.]]+Tabla22[[#This Row],[Base price2]]*Tabla22[[#This Row],[Req.2]]</f>
        <v>247017</v>
      </c>
      <c r="K70" s="3">
        <f>IFERROR(LOOKUP(Tabla22[[#This Row],[Product]],$R$18:$R$23,$T$18:$T$23)*Tabla22[[#This Row],[QualityBonus]]*Tabla22[[#This Row],[Base price1]]*Tabla22[[#This Row],[Req.]],0)</f>
        <v>13672.582199999999</v>
      </c>
      <c r="L70" s="3">
        <f>IF(Tabla22[[#This Row],[Req.2]]&gt;0,LOOKUP(Tabla22[[#This Row],[Product2]],$R$18:$R$23,$T$18:$T$23)*Tabla22[[#This Row],[Base price2]]*Tabla22[[#This Row],[Req.2]]*Tabla22[[#This Row],[QualityBonus]],0)</f>
        <v>14635.565999999999</v>
      </c>
      <c r="M70" s="2">
        <f>IFERROR((Tabla22[[#This Row],[Base price1]]-LOOKUP(Tabla22[[#This Row],[Product]],$R$18:$R$23,$S$18:$S$23))*Tabla22[[#This Row],[Req.]],0)</f>
        <v>307</v>
      </c>
      <c r="N70" s="3">
        <f>IF(Tabla22[[#This Row],[Req.2]]&gt;0,(Tabla22[[#This Row],[Base price2]]-LOOKUP(Tabla22[[#This Row],[Product2]],$R$18:$R$23,$S$18:$S$23))*Tabla22[[#This Row],[Req.2]],0)</f>
        <v>16410</v>
      </c>
      <c r="O70" s="2">
        <f>SUM(Tabla22[[#This Row],[Bonus1]:[p2]])</f>
        <v>45025.148199999996</v>
      </c>
      <c r="P70" s="75">
        <f>IF(Tabla22[[#This Row],[QualityBonus]]&gt;0,Tabla22[[#This Row],[P_T]]-$C$4,"")</f>
        <v>2025.148199999996</v>
      </c>
    </row>
    <row r="71" spans="1:16" x14ac:dyDescent="0.25">
      <c r="A71" s="13">
        <v>55</v>
      </c>
      <c r="B71" s="13" t="s">
        <v>13</v>
      </c>
      <c r="C71" s="74">
        <v>1.61E-2</v>
      </c>
      <c r="D71" s="2" t="s">
        <v>55</v>
      </c>
      <c r="E71" s="3">
        <v>61283</v>
      </c>
      <c r="F71" s="4">
        <v>1</v>
      </c>
      <c r="G71" s="2"/>
      <c r="H71" s="3"/>
      <c r="I71" s="4"/>
      <c r="J71" s="2">
        <f>Tabla22[[#This Row],[Base price1]]*Tabla22[[#This Row],[Req.]]+Tabla22[[#This Row],[Base price2]]*Tabla22[[#This Row],[Req.2]]</f>
        <v>61283</v>
      </c>
      <c r="K71" s="3">
        <f>IFERROR(LOOKUP(Tabla22[[#This Row],[Product]],$R$18:$R$23,$T$18:$T$23)*Tabla22[[#This Row],[QualityBonus]]*Tabla22[[#This Row],[Base price1]]*Tabla22[[#This Row],[Req.]],0)</f>
        <v>4933.2815000000001</v>
      </c>
      <c r="L71" s="3">
        <f>IF(Tabla22[[#This Row],[Req.2]]&gt;0,LOOKUP(Tabla22[[#This Row],[Product2]],$R$18:$R$23,$T$18:$T$23)*Tabla22[[#This Row],[Base price2]]*Tabla22[[#This Row],[Req.2]]*Tabla22[[#This Row],[QualityBonus]],0)</f>
        <v>0</v>
      </c>
      <c r="M71" s="2">
        <f>IFERROR((Tabla22[[#This Row],[Base price1]]-LOOKUP(Tabla22[[#This Row],[Product]],$R$18:$R$23,$S$18:$S$23))*Tabla22[[#This Row],[Req.]],0)</f>
        <v>6283</v>
      </c>
      <c r="N71" s="3">
        <f>IF(Tabla22[[#This Row],[Req.2]]&gt;0,(Tabla22[[#This Row],[Base price2]]-LOOKUP(Tabla22[[#This Row],[Product2]],$R$18:$R$23,$S$18:$S$23))*Tabla22[[#This Row],[Req.2]],0)</f>
        <v>0</v>
      </c>
      <c r="O71" s="2">
        <f>SUM(Tabla22[[#This Row],[Bonus1]:[p2]])</f>
        <v>11216.281500000001</v>
      </c>
      <c r="P71" s="3">
        <f>IF(Tabla22[[#This Row],[QualityBonus]]&gt;0,Tabla22[[#This Row],[P_T]]-$C$4,"")</f>
        <v>-31783.718499999999</v>
      </c>
    </row>
    <row r="72" spans="1:16" x14ac:dyDescent="0.25">
      <c r="A72" s="24">
        <v>56</v>
      </c>
      <c r="B72" s="24" t="s">
        <v>13</v>
      </c>
      <c r="C72" s="45">
        <v>2.1899999999999999E-2</v>
      </c>
      <c r="D72" s="38" t="s">
        <v>56</v>
      </c>
      <c r="E72" s="39">
        <v>84255</v>
      </c>
      <c r="F72" s="40">
        <v>1</v>
      </c>
      <c r="G72" s="38" t="s">
        <v>55</v>
      </c>
      <c r="H72" s="39">
        <v>59249</v>
      </c>
      <c r="I72" s="40">
        <v>1</v>
      </c>
      <c r="J72" s="38">
        <f>Tabla22[[#This Row],[Base price1]]*Tabla22[[#This Row],[Req.]]+Tabla22[[#This Row],[Base price2]]*Tabla22[[#This Row],[Req.2]]</f>
        <v>143504</v>
      </c>
      <c r="K72" s="39">
        <f>IFERROR(LOOKUP(Tabla22[[#This Row],[Product]],$R$18:$R$23,$T$18:$T$23)*Tabla22[[#This Row],[QualityBonus]]*Tabla22[[#This Row],[Base price1]]*Tabla22[[#This Row],[Req.]],0)</f>
        <v>7380.7379999999994</v>
      </c>
      <c r="L72" s="39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38">
        <f>IFERROR((Tabla22[[#This Row],[Base price1]]-LOOKUP(Tabla22[[#This Row],[Product]],$R$18:$R$23,$S$18:$S$23))*Tabla22[[#This Row],[Req.]],0)</f>
        <v>2255</v>
      </c>
      <c r="N72" s="39">
        <f>IF(Tabla22[[#This Row],[Req.2]]&gt;0,(Tabla22[[#This Row],[Base price2]]-LOOKUP(Tabla22[[#This Row],[Product2]],$R$18:$R$23,$S$18:$S$23))*Tabla22[[#This Row],[Req.2]],0)</f>
        <v>4249</v>
      </c>
      <c r="O72" s="38">
        <f>SUM(Tabla22[[#This Row],[Bonus1]:[p2]])</f>
        <v>20372.503499999999</v>
      </c>
      <c r="P72" s="39">
        <f>IF(Tabla22[[#This Row],[QualityBonus]]&gt;0,Tabla22[[#This Row],[P_T]]-$C$4,"")</f>
        <v>-22627.496500000001</v>
      </c>
    </row>
    <row r="73" spans="1:16" x14ac:dyDescent="0.25">
      <c r="A73" s="13">
        <v>57</v>
      </c>
      <c r="B73" s="13" t="s">
        <v>13</v>
      </c>
      <c r="C73" s="74">
        <v>1.5800000000000002E-2</v>
      </c>
      <c r="D73" s="2" t="s">
        <v>55</v>
      </c>
      <c r="E73" s="75">
        <v>62381</v>
      </c>
      <c r="F73" s="5">
        <v>2</v>
      </c>
      <c r="G73" s="2" t="s">
        <v>54</v>
      </c>
      <c r="H73" s="3">
        <v>41862</v>
      </c>
      <c r="I73" s="5">
        <v>3</v>
      </c>
      <c r="J73" s="2">
        <f>Tabla22[[#This Row],[Base price1]]*Tabla22[[#This Row],[Req.]]+Tabla22[[#This Row],[Base price2]]*Tabla22[[#This Row],[Req.2]]</f>
        <v>250348</v>
      </c>
      <c r="K73" s="3">
        <f>IFERROR(LOOKUP(Tabla22[[#This Row],[Product]],$R$18:$R$23,$T$18:$T$23)*Tabla22[[#This Row],[QualityBonus]]*Tabla22[[#This Row],[Base price1]]*Tabla22[[#This Row],[Req.]],0)</f>
        <v>9856.1980000000021</v>
      </c>
      <c r="L73" s="3">
        <f>IF(Tabla22[[#This Row],[Req.2]]&gt;0,LOOKUP(Tabla22[[#This Row],[Product2]],$R$18:$R$23,$T$18:$T$23)*Tabla22[[#This Row],[Base price2]]*Tabla22[[#This Row],[Req.2]]*Tabla22[[#This Row],[QualityBonus]],0)</f>
        <v>11905.552800000001</v>
      </c>
      <c r="M73" s="2">
        <f>IFERROR((Tabla22[[#This Row],[Base price1]]-LOOKUP(Tabla22[[#This Row],[Product]],$R$18:$R$23,$S$18:$S$23))*Tabla22[[#This Row],[Req.]],0)</f>
        <v>14762</v>
      </c>
      <c r="N73" s="3">
        <f>IF(Tabla22[[#This Row],[Req.2]]&gt;0,(Tabla22[[#This Row],[Base price2]]-LOOKUP(Tabla22[[#This Row],[Product2]],$R$18:$R$23,$S$18:$S$23))*Tabla22[[#This Row],[Req.2]],0)</f>
        <v>14286</v>
      </c>
      <c r="O73" s="2">
        <f>SUM(Tabla22[[#This Row],[Bonus1]:[p2]])</f>
        <v>50809.750800000002</v>
      </c>
      <c r="P73" s="75">
        <f>IF(Tabla22[[#This Row],[QualityBonus]]&gt;0,Tabla22[[#This Row],[P_T]]-$C$4,"")</f>
        <v>7809.7508000000016</v>
      </c>
    </row>
    <row r="74" spans="1:16" x14ac:dyDescent="0.25">
      <c r="A74" s="13">
        <v>58</v>
      </c>
      <c r="B74" s="13" t="s">
        <v>13</v>
      </c>
      <c r="C74" s="74">
        <v>1.21E-2</v>
      </c>
      <c r="D74" s="2" t="s">
        <v>54</v>
      </c>
      <c r="E74" s="75">
        <v>40404</v>
      </c>
      <c r="F74" s="5">
        <v>2</v>
      </c>
      <c r="G74" s="2" t="s">
        <v>53</v>
      </c>
      <c r="H74" s="3">
        <v>121380</v>
      </c>
      <c r="I74" s="5">
        <v>2</v>
      </c>
      <c r="J74" s="2">
        <f>Tabla22[[#This Row],[Base price1]]*Tabla22[[#This Row],[Req.]]+Tabla22[[#This Row],[Base price2]]*Tabla22[[#This Row],[Req.2]]</f>
        <v>323568</v>
      </c>
      <c r="K74" s="3">
        <f>IFERROR(LOOKUP(Tabla22[[#This Row],[Product]],$R$18:$R$23,$T$18:$T$23)*Tabla22[[#This Row],[QualityBonus]]*Tabla22[[#This Row],[Base price1]]*Tabla22[[#This Row],[Req.]],0)</f>
        <v>5866.6607999999997</v>
      </c>
      <c r="L74" s="3">
        <f>IF(Tabla22[[#This Row],[Req.2]]&gt;0,LOOKUP(Tabla22[[#This Row],[Product2]],$R$18:$R$23,$T$18:$T$23)*Tabla22[[#This Row],[Base price2]]*Tabla22[[#This Row],[Req.2]]*Tabla22[[#This Row],[QualityBonus]],0)</f>
        <v>17624.376</v>
      </c>
      <c r="M74" s="2">
        <f>IFERROR((Tabla22[[#This Row],[Base price1]]-LOOKUP(Tabla22[[#This Row],[Product]],$R$18:$R$23,$S$18:$S$23))*Tabla22[[#This Row],[Req.]],0)</f>
        <v>6608</v>
      </c>
      <c r="N74" s="3">
        <f>IF(Tabla22[[#This Row],[Req.2]]&gt;0,(Tabla22[[#This Row],[Base price2]]-LOOKUP(Tabla22[[#This Row],[Product2]],$R$18:$R$23,$S$18:$S$23))*Tabla22[[#This Row],[Req.2]],0)</f>
        <v>4760</v>
      </c>
      <c r="O74" s="2">
        <f>SUM(Tabla22[[#This Row],[Bonus1]:[p2]])</f>
        <v>34859.036800000002</v>
      </c>
      <c r="P74" s="75">
        <f>IF(Tabla22[[#This Row],[QualityBonus]]&gt;0,Tabla22[[#This Row],[P_T]]-$C$4,"")</f>
        <v>-8140.9631999999983</v>
      </c>
    </row>
    <row r="75" spans="1:16" x14ac:dyDescent="0.25">
      <c r="A75" s="13">
        <v>59</v>
      </c>
      <c r="B75" s="13" t="s">
        <v>13</v>
      </c>
      <c r="C75" s="74">
        <v>1.1599999999999999E-2</v>
      </c>
      <c r="D75" s="2" t="s">
        <v>55</v>
      </c>
      <c r="E75" s="75">
        <v>62536</v>
      </c>
      <c r="F75" s="5">
        <v>4</v>
      </c>
      <c r="G75" s="2" t="s">
        <v>54</v>
      </c>
      <c r="H75" s="3">
        <v>41912</v>
      </c>
      <c r="I75" s="5">
        <v>2</v>
      </c>
      <c r="J75" s="2">
        <f>Tabla22[[#This Row],[Base price1]]*Tabla22[[#This Row],[Req.]]+Tabla22[[#This Row],[Base price2]]*Tabla22[[#This Row],[Req.2]]</f>
        <v>333968</v>
      </c>
      <c r="K75" s="3">
        <f>IFERROR(LOOKUP(Tabla22[[#This Row],[Product]],$R$18:$R$23,$T$18:$T$23)*Tabla22[[#This Row],[QualityBonus]]*Tabla22[[#This Row],[Base price1]]*Tabla22[[#This Row],[Req.]],0)</f>
        <v>14508.351999999999</v>
      </c>
      <c r="L75" s="3">
        <f>IF(Tabla22[[#This Row],[Req.2]]&gt;0,LOOKUP(Tabla22[[#This Row],[Product2]],$R$18:$R$23,$T$18:$T$23)*Tabla22[[#This Row],[Base price2]]*Tabla22[[#This Row],[Req.2]]*Tabla22[[#This Row],[QualityBonus]],0)</f>
        <v>5834.1503999999995</v>
      </c>
      <c r="M75" s="2">
        <f>IFERROR((Tabla22[[#This Row],[Base price1]]-LOOKUP(Tabla22[[#This Row],[Product]],$R$18:$R$23,$S$18:$S$23))*Tabla22[[#This Row],[Req.]],0)</f>
        <v>30144</v>
      </c>
      <c r="N75" s="3">
        <f>IF(Tabla22[[#This Row],[Req.2]]&gt;0,(Tabla22[[#This Row],[Base price2]]-LOOKUP(Tabla22[[#This Row],[Product2]],$R$18:$R$23,$S$18:$S$23))*Tabla22[[#This Row],[Req.2]],0)</f>
        <v>9624</v>
      </c>
      <c r="O75" s="2">
        <f>SUM(Tabla22[[#This Row],[Bonus1]:[p2]])</f>
        <v>60110.502399999998</v>
      </c>
      <c r="P75" s="75">
        <f>IF(Tabla22[[#This Row],[QualityBonus]]&gt;0,Tabla22[[#This Row],[P_T]]-$C$4,"")</f>
        <v>17110.502399999998</v>
      </c>
    </row>
    <row r="76" spans="1:16" x14ac:dyDescent="0.25">
      <c r="A76" s="13">
        <v>60</v>
      </c>
      <c r="B76" s="13" t="s">
        <v>13</v>
      </c>
      <c r="C76" s="74">
        <v>2.0299999999999999E-2</v>
      </c>
      <c r="D76" s="2" t="s">
        <v>54</v>
      </c>
      <c r="E76" s="75">
        <v>40580</v>
      </c>
      <c r="F76" s="5">
        <v>4</v>
      </c>
      <c r="G76" s="2" t="s">
        <v>55</v>
      </c>
      <c r="H76" s="3">
        <v>59385</v>
      </c>
      <c r="I76" s="5">
        <v>1</v>
      </c>
      <c r="J76" s="2">
        <f>Tabla22[[#This Row],[Base price1]]*Tabla22[[#This Row],[Req.]]+Tabla22[[#This Row],[Base price2]]*Tabla22[[#This Row],[Req.2]]</f>
        <v>221705</v>
      </c>
      <c r="K76" s="3">
        <f>IFERROR(LOOKUP(Tabla22[[#This Row],[Product]],$R$18:$R$23,$T$18:$T$23)*Tabla22[[#This Row],[QualityBonus]]*Tabla22[[#This Row],[Base price1]]*Tabla22[[#This Row],[Req.]],0)</f>
        <v>19770.575999999997</v>
      </c>
      <c r="L76" s="3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2">
        <f>IFERROR((Tabla22[[#This Row],[Base price1]]-LOOKUP(Tabla22[[#This Row],[Product]],$R$18:$R$23,$S$18:$S$23))*Tabla22[[#This Row],[Req.]],0)</f>
        <v>13920</v>
      </c>
      <c r="N76" s="3">
        <f>IF(Tabla22[[#This Row],[Req.2]]&gt;0,(Tabla22[[#This Row],[Base price2]]-LOOKUP(Tabla22[[#This Row],[Product2]],$R$18:$R$23,$S$18:$S$23))*Tabla22[[#This Row],[Req.2]],0)</f>
        <v>4385</v>
      </c>
      <c r="O76" s="2">
        <f>SUM(Tabla22[[#This Row],[Bonus1]:[p2]])</f>
        <v>44103.1535</v>
      </c>
      <c r="P76" s="75">
        <f>IF(Tabla22[[#This Row],[QualityBonus]]&gt;0,Tabla22[[#This Row],[P_T]]-$C$4,"")</f>
        <v>1103.1535000000003</v>
      </c>
    </row>
    <row r="77" spans="1:16" x14ac:dyDescent="0.25">
      <c r="A77" s="13">
        <v>61</v>
      </c>
      <c r="B77" s="13" t="s">
        <v>13</v>
      </c>
      <c r="C77" s="74">
        <v>2.2200000000000001E-2</v>
      </c>
      <c r="D77" s="2" t="s">
        <v>57</v>
      </c>
      <c r="E77" s="75">
        <v>222195</v>
      </c>
      <c r="F77" s="5">
        <v>1</v>
      </c>
      <c r="G77" s="2" t="s">
        <v>53</v>
      </c>
      <c r="H77" s="75">
        <v>117614</v>
      </c>
      <c r="I77" s="5">
        <v>3</v>
      </c>
      <c r="J77" s="2">
        <f>Tabla22[[#This Row],[Base price1]]*Tabla22[[#This Row],[Req.]]+Tabla22[[#This Row],[Base price2]]*Tabla22[[#This Row],[Req.2]]</f>
        <v>575037</v>
      </c>
      <c r="K77" s="3">
        <f>IFERROR(LOOKUP(Tabla22[[#This Row],[Product]],$R$18:$R$23,$T$18:$T$23)*Tabla22[[#This Row],[QualityBonus]]*Tabla22[[#This Row],[Base price1]]*Tabla22[[#This Row],[Req.]],0)</f>
        <v>19730.916000000001</v>
      </c>
      <c r="L77" s="3">
        <f>IF(Tabla22[[#This Row],[Req.2]]&gt;0,LOOKUP(Tabla22[[#This Row],[Product2]],$R$18:$R$23,$T$18:$T$23)*Tabla22[[#This Row],[Base price2]]*Tabla22[[#This Row],[Req.2]]*Tabla22[[#This Row],[QualityBonus]],0)</f>
        <v>46998.554400000001</v>
      </c>
      <c r="M77" s="2">
        <f>IFERROR((Tabla22[[#This Row],[Base price1]]-LOOKUP(Tabla22[[#This Row],[Product]],$R$18:$R$23,$S$18:$S$23))*Tabla22[[#This Row],[Req.]],0)</f>
        <v>-15805</v>
      </c>
      <c r="N77" s="3">
        <f>IF(Tabla22[[#This Row],[Req.2]]&gt;0,(Tabla22[[#This Row],[Base price2]]-LOOKUP(Tabla22[[#This Row],[Product2]],$R$18:$R$23,$S$18:$S$23))*Tabla22[[#This Row],[Req.2]],0)</f>
        <v>-4158</v>
      </c>
      <c r="O77" s="2">
        <f>SUM(Tabla22[[#This Row],[Bonus1]:[p2]])</f>
        <v>46766.470400000006</v>
      </c>
      <c r="P77" s="75">
        <f>IF(Tabla22[[#This Row],[QualityBonus]]&gt;0,Tabla22[[#This Row],[P_T]]-$C$4,"")</f>
        <v>3766.4704000000056</v>
      </c>
    </row>
    <row r="78" spans="1:16" x14ac:dyDescent="0.25">
      <c r="A78" s="13">
        <v>62</v>
      </c>
      <c r="B78" s="13" t="s">
        <v>13</v>
      </c>
      <c r="C78" s="74">
        <v>2.1299999999999999E-2</v>
      </c>
      <c r="D78" s="2" t="s">
        <v>53</v>
      </c>
      <c r="E78" s="75">
        <v>120518</v>
      </c>
      <c r="F78" s="5">
        <v>1</v>
      </c>
      <c r="G78" s="2" t="s">
        <v>54</v>
      </c>
      <c r="H78" s="75">
        <v>40446</v>
      </c>
      <c r="I78" s="5">
        <v>3</v>
      </c>
      <c r="J78" s="2">
        <f>Tabla22[[#This Row],[Base price1]]*Tabla22[[#This Row],[Req.]]+Tabla22[[#This Row],[Base price2]]*Tabla22[[#This Row],[Req.2]]</f>
        <v>241856</v>
      </c>
      <c r="K78" s="3">
        <f>IFERROR(LOOKUP(Tabla22[[#This Row],[Product]],$R$18:$R$23,$T$18:$T$23)*Tabla22[[#This Row],[QualityBonus]]*Tabla22[[#This Row],[Base price1]]*Tabla22[[#This Row],[Req.]],0)</f>
        <v>15402.2004</v>
      </c>
      <c r="L78" s="3">
        <f>IF(Tabla22[[#This Row],[Req.2]]&gt;0,LOOKUP(Tabla22[[#This Row],[Product2]],$R$18:$R$23,$T$18:$T$23)*Tabla22[[#This Row],[Base price2]]*Tabla22[[#This Row],[Req.2]]*Tabla22[[#This Row],[QualityBonus]],0)</f>
        <v>15506.9964</v>
      </c>
      <c r="M78" s="2">
        <f>IFERROR((Tabla22[[#This Row],[Base price1]]-LOOKUP(Tabla22[[#This Row],[Product]],$R$18:$R$23,$S$18:$S$23))*Tabla22[[#This Row],[Req.]],0)</f>
        <v>1518</v>
      </c>
      <c r="N78" s="3">
        <f>IF(Tabla22[[#This Row],[Req.2]]&gt;0,(Tabla22[[#This Row],[Base price2]]-LOOKUP(Tabla22[[#This Row],[Product2]],$R$18:$R$23,$S$18:$S$23))*Tabla22[[#This Row],[Req.2]],0)</f>
        <v>10038</v>
      </c>
      <c r="O78" s="2">
        <f>SUM(Tabla22[[#This Row],[Bonus1]:[p2]])</f>
        <v>42465.196799999998</v>
      </c>
      <c r="P78" s="75">
        <f>IF(Tabla22[[#This Row],[QualityBonus]]&gt;0,Tabla22[[#This Row],[P_T]]-$C$4,"")</f>
        <v>-534.80320000000211</v>
      </c>
    </row>
    <row r="79" spans="1:16" x14ac:dyDescent="0.25">
      <c r="A79" s="13">
        <v>63</v>
      </c>
      <c r="B79" s="13" t="s">
        <v>13</v>
      </c>
      <c r="C79" s="74">
        <v>2.75E-2</v>
      </c>
      <c r="D79" s="2" t="s">
        <v>54</v>
      </c>
      <c r="E79" s="75">
        <v>40932</v>
      </c>
      <c r="F79" s="5">
        <v>2</v>
      </c>
      <c r="G79" s="2" t="s">
        <v>55</v>
      </c>
      <c r="H79" s="75">
        <v>59663</v>
      </c>
      <c r="I79" s="5">
        <v>4</v>
      </c>
      <c r="J79" s="2">
        <f>Tabla22[[#This Row],[Base price1]]*Tabla22[[#This Row],[Req.]]+Tabla22[[#This Row],[Base price2]]*Tabla22[[#This Row],[Req.2]]</f>
        <v>320516</v>
      </c>
      <c r="K79" s="3">
        <f>IFERROR(LOOKUP(Tabla22[[#This Row],[Product]],$R$18:$R$23,$T$18:$T$23)*Tabla22[[#This Row],[QualityBonus]]*Tabla22[[#This Row],[Base price1]]*Tabla22[[#This Row],[Req.]],0)</f>
        <v>13507.560000000001</v>
      </c>
      <c r="L79" s="3">
        <f>IF(Tabla22[[#This Row],[Req.2]]&gt;0,LOOKUP(Tabla22[[#This Row],[Product2]],$R$18:$R$23,$T$18:$T$23)*Tabla22[[#This Row],[Base price2]]*Tabla22[[#This Row],[Req.2]]*Tabla22[[#This Row],[QualityBonus]],0)</f>
        <v>32814.65</v>
      </c>
      <c r="M79" s="2">
        <f>IFERROR((Tabla22[[#This Row],[Base price1]]-LOOKUP(Tabla22[[#This Row],[Product]],$R$18:$R$23,$S$18:$S$23))*Tabla22[[#This Row],[Req.]],0)</f>
        <v>7664</v>
      </c>
      <c r="N79" s="3">
        <f>IF(Tabla22[[#This Row],[Req.2]]&gt;0,(Tabla22[[#This Row],[Base price2]]-LOOKUP(Tabla22[[#This Row],[Product2]],$R$18:$R$23,$S$18:$S$23))*Tabla22[[#This Row],[Req.2]],0)</f>
        <v>18652</v>
      </c>
      <c r="O79" s="2">
        <f>SUM(Tabla22[[#This Row],[Bonus1]:[p2]])</f>
        <v>72638.210000000006</v>
      </c>
      <c r="P79" s="75">
        <f>IF(Tabla22[[#This Row],[QualityBonus]]&gt;0,Tabla22[[#This Row],[P_T]]-$C$4,"")</f>
        <v>29638.210000000006</v>
      </c>
    </row>
    <row r="80" spans="1:16" x14ac:dyDescent="0.25">
      <c r="A80" s="13">
        <v>64</v>
      </c>
      <c r="B80" s="13" t="s">
        <v>13</v>
      </c>
      <c r="C80" s="74">
        <v>2.0400000000000001E-2</v>
      </c>
      <c r="D80" s="2" t="s">
        <v>54</v>
      </c>
      <c r="E80" s="75">
        <v>40605</v>
      </c>
      <c r="F80" s="5">
        <v>3</v>
      </c>
      <c r="G80" s="2" t="s">
        <v>55</v>
      </c>
      <c r="H80" s="75">
        <v>62919</v>
      </c>
      <c r="I80" s="5">
        <v>1</v>
      </c>
      <c r="J80" s="2">
        <f>Tabla22[[#This Row],[Base price1]]*Tabla22[[#This Row],[Req.]]+Tabla22[[#This Row],[Base price2]]*Tabla22[[#This Row],[Req.2]]</f>
        <v>184734</v>
      </c>
      <c r="K80" s="3">
        <f>IFERROR(LOOKUP(Tabla22[[#This Row],[Product]],$R$18:$R$23,$T$18:$T$23)*Tabla22[[#This Row],[QualityBonus]]*Tabla22[[#This Row],[Base price1]]*Tabla22[[#This Row],[Req.]],0)</f>
        <v>14910.156000000003</v>
      </c>
      <c r="L80" s="3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2">
        <f>IFERROR((Tabla22[[#This Row],[Base price1]]-LOOKUP(Tabla22[[#This Row],[Product]],$R$18:$R$23,$S$18:$S$23))*Tabla22[[#This Row],[Req.]],0)</f>
        <v>10515</v>
      </c>
      <c r="N80" s="3">
        <f>IF(Tabla22[[#This Row],[Req.2]]&gt;0,(Tabla22[[#This Row],[Base price2]]-LOOKUP(Tabla22[[#This Row],[Product2]],$R$18:$R$23,$S$18:$S$23))*Tabla22[[#This Row],[Req.2]],0)</f>
        <v>7919</v>
      </c>
      <c r="O80" s="2">
        <f>SUM(Tabla22[[#This Row],[Bonus1]:[p2]])</f>
        <v>39761.894</v>
      </c>
      <c r="P80" s="75">
        <f>IF(Tabla22[[#This Row],[QualityBonus]]&gt;0,Tabla22[[#This Row],[P_T]]-$C$4,"")</f>
        <v>-3238.1059999999998</v>
      </c>
    </row>
    <row r="81" spans="1:16" x14ac:dyDescent="0.25">
      <c r="A81" s="13">
        <v>65</v>
      </c>
      <c r="B81" s="13" t="s">
        <v>13</v>
      </c>
      <c r="C81" s="74">
        <v>1.9699999999999999E-2</v>
      </c>
      <c r="D81" s="2" t="s">
        <v>54</v>
      </c>
      <c r="E81" s="75">
        <v>41913</v>
      </c>
      <c r="F81" s="5">
        <v>2</v>
      </c>
      <c r="G81" s="2" t="s">
        <v>55</v>
      </c>
      <c r="H81" s="75">
        <v>59770</v>
      </c>
      <c r="I81" s="5">
        <v>1</v>
      </c>
      <c r="J81" s="2">
        <f>Tabla22[[#This Row],[Base price1]]*Tabla22[[#This Row],[Req.]]+Tabla22[[#This Row],[Base price2]]*Tabla22[[#This Row],[Req.2]]</f>
        <v>143596</v>
      </c>
      <c r="K81" s="3">
        <f>IFERROR(LOOKUP(Tabla22[[#This Row],[Product]],$R$18:$R$23,$T$18:$T$23)*Tabla22[[#This Row],[QualityBonus]]*Tabla22[[#This Row],[Base price1]]*Tabla22[[#This Row],[Req.]],0)</f>
        <v>9908.2332000000006</v>
      </c>
      <c r="L81" s="3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2">
        <f>IFERROR((Tabla22[[#This Row],[Base price1]]-LOOKUP(Tabla22[[#This Row],[Product]],$R$18:$R$23,$S$18:$S$23))*Tabla22[[#This Row],[Req.]],0)</f>
        <v>9626</v>
      </c>
      <c r="N81" s="3">
        <f>IF(Tabla22[[#This Row],[Req.2]]&gt;0,(Tabla22[[#This Row],[Base price2]]-LOOKUP(Tabla22[[#This Row],[Product2]],$R$18:$R$23,$S$18:$S$23))*Tabla22[[#This Row],[Req.2]],0)</f>
        <v>4770</v>
      </c>
      <c r="O81" s="2">
        <f>SUM(Tabla22[[#This Row],[Bonus1]:[p2]])</f>
        <v>30191.5782</v>
      </c>
      <c r="P81" s="75">
        <f>IF(Tabla22[[#This Row],[QualityBonus]]&gt;0,Tabla22[[#This Row],[P_T]]-$C$4,"")</f>
        <v>-12808.4218</v>
      </c>
    </row>
    <row r="82" spans="1:16" x14ac:dyDescent="0.25">
      <c r="A82" s="13">
        <v>66</v>
      </c>
      <c r="B82" s="13" t="s">
        <v>13</v>
      </c>
      <c r="C82" s="74">
        <v>2.5700000000000001E-2</v>
      </c>
      <c r="D82" s="2" t="s">
        <v>55</v>
      </c>
      <c r="E82" s="75">
        <v>59654</v>
      </c>
      <c r="F82" s="5">
        <v>4</v>
      </c>
      <c r="G82" s="2" t="s">
        <v>54</v>
      </c>
      <c r="H82" s="75">
        <v>42145</v>
      </c>
      <c r="I82" s="5">
        <v>3</v>
      </c>
      <c r="J82" s="2">
        <f>Tabla22[[#This Row],[Base price1]]*Tabla22[[#This Row],[Req.]]+Tabla22[[#This Row],[Base price2]]*Tabla22[[#This Row],[Req.2]]</f>
        <v>365051</v>
      </c>
      <c r="K82" s="75">
        <f>IFERROR(LOOKUP(Tabla22[[#This Row],[Product]],$R$18:$R$23,$T$18:$T$23)*Tabla22[[#This Row],[QualityBonus]]*Tabla22[[#This Row],[Base price1]]*Tabla22[[#This Row],[Req.]],0)</f>
        <v>30662.155999999999</v>
      </c>
      <c r="L82" s="3">
        <f>IF(Tabla22[[#This Row],[Req.2]]&gt;0,LOOKUP(Tabla22[[#This Row],[Product2]],$R$18:$R$23,$T$18:$T$23)*Tabla22[[#This Row],[Base price2]]*Tabla22[[#This Row],[Req.2]]*Tabla22[[#This Row],[QualityBonus]],0)</f>
        <v>19496.277000000002</v>
      </c>
      <c r="M82" s="2">
        <f>IFERROR((Tabla22[[#This Row],[Base price1]]-LOOKUP(Tabla22[[#This Row],[Product]],$R$18:$R$23,$S$18:$S$23))*Tabla22[[#This Row],[Req.]],0)</f>
        <v>18616</v>
      </c>
      <c r="N82" s="3">
        <f>IF(Tabla22[[#This Row],[Req.2]]&gt;0,(Tabla22[[#This Row],[Base price2]]-LOOKUP(Tabla22[[#This Row],[Product2]],$R$18:$R$23,$S$18:$S$23))*Tabla22[[#This Row],[Req.2]],0)</f>
        <v>15135</v>
      </c>
      <c r="O82" s="2">
        <f>SUM(Tabla22[[#This Row],[Bonus1]:[p2]])</f>
        <v>83909.433000000005</v>
      </c>
      <c r="P82" s="75">
        <f>IF(Tabla22[[#This Row],[QualityBonus]]&gt;0,Tabla22[[#This Row],[P_T]]-$C$4,"")</f>
        <v>40909.433000000005</v>
      </c>
    </row>
    <row r="83" spans="1:16" x14ac:dyDescent="0.25">
      <c r="A83" s="13">
        <v>67</v>
      </c>
      <c r="B83" s="13" t="s">
        <v>13</v>
      </c>
      <c r="C83" s="74">
        <v>2.3199999999999998E-2</v>
      </c>
      <c r="D83" s="2" t="s">
        <v>54</v>
      </c>
      <c r="E83" s="75">
        <v>42232</v>
      </c>
      <c r="F83" s="5">
        <v>3</v>
      </c>
      <c r="G83" s="2" t="s">
        <v>55</v>
      </c>
      <c r="H83" s="75">
        <v>61628</v>
      </c>
      <c r="I83" s="5">
        <v>4</v>
      </c>
      <c r="J83" s="2">
        <f>Tabla22[[#This Row],[Base price1]]*Tabla22[[#This Row],[Req.]]+Tabla22[[#This Row],[Base price2]]*Tabla22[[#This Row],[Req.2]]</f>
        <v>373208</v>
      </c>
      <c r="K83" s="75">
        <f>IFERROR(LOOKUP(Tabla22[[#This Row],[Product]],$R$18:$R$23,$T$18:$T$23)*Tabla22[[#This Row],[QualityBonus]]*Tabla22[[#This Row],[Base price1]]*Tabla22[[#This Row],[Req.]],0)</f>
        <v>17636.083199999997</v>
      </c>
      <c r="L83" s="3">
        <f>IF(Tabla22[[#This Row],[Req.2]]&gt;0,LOOKUP(Tabla22[[#This Row],[Product2]],$R$18:$R$23,$T$18:$T$23)*Tabla22[[#This Row],[Base price2]]*Tabla22[[#This Row],[Req.2]]*Tabla22[[#This Row],[QualityBonus]],0)</f>
        <v>28595.392</v>
      </c>
      <c r="M83" s="2">
        <f>IFERROR((Tabla22[[#This Row],[Base price1]]-LOOKUP(Tabla22[[#This Row],[Product]],$R$18:$R$23,$S$18:$S$23))*Tabla22[[#This Row],[Req.]],0)</f>
        <v>15396</v>
      </c>
      <c r="N83" s="3">
        <f>IF(Tabla22[[#This Row],[Req.2]]&gt;0,(Tabla22[[#This Row],[Base price2]]-LOOKUP(Tabla22[[#This Row],[Product2]],$R$18:$R$23,$S$18:$S$23))*Tabla22[[#This Row],[Req.2]],0)</f>
        <v>26512</v>
      </c>
      <c r="O83" s="2">
        <f>SUM(Tabla22[[#This Row],[Bonus1]:[p2]])</f>
        <v>88139.475200000001</v>
      </c>
      <c r="P83" s="75">
        <f>IF(Tabla22[[#This Row],[QualityBonus]]&gt;0,Tabla22[[#This Row],[P_T]]-$C$4,"")</f>
        <v>45139.475200000001</v>
      </c>
    </row>
    <row r="84" spans="1:16" x14ac:dyDescent="0.25">
      <c r="A84" s="13">
        <v>68</v>
      </c>
      <c r="B84" s="13" t="s">
        <v>13</v>
      </c>
      <c r="C84" s="74">
        <v>2.8000000000000001E-2</v>
      </c>
      <c r="D84" s="2" t="s">
        <v>55</v>
      </c>
      <c r="E84" s="75">
        <v>61156</v>
      </c>
      <c r="F84" s="5">
        <v>2</v>
      </c>
      <c r="G84" s="2"/>
      <c r="H84" s="75"/>
      <c r="I84" s="5"/>
      <c r="J84" s="2">
        <f>Tabla22[[#This Row],[Base price1]]*Tabla22[[#This Row],[Req.]]+Tabla22[[#This Row],[Base price2]]*Tabla22[[#This Row],[Req.2]]</f>
        <v>122312</v>
      </c>
      <c r="K84" s="75">
        <f>IFERROR(LOOKUP(Tabla22[[#This Row],[Product]],$R$18:$R$23,$T$18:$T$23)*Tabla22[[#This Row],[QualityBonus]]*Tabla22[[#This Row],[Base price1]]*Tabla22[[#This Row],[Req.]],0)</f>
        <v>17123.68</v>
      </c>
      <c r="L84" s="3">
        <f>IF(Tabla22[[#This Row],[Req.2]]&gt;0,LOOKUP(Tabla22[[#This Row],[Product2]],$R$18:$R$23,$T$18:$T$23)*Tabla22[[#This Row],[Base price2]]*Tabla22[[#This Row],[Req.2]]*Tabla22[[#This Row],[QualityBonus]],0)</f>
        <v>0</v>
      </c>
      <c r="M84" s="2">
        <f>IFERROR((Tabla22[[#This Row],[Base price1]]-LOOKUP(Tabla22[[#This Row],[Product]],$R$18:$R$23,$S$18:$S$23))*Tabla22[[#This Row],[Req.]],0)</f>
        <v>12312</v>
      </c>
      <c r="N84" s="3">
        <f>IF(Tabla22[[#This Row],[Req.2]]&gt;0,(Tabla22[[#This Row],[Base price2]]-LOOKUP(Tabla22[[#This Row],[Product2]],$R$18:$R$23,$S$18:$S$23))*Tabla22[[#This Row],[Req.2]],0)</f>
        <v>0</v>
      </c>
      <c r="O84" s="2">
        <f>SUM(Tabla22[[#This Row],[Bonus1]:[p2]])</f>
        <v>29435.68</v>
      </c>
      <c r="P84" s="75">
        <f>IF(Tabla22[[#This Row],[QualityBonus]]&gt;0,Tabla22[[#This Row],[P_T]]-$C$4,"")</f>
        <v>-13564.32</v>
      </c>
    </row>
    <row r="85" spans="1:16" x14ac:dyDescent="0.25">
      <c r="A85" s="13">
        <v>69</v>
      </c>
      <c r="B85" s="13" t="s">
        <v>13</v>
      </c>
      <c r="C85" s="74">
        <v>2.7799999999999998E-2</v>
      </c>
      <c r="D85" s="2" t="s">
        <v>56</v>
      </c>
      <c r="E85" s="75">
        <v>85384</v>
      </c>
      <c r="F85" s="5">
        <v>3</v>
      </c>
      <c r="G85" s="2" t="s">
        <v>55</v>
      </c>
      <c r="H85" s="75">
        <v>61275</v>
      </c>
      <c r="I85" s="5">
        <v>2</v>
      </c>
      <c r="J85" s="2">
        <f>Tabla22[[#This Row],[Base price1]]*Tabla22[[#This Row],[Req.]]+Tabla22[[#This Row],[Base price2]]*Tabla22[[#This Row],[Req.2]]</f>
        <v>378702</v>
      </c>
      <c r="K85" s="75">
        <f>IFERROR(LOOKUP(Tabla22[[#This Row],[Product]],$R$18:$R$23,$T$18:$T$23)*Tabla22[[#This Row],[QualityBonus]]*Tabla22[[#This Row],[Base price1]]*Tabla22[[#This Row],[Req.]],0)</f>
        <v>28484.102399999996</v>
      </c>
      <c r="L85" s="3">
        <f>IF(Tabla22[[#This Row],[Req.2]]&gt;0,LOOKUP(Tabla22[[#This Row],[Product2]],$R$18:$R$23,$T$18:$T$23)*Tabla22[[#This Row],[Base price2]]*Tabla22[[#This Row],[Req.2]]*Tabla22[[#This Row],[QualityBonus]],0)</f>
        <v>17034.45</v>
      </c>
      <c r="M85" s="2">
        <f>IFERROR((Tabla22[[#This Row],[Base price1]]-LOOKUP(Tabla22[[#This Row],[Product]],$R$18:$R$23,$S$18:$S$23))*Tabla22[[#This Row],[Req.]],0)</f>
        <v>10152</v>
      </c>
      <c r="N85" s="3">
        <f>IF(Tabla22[[#This Row],[Req.2]]&gt;0,(Tabla22[[#This Row],[Base price2]]-LOOKUP(Tabla22[[#This Row],[Product2]],$R$18:$R$23,$S$18:$S$23))*Tabla22[[#This Row],[Req.2]],0)</f>
        <v>12550</v>
      </c>
      <c r="O85" s="2">
        <f>SUM(Tabla22[[#This Row],[Bonus1]:[p2]])</f>
        <v>68220.5524</v>
      </c>
      <c r="P85" s="75">
        <f>IF(Tabla22[[#This Row],[QualityBonus]]&gt;0,Tabla22[[#This Row],[P_T]]-$C$4,"")</f>
        <v>25220.5524</v>
      </c>
    </row>
    <row r="86" spans="1:16" x14ac:dyDescent="0.25">
      <c r="A86" s="13">
        <v>70</v>
      </c>
      <c r="B86" s="13" t="s">
        <v>13</v>
      </c>
      <c r="C86" s="74">
        <v>2.98E-2</v>
      </c>
      <c r="D86" s="2" t="s">
        <v>54</v>
      </c>
      <c r="E86" s="75">
        <v>42066</v>
      </c>
      <c r="F86" s="5">
        <v>5</v>
      </c>
      <c r="G86" s="2"/>
      <c r="H86" s="75"/>
      <c r="I86" s="5"/>
      <c r="J86" s="2">
        <f>Tabla22[[#This Row],[Base price1]]*Tabla22[[#This Row],[Req.]]+Tabla22[[#This Row],[Base price2]]*Tabla22[[#This Row],[Req.2]]</f>
        <v>210330</v>
      </c>
      <c r="K86" s="75">
        <f>IFERROR(LOOKUP(Tabla22[[#This Row],[Product]],$R$18:$R$23,$T$18:$T$23)*Tabla22[[#This Row],[QualityBonus]]*Tabla22[[#This Row],[Base price1]]*Tabla22[[#This Row],[Req.]],0)</f>
        <v>37607.004000000001</v>
      </c>
      <c r="L86" s="3">
        <f>IF(Tabla22[[#This Row],[Req.2]]&gt;0,LOOKUP(Tabla22[[#This Row],[Product2]],$R$18:$R$23,$T$18:$T$23)*Tabla22[[#This Row],[Base price2]]*Tabla22[[#This Row],[Req.2]]*Tabla22[[#This Row],[QualityBonus]],0)</f>
        <v>0</v>
      </c>
      <c r="M86" s="2">
        <f>IFERROR((Tabla22[[#This Row],[Base price1]]-LOOKUP(Tabla22[[#This Row],[Product]],$R$18:$R$23,$S$18:$S$23))*Tabla22[[#This Row],[Req.]],0)</f>
        <v>24830</v>
      </c>
      <c r="N86" s="3">
        <f>IF(Tabla22[[#This Row],[Req.2]]&gt;0,(Tabla22[[#This Row],[Base price2]]-LOOKUP(Tabla22[[#This Row],[Product2]],$R$18:$R$23,$S$18:$S$23))*Tabla22[[#This Row],[Req.2]],0)</f>
        <v>0</v>
      </c>
      <c r="O86" s="2">
        <f>SUM(Tabla22[[#This Row],[Bonus1]:[p2]])</f>
        <v>62437.004000000001</v>
      </c>
      <c r="P86" s="75">
        <f>IF(Tabla22[[#This Row],[QualityBonus]]&gt;0,Tabla22[[#This Row],[P_T]]-$C$4,"")</f>
        <v>19437.004000000001</v>
      </c>
    </row>
    <row r="87" spans="1:16" x14ac:dyDescent="0.25">
      <c r="A87" s="13">
        <v>71</v>
      </c>
      <c r="B87" s="13" t="s">
        <v>13</v>
      </c>
      <c r="C87" s="74">
        <v>2.3400000000000001E-2</v>
      </c>
      <c r="D87" s="2" t="s">
        <v>54</v>
      </c>
      <c r="E87" s="75">
        <v>42607</v>
      </c>
      <c r="F87" s="5">
        <v>5</v>
      </c>
      <c r="G87" s="2" t="s">
        <v>55</v>
      </c>
      <c r="H87" s="75">
        <v>59386</v>
      </c>
      <c r="I87" s="5">
        <v>3</v>
      </c>
      <c r="J87" s="2">
        <f>Tabla22[[#This Row],[Base price1]]*Tabla22[[#This Row],[Req.]]+Tabla22[[#This Row],[Base price2]]*Tabla22[[#This Row],[Req.2]]</f>
        <v>391193</v>
      </c>
      <c r="K87" s="75">
        <f>IFERROR(LOOKUP(Tabla22[[#This Row],[Product]],$R$18:$R$23,$T$18:$T$23)*Tabla22[[#This Row],[QualityBonus]]*Tabla22[[#This Row],[Base price1]]*Tabla22[[#This Row],[Req.]],0)</f>
        <v>29910.113999999998</v>
      </c>
      <c r="L87" s="3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2">
        <f>IFERROR((Tabla22[[#This Row],[Base price1]]-LOOKUP(Tabla22[[#This Row],[Product]],$R$18:$R$23,$S$18:$S$23))*Tabla22[[#This Row],[Req.]],0)</f>
        <v>27535</v>
      </c>
      <c r="N87" s="3">
        <f>IF(Tabla22[[#This Row],[Req.2]]&gt;0,(Tabla22[[#This Row],[Base price2]]-LOOKUP(Tabla22[[#This Row],[Product2]],$R$18:$R$23,$S$18:$S$23))*Tabla22[[#This Row],[Req.2]],0)</f>
        <v>13158</v>
      </c>
      <c r="O87" s="2">
        <f>SUM(Tabla22[[#This Row],[Bonus1]:[p2]])</f>
        <v>91447.6</v>
      </c>
      <c r="P87" s="75">
        <f>IF(Tabla22[[#This Row],[QualityBonus]]&gt;0,Tabla22[[#This Row],[P_T]]-$C$4,"")</f>
        <v>48447.600000000006</v>
      </c>
    </row>
    <row r="88" spans="1:16" x14ac:dyDescent="0.25">
      <c r="A88" s="13">
        <v>72</v>
      </c>
      <c r="B88" s="13" t="s">
        <v>13</v>
      </c>
      <c r="C88" s="74">
        <v>1.7100000000000001E-2</v>
      </c>
      <c r="D88" s="2" t="s">
        <v>53</v>
      </c>
      <c r="E88" s="75">
        <v>121779</v>
      </c>
      <c r="F88" s="5">
        <v>2</v>
      </c>
      <c r="G88" s="2"/>
      <c r="H88" s="75"/>
      <c r="I88" s="5"/>
      <c r="J88" s="2">
        <f>Tabla22[[#This Row],[Base price1]]*Tabla22[[#This Row],[Req.]]+Tabla22[[#This Row],[Base price2]]*Tabla22[[#This Row],[Req.2]]</f>
        <v>243558</v>
      </c>
      <c r="K88" s="75">
        <f>IFERROR(LOOKUP(Tabla22[[#This Row],[Product]],$R$18:$R$23,$T$18:$T$23)*Tabla22[[#This Row],[QualityBonus]]*Tabla22[[#This Row],[Base price1]]*Tabla22[[#This Row],[Req.]],0)</f>
        <v>24989.050800000001</v>
      </c>
      <c r="L88" s="3">
        <f>IF(Tabla22[[#This Row],[Req.2]]&gt;0,LOOKUP(Tabla22[[#This Row],[Product2]],$R$18:$R$23,$T$18:$T$23)*Tabla22[[#This Row],[Base price2]]*Tabla22[[#This Row],[Req.2]]*Tabla22[[#This Row],[QualityBonus]],0)</f>
        <v>0</v>
      </c>
      <c r="M88" s="2">
        <f>IFERROR((Tabla22[[#This Row],[Base price1]]-LOOKUP(Tabla22[[#This Row],[Product]],$R$18:$R$23,$S$18:$S$23))*Tabla22[[#This Row],[Req.]],0)</f>
        <v>5558</v>
      </c>
      <c r="N88" s="3">
        <f>IF(Tabla22[[#This Row],[Req.2]]&gt;0,(Tabla22[[#This Row],[Base price2]]-LOOKUP(Tabla22[[#This Row],[Product2]],$R$18:$R$23,$S$18:$S$23))*Tabla22[[#This Row],[Req.2]],0)</f>
        <v>0</v>
      </c>
      <c r="O88" s="2">
        <f>SUM(Tabla22[[#This Row],[Bonus1]:[p2]])</f>
        <v>30547.050800000001</v>
      </c>
      <c r="P88" s="75">
        <f>IF(Tabla22[[#This Row],[QualityBonus]]&gt;0,Tabla22[[#This Row],[P_T]]-$C$4,"")</f>
        <v>-12452.949199999999</v>
      </c>
    </row>
    <row r="89" spans="1:16" x14ac:dyDescent="0.25">
      <c r="A89" s="13">
        <v>73</v>
      </c>
      <c r="B89" s="13" t="s">
        <v>13</v>
      </c>
      <c r="C89" s="74">
        <v>1.7899999999999999E-2</v>
      </c>
      <c r="D89" s="2" t="s">
        <v>57</v>
      </c>
      <c r="E89" s="75">
        <v>228495</v>
      </c>
      <c r="F89" s="5">
        <v>3</v>
      </c>
      <c r="G89" s="2" t="s">
        <v>55</v>
      </c>
      <c r="H89" s="75">
        <v>62131</v>
      </c>
      <c r="I89" s="5">
        <v>3</v>
      </c>
      <c r="J89" s="2">
        <f>Tabla22[[#This Row],[Base price1]]*Tabla22[[#This Row],[Req.]]+Tabla22[[#This Row],[Base price2]]*Tabla22[[#This Row],[Req.2]]</f>
        <v>871878</v>
      </c>
      <c r="K89" s="75">
        <f>IFERROR(LOOKUP(Tabla22[[#This Row],[Product]],$R$18:$R$23,$T$18:$T$23)*Tabla22[[#This Row],[QualityBonus]]*Tabla22[[#This Row],[Base price1]]*Tabla22[[#This Row],[Req.]],0)</f>
        <v>49080.726000000002</v>
      </c>
      <c r="L89" s="3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2">
        <f>IFERROR((Tabla22[[#This Row],[Base price1]]-LOOKUP(Tabla22[[#This Row],[Product]],$R$18:$R$23,$S$18:$S$23))*Tabla22[[#This Row],[Req.]],0)</f>
        <v>-28515</v>
      </c>
      <c r="N89" s="3">
        <f>IF(Tabla22[[#This Row],[Req.2]]&gt;0,(Tabla22[[#This Row],[Base price2]]-LOOKUP(Tabla22[[#This Row],[Product2]],$R$18:$R$23,$S$18:$S$23))*Tabla22[[#This Row],[Req.2]],0)</f>
        <v>21393</v>
      </c>
      <c r="O89" s="2">
        <f>SUM(Tabla22[[#This Row],[Bonus1]:[p2]])</f>
        <v>58640.8995</v>
      </c>
      <c r="P89" s="75">
        <f>IF(Tabla22[[#This Row],[QualityBonus]]&gt;0,Tabla22[[#This Row],[P_T]]-$C$4,"")</f>
        <v>15640.8995</v>
      </c>
    </row>
    <row r="90" spans="1:16" x14ac:dyDescent="0.25">
      <c r="A90" s="13">
        <v>74</v>
      </c>
      <c r="B90" s="13" t="s">
        <v>13</v>
      </c>
      <c r="C90" s="74">
        <v>1.7999999999999999E-2</v>
      </c>
      <c r="D90" s="2" t="s">
        <v>54</v>
      </c>
      <c r="E90" s="75">
        <v>40769</v>
      </c>
      <c r="F90" s="5">
        <v>4</v>
      </c>
      <c r="G90" s="2" t="s">
        <v>27</v>
      </c>
      <c r="H90" s="75">
        <v>844341</v>
      </c>
      <c r="I90" s="5">
        <v>1</v>
      </c>
      <c r="J90" s="2">
        <f>Tabla22[[#This Row],[Base price1]]*Tabla22[[#This Row],[Req.]]+Tabla22[[#This Row],[Base price2]]*Tabla22[[#This Row],[Req.2]]</f>
        <v>1007417</v>
      </c>
      <c r="K90" s="75">
        <f>IFERROR(LOOKUP(Tabla22[[#This Row],[Product]],$R$18:$R$23,$T$18:$T$23)*Tabla22[[#This Row],[QualityBonus]]*Tabla22[[#This Row],[Base price1]]*Tabla22[[#This Row],[Req.]],0)</f>
        <v>17612.207999999999</v>
      </c>
      <c r="L90" s="3">
        <f>IF(Tabla22[[#This Row],[Req.2]]&gt;0,LOOKUP(Tabla22[[#This Row],[Product2]],$R$18:$R$23,$T$18:$T$23)*Tabla22[[#This Row],[Base price2]]*Tabla22[[#This Row],[Req.2]]*Tabla22[[#This Row],[QualityBonus]],0)</f>
        <v>91188.827999999994</v>
      </c>
      <c r="M90" s="2">
        <f>IFERROR((Tabla22[[#This Row],[Base price1]]-LOOKUP(Tabla22[[#This Row],[Product]],$R$18:$R$23,$S$18:$S$23))*Tabla22[[#This Row],[Req.]],0)</f>
        <v>14676</v>
      </c>
      <c r="N90" s="3">
        <f>IF(Tabla22[[#This Row],[Req.2]]&gt;0,(Tabla22[[#This Row],[Base price2]]-LOOKUP(Tabla22[[#This Row],[Product2]],$R$18:$R$23,$S$18:$S$23))*Tabla22[[#This Row],[Req.2]],0)</f>
        <v>-13659</v>
      </c>
      <c r="O90" s="2">
        <f>SUM(Tabla22[[#This Row],[Bonus1]:[p2]])</f>
        <v>109818.03599999999</v>
      </c>
      <c r="P90" s="75">
        <f>IF(Tabla22[[#This Row],[QualityBonus]]&gt;0,Tabla22[[#This Row],[P_T]]-$C$4,"")</f>
        <v>66818.035999999993</v>
      </c>
    </row>
    <row r="91" spans="1:16" x14ac:dyDescent="0.25">
      <c r="A91" s="13">
        <v>75</v>
      </c>
      <c r="B91" s="13" t="s">
        <v>13</v>
      </c>
      <c r="C91" s="37">
        <v>1.6400000000000001E-2</v>
      </c>
      <c r="D91" s="2" t="s">
        <v>55</v>
      </c>
      <c r="E91" s="3">
        <v>62189</v>
      </c>
      <c r="F91" s="4">
        <v>3</v>
      </c>
      <c r="G91" s="2" t="s">
        <v>57</v>
      </c>
      <c r="H91" s="3">
        <v>227496</v>
      </c>
      <c r="I91" s="4">
        <v>3</v>
      </c>
      <c r="J91" s="2">
        <f>Tabla22[[#This Row],[Base price1]]*Tabla22[[#This Row],[Req.]]+Tabla22[[#This Row],[Base price2]]*Tabla22[[#This Row],[Req.2]]</f>
        <v>869055</v>
      </c>
      <c r="K91" s="3">
        <f>IFERROR(LOOKUP(Tabla22[[#This Row],[Product]],$R$18:$R$23,$T$18:$T$23)*Tabla22[[#This Row],[QualityBonus]]*Tabla22[[#This Row],[Base price1]]*Tabla22[[#This Row],[Req.]],0)</f>
        <v>15298.494000000002</v>
      </c>
      <c r="L91" s="3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2">
        <f>IFERROR((Tabla22[[#This Row],[Base price1]]-LOOKUP(Tabla22[[#This Row],[Product]],$R$18:$R$23,$S$18:$S$23))*Tabla22[[#This Row],[Req.]],0)</f>
        <v>21567</v>
      </c>
      <c r="N91" s="3">
        <f>IF(Tabla22[[#This Row],[Req.2]]&gt;0,(Tabla22[[#This Row],[Base price2]]-LOOKUP(Tabla22[[#This Row],[Product2]],$R$18:$R$23,$S$18:$S$23))*Tabla22[[#This Row],[Req.2]],0)</f>
        <v>-31512</v>
      </c>
      <c r="O91" s="2">
        <f>SUM(Tabla22[[#This Row],[Bonus1]:[p2]])</f>
        <v>50124.7068</v>
      </c>
      <c r="P91" s="3">
        <f>IF(Tabla22[[#This Row],[QualityBonus]]&gt;0,Tabla22[[#This Row],[P_T]]-$C$4,"")</f>
        <v>7124.7067999999999</v>
      </c>
    </row>
    <row r="92" spans="1:16" x14ac:dyDescent="0.25">
      <c r="A92" s="24">
        <v>76</v>
      </c>
      <c r="B92" s="24" t="s">
        <v>13</v>
      </c>
      <c r="C92" s="45">
        <v>1.52E-2</v>
      </c>
      <c r="D92" s="38" t="s">
        <v>55</v>
      </c>
      <c r="E92" s="39">
        <v>62398</v>
      </c>
      <c r="F92" s="40">
        <v>1</v>
      </c>
      <c r="G92" s="38" t="s">
        <v>58</v>
      </c>
      <c r="H92" s="39">
        <v>83725</v>
      </c>
      <c r="I92" s="40">
        <v>3</v>
      </c>
      <c r="J92" s="38">
        <f>Tabla22[[#This Row],[Base price1]]*Tabla22[[#This Row],[Req.]]+Tabla22[[#This Row],[Base price2]]*Tabla22[[#This Row],[Req.2]]</f>
        <v>313573</v>
      </c>
      <c r="K92" s="39">
        <f>IFERROR(LOOKUP(Tabla22[[#This Row],[Product]],$R$18:$R$23,$T$18:$T$23)*Tabla22[[#This Row],[QualityBonus]]*Tabla22[[#This Row],[Base price1]]*Tabla22[[#This Row],[Req.]],0)</f>
        <v>4742.2479999999996</v>
      </c>
      <c r="L92" s="39">
        <f>IF(Tabla22[[#This Row],[Req.2]]&gt;0,LOOKUP(Tabla22[[#This Row],[Product2]],$R$18:$R$23,$T$18:$T$23)*Tabla22[[#This Row],[Base price2]]*Tabla22[[#This Row],[Req.2]]*Tabla22[[#This Row],[QualityBonus]],0)</f>
        <v>15271.44</v>
      </c>
      <c r="M92" s="38">
        <f>IFERROR((Tabla22[[#This Row],[Base price1]]-LOOKUP(Tabla22[[#This Row],[Product]],$R$18:$R$23,$S$18:$S$23))*Tabla22[[#This Row],[Req.]],0)</f>
        <v>7398</v>
      </c>
      <c r="N92" s="39">
        <f>IF(Tabla22[[#This Row],[Req.2]]&gt;0,(Tabla22[[#This Row],[Base price2]]-LOOKUP(Tabla22[[#This Row],[Product2]],$R$18:$R$23,$S$18:$S$23))*Tabla22[[#This Row],[Req.2]],0)</f>
        <v>5175</v>
      </c>
      <c r="O92" s="38">
        <f>SUM(Tabla22[[#This Row],[Bonus1]:[p2]])</f>
        <v>32586.688000000002</v>
      </c>
      <c r="P92" s="39">
        <f>IF(Tabla22[[#This Row],[QualityBonus]]&gt;0,Tabla22[[#This Row],[P_T]]-$C$4,"")</f>
        <v>-10413.311999999998</v>
      </c>
    </row>
    <row r="93" spans="1:16" x14ac:dyDescent="0.25">
      <c r="A93" s="13">
        <v>77</v>
      </c>
      <c r="B93" s="13" t="s">
        <v>13</v>
      </c>
      <c r="C93" s="74"/>
      <c r="D93" s="2"/>
      <c r="E93" s="75"/>
      <c r="G93" s="2"/>
      <c r="H93" s="75"/>
      <c r="I93" s="5"/>
      <c r="J93" s="2">
        <f>Tabla22[[#This Row],[Base price1]]*Tabla22[[#This Row],[Req.]]+Tabla22[[#This Row],[Base price2]]*Tabla22[[#This Row],[Req.2]]</f>
        <v>0</v>
      </c>
      <c r="K93" s="3">
        <f>IFERROR(LOOKUP(Tabla22[[#This Row],[Product]],$R$18:$R$23,$T$18:$T$23)*Tabla22[[#This Row],[QualityBonus]]*Tabla22[[#This Row],[Base price1]]*Tabla22[[#This Row],[Req.]],0)</f>
        <v>0</v>
      </c>
      <c r="L93" s="3">
        <f>IF(Tabla22[[#This Row],[Req.2]]&gt;0,LOOKUP(Tabla22[[#This Row],[Product2]],$R$18:$R$23,$T$18:$T$23)*Tabla22[[#This Row],[Base price2]]*Tabla22[[#This Row],[Req.2]]*Tabla22[[#This Row],[QualityBonus]],0)</f>
        <v>0</v>
      </c>
      <c r="M93" s="85">
        <f>IFERROR((Tabla22[[#This Row],[Base price1]]-LOOKUP(Tabla22[[#This Row],[Product]],$R$18:$R$23,$S$18:$S$23))*Tabla22[[#This Row],[Req.]],0)</f>
        <v>0</v>
      </c>
      <c r="N93" s="3">
        <f>IF(Tabla22[[#This Row],[Req.2]]&gt;0,(Tabla22[[#This Row],[Base price2]]-LOOKUP(Tabla22[[#This Row],[Product2]],$R$18:$R$23,$S$18:$S$23))*Tabla22[[#This Row],[Req.2]],0)</f>
        <v>0</v>
      </c>
      <c r="O93" s="2">
        <f>SUM(Tabla22[[#This Row],[Bonus1]:[p2]])</f>
        <v>0</v>
      </c>
      <c r="P93" s="3" t="str">
        <f>IF(Tabla22[[#This Row],[QualityBonus]]&gt;0,Tabla22[[#This Row],[P_T]]-$C$4,"")</f>
        <v/>
      </c>
    </row>
    <row r="94" spans="1:16" x14ac:dyDescent="0.25">
      <c r="A94" s="13">
        <v>78</v>
      </c>
      <c r="B94" s="13" t="s">
        <v>13</v>
      </c>
      <c r="C94" s="74"/>
      <c r="D94" s="2"/>
      <c r="E94" s="75"/>
      <c r="G94" s="2"/>
      <c r="H94" s="75"/>
      <c r="I94" s="5"/>
      <c r="J94" s="2">
        <f>Tabla22[[#This Row],[Base price1]]*Tabla22[[#This Row],[Req.]]+Tabla22[[#This Row],[Base price2]]*Tabla22[[#This Row],[Req.2]]</f>
        <v>0</v>
      </c>
      <c r="K94" s="3">
        <f>IFERROR(LOOKUP(Tabla22[[#This Row],[Product]],$R$18:$R$23,$T$18:$T$23)*Tabla22[[#This Row],[QualityBonus]]*Tabla22[[#This Row],[Base price1]]*Tabla22[[#This Row],[Req.]],0)</f>
        <v>0</v>
      </c>
      <c r="L94" s="3">
        <f>IF(Tabla22[[#This Row],[Req.2]]&gt;0,LOOKUP(Tabla22[[#This Row],[Product2]],$R$18:$R$23,$T$18:$T$23)*Tabla22[[#This Row],[Base price2]]*Tabla22[[#This Row],[Req.2]]*Tabla22[[#This Row],[QualityBonus]],0)</f>
        <v>0</v>
      </c>
      <c r="M94" s="2">
        <f>IFERROR((Tabla22[[#This Row],[Base price1]]-LOOKUP(Tabla22[[#This Row],[Product]],$R$18:$R$23,$S$18:$S$23))*Tabla22[[#This Row],[Req.]],0)</f>
        <v>0</v>
      </c>
      <c r="N94" s="3">
        <f>IF(Tabla22[[#This Row],[Req.2]]&gt;0,(Tabla22[[#This Row],[Base price2]]-LOOKUP(Tabla22[[#This Row],[Product2]],$R$18:$R$23,$S$18:$S$23))*Tabla22[[#This Row],[Req.2]],0)</f>
        <v>0</v>
      </c>
      <c r="O94" s="2">
        <f>SUM(Tabla22[[#This Row],[Bonus1]:[p2]])</f>
        <v>0</v>
      </c>
      <c r="P94" s="3" t="str">
        <f>IF(Tabla22[[#This Row],[QualityBonus]]&gt;0,Tabla22[[#This Row],[P_T]]-$C$4,"")</f>
        <v/>
      </c>
    </row>
    <row r="95" spans="1:16" x14ac:dyDescent="0.25">
      <c r="A95" s="13">
        <v>79</v>
      </c>
      <c r="B95" s="13" t="s">
        <v>13</v>
      </c>
      <c r="C95" s="74"/>
      <c r="D95" s="2"/>
      <c r="E95" s="75"/>
      <c r="G95" s="2"/>
      <c r="H95" s="75"/>
      <c r="I95" s="5"/>
      <c r="J95" s="2">
        <f>Tabla22[[#This Row],[Base price1]]*Tabla22[[#This Row],[Req.]]+Tabla22[[#This Row],[Base price2]]*Tabla22[[#This Row],[Req.2]]</f>
        <v>0</v>
      </c>
      <c r="K95" s="3">
        <f>IFERROR(LOOKUP(Tabla22[[#This Row],[Product]],$R$18:$R$23,$T$18:$T$23)*Tabla22[[#This Row],[QualityBonus]]*Tabla22[[#This Row],[Base price1]]*Tabla22[[#This Row],[Req.]],0)</f>
        <v>0</v>
      </c>
      <c r="L95" s="3">
        <f>IF(Tabla22[[#This Row],[Req.2]]&gt;0,LOOKUP(Tabla22[[#This Row],[Product2]],$R$18:$R$23,$T$18:$T$23)*Tabla22[[#This Row],[Base price2]]*Tabla22[[#This Row],[Req.2]]*Tabla22[[#This Row],[QualityBonus]],0)</f>
        <v>0</v>
      </c>
      <c r="M95" s="2">
        <f>IFERROR((Tabla22[[#This Row],[Base price1]]-LOOKUP(Tabla22[[#This Row],[Product]],$R$18:$R$23,$S$18:$S$23))*Tabla22[[#This Row],[Req.]],0)</f>
        <v>0</v>
      </c>
      <c r="N95" s="3">
        <f>IF(Tabla22[[#This Row],[Req.2]]&gt;0,(Tabla22[[#This Row],[Base price2]]-LOOKUP(Tabla22[[#This Row],[Product2]],$R$18:$R$23,$S$18:$S$23))*Tabla22[[#This Row],[Req.2]],0)</f>
        <v>0</v>
      </c>
      <c r="O95" s="2">
        <f>SUM(Tabla22[[#This Row],[Bonus1]:[p2]])</f>
        <v>0</v>
      </c>
      <c r="P95" s="3" t="str">
        <f>IF(Tabla22[[#This Row],[QualityBonus]]&gt;0,Tabla22[[#This Row],[P_T]]-$C$4,"")</f>
        <v/>
      </c>
    </row>
    <row r="96" spans="1:16" x14ac:dyDescent="0.25">
      <c r="A96" s="13">
        <v>80</v>
      </c>
      <c r="B96" s="13" t="s">
        <v>13</v>
      </c>
      <c r="C96" s="74"/>
      <c r="D96" s="2"/>
      <c r="E96" s="75"/>
      <c r="G96" s="2"/>
      <c r="H96" s="75"/>
      <c r="I96" s="5"/>
      <c r="J96" s="2">
        <f>Tabla22[[#This Row],[Base price1]]*Tabla22[[#This Row],[Req.]]+Tabla22[[#This Row],[Base price2]]*Tabla22[[#This Row],[Req.2]]</f>
        <v>0</v>
      </c>
      <c r="K96" s="3">
        <f>IFERROR(LOOKUP(Tabla22[[#This Row],[Product]],$R$18:$R$23,$T$18:$T$23)*Tabla22[[#This Row],[QualityBonus]]*Tabla22[[#This Row],[Base price1]]*Tabla22[[#This Row],[Req.]],0)</f>
        <v>0</v>
      </c>
      <c r="L96" s="3">
        <f>IF(Tabla22[[#This Row],[Req.2]]&gt;0,LOOKUP(Tabla22[[#This Row],[Product2]],$R$18:$R$23,$T$18:$T$23)*Tabla22[[#This Row],[Base price2]]*Tabla22[[#This Row],[Req.2]]*Tabla22[[#This Row],[QualityBonus]],0)</f>
        <v>0</v>
      </c>
      <c r="M96" s="2">
        <f>IFERROR((Tabla22[[#This Row],[Base price1]]-LOOKUP(Tabla22[[#This Row],[Product]],$R$18:$R$23,$S$18:$S$23))*Tabla22[[#This Row],[Req.]],0)</f>
        <v>0</v>
      </c>
      <c r="N96" s="3">
        <f>IF(Tabla22[[#This Row],[Req.2]]&gt;0,(Tabla22[[#This Row],[Base price2]]-LOOKUP(Tabla22[[#This Row],[Product2]],$R$18:$R$23,$S$18:$S$23))*Tabla22[[#This Row],[Req.2]],0)</f>
        <v>0</v>
      </c>
      <c r="O96" s="2">
        <f>SUM(Tabla22[[#This Row],[Bonus1]:[p2]])</f>
        <v>0</v>
      </c>
      <c r="P96" s="3" t="str">
        <f>IF(Tabla22[[#This Row],[QualityBonus]]&gt;0,Tabla22[[#This Row],[P_T]]-$C$4,"")</f>
        <v/>
      </c>
    </row>
    <row r="97" spans="1:16" x14ac:dyDescent="0.25">
      <c r="A97" s="13">
        <v>81</v>
      </c>
      <c r="B97" s="13" t="s">
        <v>13</v>
      </c>
      <c r="C97" s="74"/>
      <c r="D97" s="2"/>
      <c r="E97" s="75"/>
      <c r="G97" s="2"/>
      <c r="H97" s="75"/>
      <c r="I97" s="5"/>
      <c r="J97" s="2">
        <f>Tabla22[[#This Row],[Base price1]]*Tabla22[[#This Row],[Req.]]+Tabla22[[#This Row],[Base price2]]*Tabla22[[#This Row],[Req.2]]</f>
        <v>0</v>
      </c>
      <c r="K97" s="3">
        <f>IFERROR(LOOKUP(Tabla22[[#This Row],[Product]],$R$18:$R$23,$T$18:$T$23)*Tabla22[[#This Row],[QualityBonus]]*Tabla22[[#This Row],[Base price1]]*Tabla22[[#This Row],[Req.]],0)</f>
        <v>0</v>
      </c>
      <c r="L97" s="3">
        <f>IF(Tabla22[[#This Row],[Req.2]]&gt;0,LOOKUP(Tabla22[[#This Row],[Product2]],$R$18:$R$23,$T$18:$T$23)*Tabla22[[#This Row],[Base price2]]*Tabla22[[#This Row],[Req.2]]*Tabla22[[#This Row],[QualityBonus]],0)</f>
        <v>0</v>
      </c>
      <c r="M97" s="2">
        <f>IFERROR((Tabla22[[#This Row],[Base price1]]-LOOKUP(Tabla22[[#This Row],[Product]],$R$18:$R$23,$S$18:$S$23))*Tabla22[[#This Row],[Req.]],0)</f>
        <v>0</v>
      </c>
      <c r="N97" s="3">
        <f>IF(Tabla22[[#This Row],[Req.2]]&gt;0,(Tabla22[[#This Row],[Base price2]]-LOOKUP(Tabla22[[#This Row],[Product2]],$R$18:$R$23,$S$18:$S$23))*Tabla22[[#This Row],[Req.2]],0)</f>
        <v>0</v>
      </c>
      <c r="O97" s="2">
        <f>SUM(Tabla22[[#This Row],[Bonus1]:[p2]])</f>
        <v>0</v>
      </c>
      <c r="P97" s="3" t="str">
        <f>IF(Tabla22[[#This Row],[QualityBonus]]&gt;0,Tabla22[[#This Row],[P_T]]-$C$4,"")</f>
        <v/>
      </c>
    </row>
    <row r="98" spans="1:16" x14ac:dyDescent="0.25">
      <c r="A98" s="13">
        <v>82</v>
      </c>
      <c r="B98" s="13" t="s">
        <v>13</v>
      </c>
      <c r="C98" s="74"/>
      <c r="D98" s="2"/>
      <c r="E98" s="75"/>
      <c r="G98" s="2"/>
      <c r="H98" s="75"/>
      <c r="I98" s="5"/>
      <c r="J98" s="2">
        <f>Tabla22[[#This Row],[Base price1]]*Tabla22[[#This Row],[Req.]]+Tabla22[[#This Row],[Base price2]]*Tabla22[[#This Row],[Req.2]]</f>
        <v>0</v>
      </c>
      <c r="K98" s="3">
        <f>IFERROR(LOOKUP(Tabla22[[#This Row],[Product]],$R$18:$R$23,$T$18:$T$23)*Tabla22[[#This Row],[QualityBonus]]*Tabla22[[#This Row],[Base price1]]*Tabla22[[#This Row],[Req.]],0)</f>
        <v>0</v>
      </c>
      <c r="L98" s="3">
        <f>IF(Tabla22[[#This Row],[Req.2]]&gt;0,LOOKUP(Tabla22[[#This Row],[Product2]],$R$18:$R$23,$T$18:$T$23)*Tabla22[[#This Row],[Base price2]]*Tabla22[[#This Row],[Req.2]]*Tabla22[[#This Row],[QualityBonus]],0)</f>
        <v>0</v>
      </c>
      <c r="M98" s="2">
        <f>IFERROR((Tabla22[[#This Row],[Base price1]]-LOOKUP(Tabla22[[#This Row],[Product]],$R$18:$R$23,$S$18:$S$23))*Tabla22[[#This Row],[Req.]],0)</f>
        <v>0</v>
      </c>
      <c r="N98" s="3">
        <f>IF(Tabla22[[#This Row],[Req.2]]&gt;0,(Tabla22[[#This Row],[Base price2]]-LOOKUP(Tabla22[[#This Row],[Product2]],$R$18:$R$23,$S$18:$S$23))*Tabla22[[#This Row],[Req.2]],0)</f>
        <v>0</v>
      </c>
      <c r="O98" s="2">
        <f>SUM(Tabla22[[#This Row],[Bonus1]:[p2]])</f>
        <v>0</v>
      </c>
      <c r="P98" s="3" t="str">
        <f>IF(Tabla22[[#This Row],[QualityBonus]]&gt;0,Tabla22[[#This Row],[P_T]]-$C$4,"")</f>
        <v/>
      </c>
    </row>
    <row r="99" spans="1:16" x14ac:dyDescent="0.25">
      <c r="A99" s="13">
        <v>83</v>
      </c>
      <c r="B99" s="13" t="s">
        <v>13</v>
      </c>
      <c r="C99" s="74"/>
      <c r="D99" s="2"/>
      <c r="E99" s="75"/>
      <c r="G99" s="2"/>
      <c r="H99" s="75"/>
      <c r="I99" s="5"/>
      <c r="J99" s="2">
        <f>Tabla22[[#This Row],[Base price1]]*Tabla22[[#This Row],[Req.]]+Tabla22[[#This Row],[Base price2]]*Tabla22[[#This Row],[Req.2]]</f>
        <v>0</v>
      </c>
      <c r="K99" s="3">
        <f>IFERROR(LOOKUP(Tabla22[[#This Row],[Product]],$R$18:$R$23,$T$18:$T$23)*Tabla22[[#This Row],[QualityBonus]]*Tabla22[[#This Row],[Base price1]]*Tabla22[[#This Row],[Req.]],0)</f>
        <v>0</v>
      </c>
      <c r="L99" s="3">
        <f>IF(Tabla22[[#This Row],[Req.2]]&gt;0,LOOKUP(Tabla22[[#This Row],[Product2]],$R$18:$R$23,$T$18:$T$23)*Tabla22[[#This Row],[Base price2]]*Tabla22[[#This Row],[Req.2]]*Tabla22[[#This Row],[QualityBonus]],0)</f>
        <v>0</v>
      </c>
      <c r="M99" s="2">
        <f>IFERROR((Tabla22[[#This Row],[Base price1]]-LOOKUP(Tabla22[[#This Row],[Product]],$R$18:$R$23,$S$18:$S$23))*Tabla22[[#This Row],[Req.]],0)</f>
        <v>0</v>
      </c>
      <c r="N99" s="3">
        <f>IF(Tabla22[[#This Row],[Req.2]]&gt;0,(Tabla22[[#This Row],[Base price2]]-LOOKUP(Tabla22[[#This Row],[Product2]],$R$18:$R$23,$S$18:$S$23))*Tabla22[[#This Row],[Req.2]],0)</f>
        <v>0</v>
      </c>
      <c r="O99" s="2">
        <f>SUM(Tabla22[[#This Row],[Bonus1]:[p2]])</f>
        <v>0</v>
      </c>
      <c r="P99" s="3" t="str">
        <f>IF(Tabla22[[#This Row],[QualityBonus]]&gt;0,Tabla22[[#This Row],[P_T]]-$C$4,"")</f>
        <v/>
      </c>
    </row>
    <row r="100" spans="1:16" x14ac:dyDescent="0.25">
      <c r="A100" s="13">
        <v>84</v>
      </c>
      <c r="B100" s="13" t="s">
        <v>13</v>
      </c>
      <c r="C100" s="74"/>
      <c r="D100" s="2"/>
      <c r="E100" s="75"/>
      <c r="G100" s="2"/>
      <c r="H100" s="75"/>
      <c r="I100" s="5"/>
      <c r="J100" s="2">
        <f>Tabla22[[#This Row],[Base price1]]*Tabla22[[#This Row],[Req.]]+Tabla22[[#This Row],[Base price2]]*Tabla22[[#This Row],[Req.2]]</f>
        <v>0</v>
      </c>
      <c r="K100" s="3">
        <f>IFERROR(LOOKUP(Tabla22[[#This Row],[Product]],$R$18:$R$23,$T$18:$T$23)*Tabla22[[#This Row],[QualityBonus]]*Tabla22[[#This Row],[Base price1]]*Tabla22[[#This Row],[Req.]],0)</f>
        <v>0</v>
      </c>
      <c r="L100" s="3">
        <f>IF(Tabla22[[#This Row],[Req.2]]&gt;0,LOOKUP(Tabla22[[#This Row],[Product2]],$R$18:$R$23,$T$18:$T$23)*Tabla22[[#This Row],[Base price2]]*Tabla22[[#This Row],[Req.2]]*Tabla22[[#This Row],[QualityBonus]],0)</f>
        <v>0</v>
      </c>
      <c r="M100" s="2">
        <f>IFERROR((Tabla22[[#This Row],[Base price1]]-LOOKUP(Tabla22[[#This Row],[Product]],$R$18:$R$23,$S$18:$S$23))*Tabla22[[#This Row],[Req.]],0)</f>
        <v>0</v>
      </c>
      <c r="N100" s="3">
        <f>IF(Tabla22[[#This Row],[Req.2]]&gt;0,(Tabla22[[#This Row],[Base price2]]-LOOKUP(Tabla22[[#This Row],[Product2]],$R$18:$R$23,$S$18:$S$23))*Tabla22[[#This Row],[Req.2]],0)</f>
        <v>0</v>
      </c>
      <c r="O100" s="2">
        <f>SUM(Tabla22[[#This Row],[Bonus1]:[p2]])</f>
        <v>0</v>
      </c>
      <c r="P100" s="3" t="str">
        <f>IF(Tabla22[[#This Row],[QualityBonus]]&gt;0,Tabla22[[#This Row],[P_T]]-$C$4,"")</f>
        <v/>
      </c>
    </row>
    <row r="101" spans="1:16" x14ac:dyDescent="0.25">
      <c r="A101" s="13">
        <v>85</v>
      </c>
      <c r="B101" s="13" t="s">
        <v>13</v>
      </c>
      <c r="C101" s="74"/>
      <c r="D101" s="2"/>
      <c r="E101" s="75"/>
      <c r="G101" s="2"/>
      <c r="H101" s="75"/>
      <c r="I101" s="5"/>
      <c r="J101" s="2">
        <f>Tabla22[[#This Row],[Base price1]]*Tabla22[[#This Row],[Req.]]+Tabla22[[#This Row],[Base price2]]*Tabla22[[#This Row],[Req.2]]</f>
        <v>0</v>
      </c>
      <c r="K101" s="3">
        <f>IFERROR(LOOKUP(Tabla22[[#This Row],[Product]],$R$18:$R$23,$T$18:$T$23)*Tabla22[[#This Row],[QualityBonus]]*Tabla22[[#This Row],[Base price1]]*Tabla22[[#This Row],[Req.]],0)</f>
        <v>0</v>
      </c>
      <c r="L101" s="3">
        <f>IF(Tabla22[[#This Row],[Req.2]]&gt;0,LOOKUP(Tabla22[[#This Row],[Product2]],$R$18:$R$23,$T$18:$T$23)*Tabla22[[#This Row],[Base price2]]*Tabla22[[#This Row],[Req.2]]*Tabla22[[#This Row],[QualityBonus]],0)</f>
        <v>0</v>
      </c>
      <c r="M101" s="2">
        <f>IFERROR((Tabla22[[#This Row],[Base price1]]-LOOKUP(Tabla22[[#This Row],[Product]],$R$18:$R$23,$S$18:$S$23))*Tabla22[[#This Row],[Req.]],0)</f>
        <v>0</v>
      </c>
      <c r="N101" s="3">
        <f>IF(Tabla22[[#This Row],[Req.2]]&gt;0,(Tabla22[[#This Row],[Base price2]]-LOOKUP(Tabla22[[#This Row],[Product2]],$R$18:$R$23,$S$18:$S$23))*Tabla22[[#This Row],[Req.2]],0)</f>
        <v>0</v>
      </c>
      <c r="O101" s="2">
        <f>SUM(Tabla22[[#This Row],[Bonus1]:[p2]])</f>
        <v>0</v>
      </c>
      <c r="P101" s="3" t="str">
        <f>IF(Tabla22[[#This Row],[QualityBonus]]&gt;0,Tabla22[[#This Row],[P_T]]-$C$4,"")</f>
        <v/>
      </c>
    </row>
    <row r="102" spans="1:16" x14ac:dyDescent="0.25">
      <c r="A102" s="13">
        <v>86</v>
      </c>
      <c r="B102" s="13" t="s">
        <v>13</v>
      </c>
      <c r="C102" s="74"/>
      <c r="D102" s="2"/>
      <c r="E102" s="75"/>
      <c r="G102" s="2"/>
      <c r="H102" s="75"/>
      <c r="I102" s="5"/>
      <c r="J102" s="2">
        <f>Tabla22[[#This Row],[Base price1]]*Tabla22[[#This Row],[Req.]]+Tabla22[[#This Row],[Base price2]]*Tabla22[[#This Row],[Req.2]]</f>
        <v>0</v>
      </c>
      <c r="K102" s="6">
        <f>IFERROR(LOOKUP(Tabla22[[#This Row],[Product]],$R$18:$R$23,$T$18:$T$23)*Tabla22[[#This Row],[QualityBonus]]*Tabla22[[#This Row],[Base price1]]*Tabla22[[#This Row],[Req.]],0)</f>
        <v>0</v>
      </c>
      <c r="L102" s="75">
        <f>IF(Tabla22[[#This Row],[Req.2]]&gt;0,LOOKUP(Tabla22[[#This Row],[Product2]],$R$18:$R$23,$T$18:$T$23)*Tabla22[[#This Row],[Base price2]]*Tabla22[[#This Row],[Req.2]]*Tabla22[[#This Row],[QualityBonus]],0)</f>
        <v>0</v>
      </c>
      <c r="M102" s="76">
        <f>IFERROR((Tabla22[[#This Row],[Base price1]]-LOOKUP(Tabla22[[#This Row],[Product]],$R$18:$R$23,$S$18:$S$23))*Tabla22[[#This Row],[Req.]],0)</f>
        <v>0</v>
      </c>
      <c r="N102" s="75">
        <f>IF(Tabla22[[#This Row],[Req.2]]&gt;0,(Tabla22[[#This Row],[Base price2]]-LOOKUP(Tabla22[[#This Row],[Product2]],$R$18:$R$23,$S$18:$S$23))*Tabla22[[#This Row],[Req.2]],0)</f>
        <v>0</v>
      </c>
      <c r="O102" s="76">
        <f>SUM(Tabla22[[#This Row],[Bonus1]:[p2]])</f>
        <v>0</v>
      </c>
      <c r="P102" s="75" t="str">
        <f>IF(Tabla22[[#This Row],[QualityBonus]]&gt;0,Tabla22[[#This Row],[P_T]]-$C$4,"")</f>
        <v/>
      </c>
    </row>
    <row r="103" spans="1:16" x14ac:dyDescent="0.25">
      <c r="A103" s="13">
        <v>87</v>
      </c>
      <c r="B103" s="13" t="s">
        <v>13</v>
      </c>
      <c r="C103" s="74"/>
      <c r="D103" s="2"/>
      <c r="E103" s="75"/>
      <c r="G103" s="2"/>
      <c r="H103" s="75"/>
      <c r="I103" s="5"/>
      <c r="J103" s="2">
        <f>Tabla22[[#This Row],[Base price1]]*Tabla22[[#This Row],[Req.]]+Tabla22[[#This Row],[Base price2]]*Tabla22[[#This Row],[Req.2]]</f>
        <v>0</v>
      </c>
      <c r="K103" s="6">
        <f>IFERROR(LOOKUP(Tabla22[[#This Row],[Product]],$R$18:$R$23,$T$18:$T$23)*Tabla22[[#This Row],[QualityBonus]]*Tabla22[[#This Row],[Base price1]]*Tabla22[[#This Row],[Req.]],0)</f>
        <v>0</v>
      </c>
      <c r="L103" s="75">
        <f>IF(Tabla22[[#This Row],[Req.2]]&gt;0,LOOKUP(Tabla22[[#This Row],[Product2]],$R$18:$R$23,$T$18:$T$23)*Tabla22[[#This Row],[Base price2]]*Tabla22[[#This Row],[Req.2]]*Tabla22[[#This Row],[QualityBonus]],0)</f>
        <v>0</v>
      </c>
      <c r="M103" s="76">
        <f>IFERROR((Tabla22[[#This Row],[Base price1]]-LOOKUP(Tabla22[[#This Row],[Product]],$R$18:$R$23,$S$18:$S$23))*Tabla22[[#This Row],[Req.]],0)</f>
        <v>0</v>
      </c>
      <c r="N103" s="75">
        <f>IF(Tabla22[[#This Row],[Req.2]]&gt;0,(Tabla22[[#This Row],[Base price2]]-LOOKUP(Tabla22[[#This Row],[Product2]],$R$18:$R$23,$S$18:$S$23))*Tabla22[[#This Row],[Req.2]],0)</f>
        <v>0</v>
      </c>
      <c r="O103" s="76">
        <f>SUM(Tabla22[[#This Row],[Bonus1]:[p2]])</f>
        <v>0</v>
      </c>
      <c r="P103" s="75" t="str">
        <f>IF(Tabla22[[#This Row],[QualityBonus]]&gt;0,Tabla22[[#This Row],[P_T]]-$C$4,"")</f>
        <v/>
      </c>
    </row>
    <row r="104" spans="1:16" x14ac:dyDescent="0.25">
      <c r="A104" s="13">
        <v>88</v>
      </c>
      <c r="B104" s="13" t="s">
        <v>13</v>
      </c>
      <c r="C104" s="74"/>
      <c r="D104" s="2"/>
      <c r="E104" s="75"/>
      <c r="G104" s="2"/>
      <c r="H104" s="75"/>
      <c r="I104" s="5"/>
      <c r="J104" s="2">
        <f>Tabla22[[#This Row],[Base price1]]*Tabla22[[#This Row],[Req.]]+Tabla22[[#This Row],[Base price2]]*Tabla22[[#This Row],[Req.2]]</f>
        <v>0</v>
      </c>
      <c r="K104" s="6">
        <f>IFERROR(LOOKUP(Tabla22[[#This Row],[Product]],$R$18:$R$23,$T$18:$T$23)*Tabla22[[#This Row],[QualityBonus]]*Tabla22[[#This Row],[Base price1]]*Tabla22[[#This Row],[Req.]],0)</f>
        <v>0</v>
      </c>
      <c r="L104" s="75">
        <f>IF(Tabla22[[#This Row],[Req.2]]&gt;0,LOOKUP(Tabla22[[#This Row],[Product2]],$R$18:$R$23,$T$18:$T$23)*Tabla22[[#This Row],[Base price2]]*Tabla22[[#This Row],[Req.2]]*Tabla22[[#This Row],[QualityBonus]],0)</f>
        <v>0</v>
      </c>
      <c r="M104" s="76">
        <f>IFERROR((Tabla22[[#This Row],[Base price1]]-LOOKUP(Tabla22[[#This Row],[Product]],$R$18:$R$23,$S$18:$S$23))*Tabla22[[#This Row],[Req.]],0)</f>
        <v>0</v>
      </c>
      <c r="N104" s="75">
        <f>IF(Tabla22[[#This Row],[Req.2]]&gt;0,(Tabla22[[#This Row],[Base price2]]-LOOKUP(Tabla22[[#This Row],[Product2]],$R$18:$R$23,$S$18:$S$23))*Tabla22[[#This Row],[Req.2]],0)</f>
        <v>0</v>
      </c>
      <c r="O104" s="76">
        <f>SUM(Tabla22[[#This Row],[Bonus1]:[p2]])</f>
        <v>0</v>
      </c>
      <c r="P104" s="75" t="str">
        <f>IF(Tabla22[[#This Row],[QualityBonus]]&gt;0,Tabla22[[#This Row],[P_T]]-$C$4,"")</f>
        <v/>
      </c>
    </row>
  </sheetData>
  <mergeCells count="5">
    <mergeCell ref="D15:F15"/>
    <mergeCell ref="G15:I15"/>
    <mergeCell ref="F3:L3"/>
    <mergeCell ref="N3:U3"/>
    <mergeCell ref="J15:P15"/>
  </mergeCells>
  <conditionalFormatting sqref="G5:H10">
    <cfRule type="colorScale" priority="35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34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33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32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29">
      <colorScale>
        <cfvo type="min"/>
        <cfvo type="max"/>
        <color rgb="FFFFEF9C"/>
        <color rgb="FF63BE7B"/>
      </colorScale>
    </cfRule>
  </conditionalFormatting>
  <conditionalFormatting sqref="P5:Q10">
    <cfRule type="colorScale" priority="9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8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7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6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5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4">
      <colorScale>
        <cfvo type="min"/>
        <cfvo type="max"/>
        <color rgb="FFFFEF9C"/>
        <color rgb="FF63BE7B"/>
      </colorScale>
    </cfRule>
  </conditionalFormatting>
  <conditionalFormatting sqref="P17:P104">
    <cfRule type="cellIs" dxfId="4" priority="3" operator="lessThan">
      <formula>0</formula>
    </cfRule>
  </conditionalFormatting>
  <conditionalFormatting sqref="H5:H10">
    <cfRule type="colorScale" priority="2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B17:B104">
      <formula1>$B$10:$B$12</formula1>
    </dataValidation>
    <dataValidation type="list" allowBlank="1" showInputMessage="1" showErrorMessage="1" sqref="D17:D104 G17:G104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71" t="s">
        <v>14</v>
      </c>
      <c r="J5" s="71"/>
      <c r="K5" s="71"/>
      <c r="L5" s="71"/>
      <c r="M5" s="71"/>
      <c r="N5" s="71"/>
      <c r="O5" s="71"/>
      <c r="P5" s="71"/>
      <c r="Q5" s="71"/>
      <c r="R5" s="71"/>
      <c r="S5" s="72"/>
      <c r="U5" s="12"/>
      <c r="V5" s="71" t="s">
        <v>16</v>
      </c>
      <c r="W5" s="71"/>
      <c r="X5" s="71"/>
      <c r="Y5" s="71"/>
      <c r="Z5" s="71"/>
      <c r="AA5" s="71"/>
      <c r="AB5" s="71"/>
      <c r="AC5" s="71"/>
      <c r="AD5" s="71"/>
      <c r="AE5" s="71"/>
      <c r="AF5" s="72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35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39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40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36</v>
      </c>
      <c r="D27" s="21" t="s">
        <v>37</v>
      </c>
      <c r="E27" s="31" t="s">
        <v>38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41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42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43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71" t="s">
        <v>17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U30" s="12"/>
      <c r="V30" s="71" t="s">
        <v>15</v>
      </c>
      <c r="W30" s="71"/>
      <c r="X30" s="71"/>
      <c r="Y30" s="71"/>
      <c r="Z30" s="71"/>
      <c r="AA30" s="71"/>
      <c r="AB30" s="71"/>
      <c r="AC30" s="71"/>
      <c r="AD30" s="71"/>
      <c r="AE30" s="71"/>
      <c r="AF30" s="72"/>
    </row>
    <row r="31" spans="2:32" x14ac:dyDescent="0.25">
      <c r="B31" s="29" t="s">
        <v>44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G30" sqref="G30"/>
    </sheetView>
  </sheetViews>
  <sheetFormatPr baseColWidth="10" defaultRowHeight="15" x14ac:dyDescent="0.25"/>
  <cols>
    <col min="2" max="2" width="19.28515625" bestFit="1" customWidth="1"/>
    <col min="7" max="7" width="13.140625" bestFit="1" customWidth="1"/>
  </cols>
  <sheetData>
    <row r="1" spans="2:13" x14ac:dyDescent="0.25">
      <c r="B1" s="73" t="s">
        <v>32</v>
      </c>
      <c r="C1" s="73"/>
      <c r="D1" s="73"/>
      <c r="E1" s="73"/>
      <c r="F1" s="73"/>
      <c r="G1" s="73"/>
    </row>
    <row r="2" spans="2:13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K2" t="s">
        <v>30</v>
      </c>
      <c r="M2" s="59">
        <f>Archive!G11</f>
        <v>4.6842105263157894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31</v>
      </c>
      <c r="M3" s="7">
        <v>14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33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34</v>
      </c>
    </row>
    <row r="18" spans="2:8" x14ac:dyDescent="0.25">
      <c r="B18" s="25">
        <f t="shared" ref="B18:G18" si="2">B16*$M$2*$M$3</f>
        <v>26.338710276830604</v>
      </c>
      <c r="C18" s="25">
        <f t="shared" si="2"/>
        <v>16.172810407392596</v>
      </c>
      <c r="D18" s="25">
        <f t="shared" si="2"/>
        <v>10.807808396530485</v>
      </c>
      <c r="E18" s="25">
        <f t="shared" si="2"/>
        <v>7.4746941069640354</v>
      </c>
      <c r="F18" s="25">
        <f t="shared" si="2"/>
        <v>3.7580320689293574</v>
      </c>
      <c r="G18" s="25">
        <f t="shared" si="2"/>
        <v>1.0268921117739722</v>
      </c>
      <c r="H18" t="s">
        <v>28</v>
      </c>
    </row>
    <row r="19" spans="2:8" x14ac:dyDescent="0.25">
      <c r="B19" s="25">
        <f>B18/2</f>
        <v>13.169355138415302</v>
      </c>
      <c r="C19" s="25">
        <f t="shared" ref="C19:F19" si="3">C18/2</f>
        <v>8.0864052036962981</v>
      </c>
      <c r="D19" s="25">
        <f t="shared" si="3"/>
        <v>5.4039041982652423</v>
      </c>
      <c r="E19" s="25">
        <f t="shared" si="3"/>
        <v>3.7373470534820177</v>
      </c>
      <c r="F19" s="25">
        <f t="shared" si="3"/>
        <v>1.8790160344646787</v>
      </c>
      <c r="G19" s="25">
        <f>G18/2</f>
        <v>0.51344605588698611</v>
      </c>
      <c r="H19" t="s">
        <v>29</v>
      </c>
    </row>
    <row r="21" spans="2:8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74</v>
      </c>
    </row>
    <row r="22" spans="2:8" x14ac:dyDescent="0.25">
      <c r="B22" s="65">
        <f>1/B21</f>
        <v>3.8987942119447637E-2</v>
      </c>
      <c r="C22" s="65">
        <f t="shared" ref="C22:G22" si="5">1/C21</f>
        <v>6.3494970008711626E-2</v>
      </c>
      <c r="D22" s="65">
        <f t="shared" si="5"/>
        <v>9.5013907917133725E-2</v>
      </c>
      <c r="E22" s="65">
        <f t="shared" si="5"/>
        <v>0.13738249312667331</v>
      </c>
      <c r="F22" s="65">
        <f t="shared" si="5"/>
        <v>0.27325262077035128</v>
      </c>
      <c r="G22" s="65">
        <f t="shared" si="5"/>
        <v>1</v>
      </c>
      <c r="H22" t="s">
        <v>75</v>
      </c>
    </row>
    <row r="24" spans="2:8" x14ac:dyDescent="0.25">
      <c r="B24" s="11"/>
      <c r="C24" s="11"/>
      <c r="D24" s="11"/>
      <c r="E24" s="11"/>
      <c r="F24" s="11"/>
      <c r="G24" s="11"/>
    </row>
    <row r="25" spans="2:8" x14ac:dyDescent="0.25">
      <c r="G25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2021-08-20T19:46:22Z</dcterms:modified>
</cp:coreProperties>
</file>