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GitHub\SimCompanies\"/>
    </mc:Choice>
  </mc:AlternateContent>
  <bookViews>
    <workbookView xWindow="0" yWindow="0" windowWidth="28800" windowHeight="11730"/>
  </bookViews>
  <sheets>
    <sheet name="SAT-Ion-HGEC" sheetId="3" r:id="rId1"/>
    <sheet name="BFRr-OB-ST-RE" sheetId="9" r:id="rId2"/>
    <sheet name="BFR-OB-ST-RE" sheetId="4" r:id="rId3"/>
    <sheet name="BFR-OB-ST-RE-Fus-Prp" sheetId="10" r:id="rId4"/>
    <sheet name="RE-HGEC" sheetId="8" r:id="rId5"/>
    <sheet name="RE" sheetId="6" r:id="rId6"/>
    <sheet name="HGEC" sheetId="5" r:id="rId7"/>
    <sheet name="BFR-OB-ST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0" l="1"/>
  <c r="H24" i="10"/>
  <c r="G24" i="10"/>
  <c r="F24" i="10"/>
  <c r="E24" i="10"/>
  <c r="D24" i="10"/>
  <c r="C24" i="10"/>
  <c r="I19" i="10"/>
  <c r="H19" i="10"/>
  <c r="H20" i="10" s="1"/>
  <c r="G19" i="10"/>
  <c r="E20" i="10"/>
  <c r="F20" i="10"/>
  <c r="I20" i="10"/>
  <c r="J20" i="10"/>
  <c r="K20" i="10"/>
  <c r="L20" i="10"/>
  <c r="D20" i="10"/>
  <c r="F19" i="10"/>
  <c r="E19" i="10"/>
  <c r="D19" i="10"/>
  <c r="B24" i="10" l="1"/>
  <c r="I16" i="10"/>
  <c r="C16" i="10"/>
  <c r="F16" i="10" s="1"/>
  <c r="B39" i="9"/>
  <c r="B36" i="9"/>
  <c r="B17" i="9"/>
  <c r="B42" i="9"/>
  <c r="B43" i="9" s="1"/>
  <c r="B37" i="9"/>
  <c r="B38" i="9" s="1"/>
  <c r="B28" i="9"/>
  <c r="D24" i="9"/>
  <c r="F19" i="9"/>
  <c r="E19" i="9"/>
  <c r="D19" i="9"/>
  <c r="C19" i="9"/>
  <c r="F16" i="9"/>
  <c r="F24" i="9" s="1"/>
  <c r="C16" i="9"/>
  <c r="C24" i="9" s="1"/>
  <c r="B21" i="10" l="1"/>
  <c r="B20" i="10"/>
  <c r="B27" i="10"/>
  <c r="B35" i="9"/>
  <c r="E16" i="9"/>
  <c r="B19" i="8"/>
  <c r="C19" i="8"/>
  <c r="C24" i="8"/>
  <c r="B24" i="8"/>
  <c r="B42" i="3"/>
  <c r="B43" i="3" s="1"/>
  <c r="B39" i="3"/>
  <c r="B37" i="3"/>
  <c r="B38" i="3" s="1"/>
  <c r="B36" i="3"/>
  <c r="B42" i="5"/>
  <c r="B43" i="5" s="1"/>
  <c r="B39" i="5"/>
  <c r="B37" i="5"/>
  <c r="B38" i="5" s="1"/>
  <c r="B36" i="5"/>
  <c r="B42" i="6"/>
  <c r="B43" i="6" s="1"/>
  <c r="B39" i="6"/>
  <c r="B37" i="6"/>
  <c r="B35" i="6" s="1"/>
  <c r="B36" i="6"/>
  <c r="B43" i="7"/>
  <c r="B44" i="7" s="1"/>
  <c r="B40" i="7"/>
  <c r="B38" i="7"/>
  <c r="B36" i="7" s="1"/>
  <c r="B37" i="7"/>
  <c r="B36" i="4"/>
  <c r="D20" i="7"/>
  <c r="C20" i="7"/>
  <c r="D25" i="7"/>
  <c r="B25" i="7"/>
  <c r="C17" i="7"/>
  <c r="C25" i="7" s="1"/>
  <c r="L25" i="10" l="1"/>
  <c r="K25" i="10"/>
  <c r="J25" i="10"/>
  <c r="I25" i="10"/>
  <c r="H25" i="10"/>
  <c r="G25" i="10"/>
  <c r="D25" i="10"/>
  <c r="F25" i="10"/>
  <c r="B25" i="10"/>
  <c r="E25" i="10"/>
  <c r="B42" i="10"/>
  <c r="B37" i="10"/>
  <c r="C25" i="10"/>
  <c r="B20" i="9"/>
  <c r="E24" i="9"/>
  <c r="B21" i="9"/>
  <c r="B27" i="8"/>
  <c r="B35" i="3"/>
  <c r="B35" i="5"/>
  <c r="B38" i="6"/>
  <c r="B39" i="7"/>
  <c r="D26" i="10" l="1"/>
  <c r="F26" i="10"/>
  <c r="G26" i="10"/>
  <c r="C26" i="10"/>
  <c r="L26" i="10"/>
  <c r="B43" i="10"/>
  <c r="B35" i="10"/>
  <c r="B38" i="10"/>
  <c r="I26" i="10"/>
  <c r="B28" i="10"/>
  <c r="B26" i="10"/>
  <c r="H26" i="10"/>
  <c r="J26" i="10"/>
  <c r="E26" i="10"/>
  <c r="K26" i="10"/>
  <c r="B27" i="9"/>
  <c r="J25" i="8"/>
  <c r="J26" i="8" s="1"/>
  <c r="I25" i="8"/>
  <c r="I26" i="8" s="1"/>
  <c r="H25" i="8"/>
  <c r="H26" i="8" s="1"/>
  <c r="G25" i="8"/>
  <c r="G26" i="8" s="1"/>
  <c r="F25" i="8"/>
  <c r="F26" i="8" s="1"/>
  <c r="L25" i="8"/>
  <c r="L26" i="8" s="1"/>
  <c r="K25" i="8"/>
  <c r="K26" i="8" s="1"/>
  <c r="C25" i="8"/>
  <c r="C26" i="8" s="1"/>
  <c r="E25" i="8"/>
  <c r="E26" i="8" s="1"/>
  <c r="D25" i="8"/>
  <c r="D26" i="8" s="1"/>
  <c r="B21" i="8"/>
  <c r="B25" i="8"/>
  <c r="B20" i="8"/>
  <c r="B22" i="7"/>
  <c r="B28" i="7"/>
  <c r="B21" i="7"/>
  <c r="E24" i="3"/>
  <c r="D24" i="3"/>
  <c r="C24" i="3"/>
  <c r="B24" i="3"/>
  <c r="B39" i="4"/>
  <c r="B36" i="10" l="1"/>
  <c r="B39" i="10"/>
  <c r="J25" i="9"/>
  <c r="J26" i="9" s="1"/>
  <c r="I25" i="9"/>
  <c r="I26" i="9" s="1"/>
  <c r="H25" i="9"/>
  <c r="H26" i="9" s="1"/>
  <c r="G25" i="9"/>
  <c r="G26" i="9" s="1"/>
  <c r="L25" i="9"/>
  <c r="L26" i="9" s="1"/>
  <c r="D25" i="9"/>
  <c r="D26" i="9" s="1"/>
  <c r="K25" i="9"/>
  <c r="K26" i="9" s="1"/>
  <c r="F25" i="9"/>
  <c r="F26" i="9" s="1"/>
  <c r="B25" i="9"/>
  <c r="C25" i="9"/>
  <c r="C26" i="9" s="1"/>
  <c r="E25" i="9"/>
  <c r="E26" i="9" s="1"/>
  <c r="B42" i="8"/>
  <c r="B37" i="8"/>
  <c r="B28" i="8"/>
  <c r="B36" i="8" s="1"/>
  <c r="B26" i="8"/>
  <c r="H26" i="7"/>
  <c r="K26" i="7"/>
  <c r="G26" i="7"/>
  <c r="L26" i="7"/>
  <c r="D26" i="7"/>
  <c r="J26" i="7"/>
  <c r="B26" i="7"/>
  <c r="I26" i="7"/>
  <c r="C26" i="7"/>
  <c r="F26" i="7"/>
  <c r="E26" i="7"/>
  <c r="B37" i="4"/>
  <c r="B38" i="4" s="1"/>
  <c r="B19" i="6"/>
  <c r="B20" i="6" s="1"/>
  <c r="F24" i="4"/>
  <c r="E24" i="4"/>
  <c r="D24" i="4"/>
  <c r="C24" i="4"/>
  <c r="B24" i="4"/>
  <c r="B24" i="6"/>
  <c r="B27" i="6" s="1"/>
  <c r="B21" i="6"/>
  <c r="B26" i="9" l="1"/>
  <c r="B43" i="8"/>
  <c r="B35" i="8"/>
  <c r="B38" i="8"/>
  <c r="B39" i="8"/>
  <c r="B35" i="4"/>
  <c r="J27" i="7"/>
  <c r="F27" i="7"/>
  <c r="K27" i="7"/>
  <c r="C27" i="7"/>
  <c r="H27" i="7"/>
  <c r="I27" i="7"/>
  <c r="B27" i="7"/>
  <c r="B29" i="7"/>
  <c r="D27" i="7"/>
  <c r="L27" i="7"/>
  <c r="E27" i="7"/>
  <c r="G27" i="7"/>
  <c r="B25" i="6"/>
  <c r="B28" i="6" l="1"/>
  <c r="B26" i="6"/>
  <c r="E19" i="3" l="1"/>
  <c r="D19" i="3"/>
  <c r="C19" i="3"/>
  <c r="B19" i="3"/>
  <c r="E16" i="3"/>
  <c r="D16" i="3"/>
  <c r="C16" i="3"/>
  <c r="B19" i="5"/>
  <c r="B24" i="5" l="1"/>
  <c r="B27" i="5" l="1"/>
  <c r="F19" i="4"/>
  <c r="E19" i="4"/>
  <c r="D19" i="4"/>
  <c r="C19" i="4"/>
  <c r="F16" i="4"/>
  <c r="C16" i="4"/>
  <c r="B20" i="5" l="1"/>
  <c r="B21" i="5"/>
  <c r="B25" i="5"/>
  <c r="B20" i="4"/>
  <c r="B27" i="4"/>
  <c r="C25" i="4" s="1"/>
  <c r="B21" i="4"/>
  <c r="E16" i="4"/>
  <c r="B20" i="3"/>
  <c r="F25" i="4" l="1"/>
  <c r="B26" i="5"/>
  <c r="B28" i="5"/>
  <c r="B42" i="4"/>
  <c r="B43" i="4" s="1"/>
  <c r="E25" i="4"/>
  <c r="I25" i="4"/>
  <c r="H25" i="4"/>
  <c r="G25" i="4"/>
  <c r="L25" i="4"/>
  <c r="D25" i="4"/>
  <c r="K25" i="4"/>
  <c r="J25" i="4"/>
  <c r="B25" i="4"/>
  <c r="B21" i="3"/>
  <c r="C26" i="4" l="1"/>
  <c r="L26" i="4"/>
  <c r="E26" i="4"/>
  <c r="J26" i="4"/>
  <c r="K26" i="4"/>
  <c r="D26" i="4"/>
  <c r="F26" i="4"/>
  <c r="G26" i="4"/>
  <c r="H26" i="4"/>
  <c r="I26" i="4"/>
  <c r="B28" i="4"/>
  <c r="B26" i="4"/>
  <c r="B27" i="3"/>
  <c r="E25" i="3" s="1"/>
  <c r="E26" i="3" s="1"/>
  <c r="I25" i="3" l="1"/>
  <c r="I26" i="3" s="1"/>
  <c r="G25" i="3"/>
  <c r="G26" i="3" s="1"/>
  <c r="J25" i="3"/>
  <c r="J26" i="3" s="1"/>
  <c r="H25" i="3"/>
  <c r="H26" i="3" s="1"/>
  <c r="L25" i="3"/>
  <c r="L26" i="3" s="1"/>
  <c r="D25" i="3"/>
  <c r="D26" i="3" s="1"/>
  <c r="K25" i="3"/>
  <c r="K26" i="3" s="1"/>
  <c r="B25" i="3"/>
  <c r="F25" i="3"/>
  <c r="F26" i="3" s="1"/>
  <c r="C25" i="3"/>
  <c r="C26" i="3" s="1"/>
  <c r="B28" i="3" l="1"/>
  <c r="B26" i="3"/>
</calcChain>
</file>

<file path=xl/sharedStrings.xml><?xml version="1.0" encoding="utf-8"?>
<sst xmlns="http://schemas.openxmlformats.org/spreadsheetml/2006/main" count="426" uniqueCount="87">
  <si>
    <t>Alphas</t>
  </si>
  <si>
    <t>Product Name</t>
  </si>
  <si>
    <t>BFR</t>
  </si>
  <si>
    <t xml:space="preserve">(Pu) Produced units per hour </t>
  </si>
  <si>
    <t>(Pw) Product wages, no Admin costs</t>
  </si>
  <si>
    <t>(In) Input resources</t>
  </si>
  <si>
    <t>Input resources</t>
  </si>
  <si>
    <t xml:space="preserve">(those not produced) </t>
  </si>
  <si>
    <t>Fuselage</t>
  </si>
  <si>
    <t>Propellant tank</t>
  </si>
  <si>
    <t>Cockpit</t>
  </si>
  <si>
    <t>HeatShield</t>
  </si>
  <si>
    <t>Steel</t>
  </si>
  <si>
    <t>HGEC</t>
  </si>
  <si>
    <t xml:space="preserve">Aluminium </t>
  </si>
  <si>
    <t>Name</t>
  </si>
  <si>
    <t>Price</t>
  </si>
  <si>
    <t>(Rp) Retail price, of the final product</t>
  </si>
  <si>
    <t>(Bl) Building level</t>
  </si>
  <si>
    <t>Required per end product</t>
  </si>
  <si>
    <t>Required buildings to produce 1 end product</t>
  </si>
  <si>
    <t>End Product</t>
  </si>
  <si>
    <t>Total Alpha</t>
  </si>
  <si>
    <t xml:space="preserve">*Dependencies should be adjusted manually </t>
  </si>
  <si>
    <t>% required (alpha)</t>
  </si>
  <si>
    <t>Daily Profit</t>
  </si>
  <si>
    <t>BFR-OB</t>
  </si>
  <si>
    <t>BFR-Starship</t>
  </si>
  <si>
    <t>OB-Rocket engine</t>
  </si>
  <si>
    <t>St-Rocket engine</t>
  </si>
  <si>
    <t>RP1</t>
  </si>
  <si>
    <t>RP2</t>
  </si>
  <si>
    <t>RP3</t>
  </si>
  <si>
    <t>RP4</t>
  </si>
  <si>
    <t>RP5</t>
  </si>
  <si>
    <t>RP6</t>
  </si>
  <si>
    <t>RP7</t>
  </si>
  <si>
    <t>RP8</t>
  </si>
  <si>
    <t>RP9</t>
  </si>
  <si>
    <t>RP10</t>
  </si>
  <si>
    <t>(In_T) Total Input Resources</t>
  </si>
  <si>
    <t>(Pb) Productivity bonus</t>
  </si>
  <si>
    <t>(Sk) Executives Management Skills</t>
  </si>
  <si>
    <t>(Pw_t) Total product wages, no Admin costs</t>
  </si>
  <si>
    <t>(Pu_T) Alpha End product</t>
  </si>
  <si>
    <t>Optimal Daily Profit</t>
  </si>
  <si>
    <t>Attitude controller</t>
  </si>
  <si>
    <t>amount of self produced required products</t>
  </si>
  <si>
    <t>Total Unitary costs</t>
  </si>
  <si>
    <t>Total Unitary profit</t>
  </si>
  <si>
    <t>COLOR CODES</t>
  </si>
  <si>
    <t>Partial results</t>
  </si>
  <si>
    <t>Final results</t>
  </si>
  <si>
    <t>Change constantly (manually)</t>
  </si>
  <si>
    <t xml:space="preserve">Change rarely (manually) </t>
  </si>
  <si>
    <t>Total Unitary admin costs</t>
  </si>
  <si>
    <t>(Bl*) Optimal Building level</t>
  </si>
  <si>
    <t>Optimum Building levels</t>
  </si>
  <si>
    <t>Flight computer</t>
  </si>
  <si>
    <t>Attitude control</t>
  </si>
  <si>
    <t>Satellite</t>
  </si>
  <si>
    <t>Silicon</t>
  </si>
  <si>
    <t>Chemicals</t>
  </si>
  <si>
    <t>Golden bars</t>
  </si>
  <si>
    <t>Batteries</t>
  </si>
  <si>
    <t>Sat-HGEC</t>
  </si>
  <si>
    <t>Sat-Ion Drive</t>
  </si>
  <si>
    <t>Sat-Ion-HGEC</t>
  </si>
  <si>
    <t xml:space="preserve">HGEC </t>
  </si>
  <si>
    <t>RE</t>
  </si>
  <si>
    <t>Aluminium</t>
  </si>
  <si>
    <t>Required buildings to produce 1 end product in one hour</t>
  </si>
  <si>
    <t>Rocket Engines</t>
  </si>
  <si>
    <t>It's too expensive to buy Rocket engines :(</t>
  </si>
  <si>
    <t>Total Units daily</t>
  </si>
  <si>
    <t>BFR renting service</t>
  </si>
  <si>
    <t xml:space="preserve">It is profitable to rent VIF if retailing at more expensive prices </t>
  </si>
  <si>
    <t>OB-Fuselage</t>
  </si>
  <si>
    <t>OB-Propellant tank</t>
  </si>
  <si>
    <t>St-Propellant tank</t>
  </si>
  <si>
    <t>Carbon Composite</t>
  </si>
  <si>
    <t xml:space="preserve">Producing Fuselage is not even required! </t>
  </si>
  <si>
    <t xml:space="preserve">Market price of Fuselage is so low that it's better to buy it rather than producing it </t>
  </si>
  <si>
    <t xml:space="preserve">Rocket Fuel </t>
  </si>
  <si>
    <t>Heat Shield</t>
  </si>
  <si>
    <t xml:space="preserve">If retailing at the same price. It is not profitable </t>
  </si>
  <si>
    <t>Having the whole chain is too labor intensive and not so profitable… :(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</si>
</sst>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44" fontId="0" fillId="2" borderId="0" xfId="2" applyFont="1" applyFill="1" applyBorder="1"/>
    <xf numFmtId="44" fontId="0" fillId="2" borderId="5" xfId="2" applyFont="1" applyFill="1" applyBorder="1"/>
    <xf numFmtId="44" fontId="0" fillId="2" borderId="7" xfId="2" applyFont="1" applyFill="1" applyBorder="1"/>
    <xf numFmtId="44" fontId="0" fillId="2" borderId="8" xfId="2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44" fontId="0" fillId="4" borderId="3" xfId="2" applyFont="1" applyFill="1" applyBorder="1"/>
    <xf numFmtId="44" fontId="0" fillId="4" borderId="8" xfId="2" applyFont="1" applyFill="1" applyBorder="1"/>
    <xf numFmtId="0" fontId="0" fillId="0" borderId="1" xfId="0" applyBorder="1"/>
    <xf numFmtId="0" fontId="0" fillId="3" borderId="2" xfId="0" applyFill="1" applyBorder="1"/>
    <xf numFmtId="0" fontId="0" fillId="3" borderId="3" xfId="0" applyFill="1" applyBorder="1"/>
    <xf numFmtId="0" fontId="0" fillId="0" borderId="6" xfId="0" applyBorder="1"/>
    <xf numFmtId="0" fontId="0" fillId="0" borderId="4" xfId="0" applyBorder="1"/>
    <xf numFmtId="10" fontId="0" fillId="4" borderId="14" xfId="0" applyNumberFormat="1" applyFill="1" applyBorder="1"/>
    <xf numFmtId="10" fontId="0" fillId="2" borderId="8" xfId="0" applyNumberFormat="1" applyFill="1" applyBorder="1"/>
    <xf numFmtId="0" fontId="0" fillId="0" borderId="5" xfId="0" applyBorder="1"/>
    <xf numFmtId="44" fontId="0" fillId="5" borderId="8" xfId="2" applyFont="1" applyFill="1" applyBorder="1"/>
    <xf numFmtId="0" fontId="0" fillId="0" borderId="3" xfId="0" applyBorder="1"/>
    <xf numFmtId="0" fontId="0" fillId="2" borderId="6" xfId="0" applyFill="1" applyBorder="1"/>
    <xf numFmtId="44" fontId="0" fillId="2" borderId="3" xfId="2" applyFont="1" applyFill="1" applyBorder="1"/>
    <xf numFmtId="44" fontId="0" fillId="3" borderId="0" xfId="2" applyFont="1" applyFill="1" applyBorder="1"/>
    <xf numFmtId="44" fontId="0" fillId="3" borderId="5" xfId="2" applyFont="1" applyFill="1" applyBorder="1"/>
    <xf numFmtId="0" fontId="0" fillId="3" borderId="0" xfId="0" applyFill="1" applyBorder="1"/>
    <xf numFmtId="0" fontId="0" fillId="3" borderId="5" xfId="0" applyFill="1" applyBorder="1"/>
    <xf numFmtId="44" fontId="0" fillId="4" borderId="8" xfId="0" applyNumberFormat="1" applyFill="1" applyBorder="1"/>
    <xf numFmtId="0" fontId="0" fillId="5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4" borderId="5" xfId="0" applyFill="1" applyBorder="1"/>
    <xf numFmtId="0" fontId="0" fillId="5" borderId="3" xfId="0" applyFill="1" applyBorder="1"/>
    <xf numFmtId="10" fontId="0" fillId="2" borderId="5" xfId="0" applyNumberFormat="1" applyFill="1" applyBorder="1"/>
    <xf numFmtId="10" fontId="0" fillId="4" borderId="0" xfId="1" applyNumberFormat="1" applyFont="1" applyFill="1" applyBorder="1"/>
    <xf numFmtId="10" fontId="0" fillId="4" borderId="5" xfId="1" applyNumberFormat="1" applyFont="1" applyFill="1" applyBorder="1"/>
    <xf numFmtId="0" fontId="0" fillId="4" borderId="8" xfId="0" applyFill="1" applyBorder="1"/>
    <xf numFmtId="0" fontId="0" fillId="0" borderId="0" xfId="0" applyFill="1" applyBorder="1"/>
    <xf numFmtId="0" fontId="0" fillId="3" borderId="1" xfId="0" applyFill="1" applyBorder="1"/>
    <xf numFmtId="10" fontId="0" fillId="4" borderId="4" xfId="1" applyNumberFormat="1" applyFont="1" applyFill="1" applyBorder="1"/>
    <xf numFmtId="43" fontId="0" fillId="5" borderId="6" xfId="3" applyFont="1" applyFill="1" applyBorder="1"/>
    <xf numFmtId="43" fontId="0" fillId="5" borderId="7" xfId="3" applyFont="1" applyFill="1" applyBorder="1"/>
    <xf numFmtId="43" fontId="0" fillId="5" borderId="8" xfId="3" applyFont="1" applyFill="1" applyBorder="1"/>
    <xf numFmtId="0" fontId="0" fillId="0" borderId="15" xfId="0" applyBorder="1"/>
    <xf numFmtId="0" fontId="0" fillId="2" borderId="9" xfId="0" applyFill="1" applyBorder="1"/>
    <xf numFmtId="0" fontId="0" fillId="2" borderId="10" xfId="0" applyFill="1" applyBorder="1"/>
    <xf numFmtId="0" fontId="0" fillId="3" borderId="10" xfId="0" applyFill="1" applyBorder="1"/>
    <xf numFmtId="44" fontId="0" fillId="3" borderId="10" xfId="2" applyFont="1" applyFill="1" applyBorder="1"/>
    <xf numFmtId="44" fontId="0" fillId="2" borderId="10" xfId="2" applyFont="1" applyFill="1" applyBorder="1"/>
    <xf numFmtId="44" fontId="0" fillId="4" borderId="9" xfId="2" applyFont="1" applyFill="1" applyBorder="1"/>
    <xf numFmtId="44" fontId="0" fillId="4" borderId="11" xfId="2" applyFont="1" applyFill="1" applyBorder="1"/>
    <xf numFmtId="0" fontId="0" fillId="0" borderId="4" xfId="0" applyFill="1" applyBorder="1"/>
    <xf numFmtId="43" fontId="0" fillId="5" borderId="5" xfId="3" applyFont="1" applyFill="1" applyBorder="1"/>
    <xf numFmtId="10" fontId="0" fillId="4" borderId="8" xfId="0" applyNumberFormat="1" applyFill="1" applyBorder="1"/>
    <xf numFmtId="44" fontId="0" fillId="4" borderId="5" xfId="2" applyFont="1" applyFill="1" applyBorder="1"/>
    <xf numFmtId="10" fontId="0" fillId="0" borderId="0" xfId="0" applyNumberFormat="1"/>
    <xf numFmtId="44" fontId="0" fillId="0" borderId="0" xfId="0" applyNumberFormat="1"/>
    <xf numFmtId="1" fontId="0" fillId="4" borderId="5" xfId="0" applyNumberFormat="1" applyFill="1" applyBorder="1"/>
  </cellXfs>
  <cellStyles count="4">
    <cellStyle name="Millares" xfId="3" builtinId="3"/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828675</xdr:colOff>
      <xdr:row>40</xdr:row>
      <xdr:rowOff>161925</xdr:rowOff>
    </xdr:from>
    <xdr:to>
      <xdr:col>5</xdr:col>
      <xdr:colOff>419460</xdr:colOff>
      <xdr:row>43</xdr:row>
      <xdr:rowOff>66744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7553325"/>
          <a:ext cx="2581635" cy="495369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36</xdr:row>
      <xdr:rowOff>180975</xdr:rowOff>
    </xdr:from>
    <xdr:to>
      <xdr:col>4</xdr:col>
      <xdr:colOff>590365</xdr:colOff>
      <xdr:row>38</xdr:row>
      <xdr:rowOff>95213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76825" y="7000875"/>
          <a:ext cx="1476190" cy="2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895350</xdr:colOff>
      <xdr:row>38</xdr:row>
      <xdr:rowOff>76200</xdr:rowOff>
    </xdr:from>
    <xdr:to>
      <xdr:col>6</xdr:col>
      <xdr:colOff>332934</xdr:colOff>
      <xdr:row>40</xdr:row>
      <xdr:rowOff>133295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57775" y="7277100"/>
          <a:ext cx="3523809" cy="4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876300</xdr:colOff>
      <xdr:row>43</xdr:row>
      <xdr:rowOff>76200</xdr:rowOff>
    </xdr:from>
    <xdr:to>
      <xdr:col>5</xdr:col>
      <xdr:colOff>467085</xdr:colOff>
      <xdr:row>46</xdr:row>
      <xdr:rowOff>69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8248650"/>
          <a:ext cx="2581635" cy="495369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39</xdr:row>
      <xdr:rowOff>114300</xdr:rowOff>
    </xdr:from>
    <xdr:to>
      <xdr:col>4</xdr:col>
      <xdr:colOff>609415</xdr:colOff>
      <xdr:row>41</xdr:row>
      <xdr:rowOff>28538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95875" y="7505700"/>
          <a:ext cx="1476190" cy="2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41</xdr:row>
      <xdr:rowOff>38100</xdr:rowOff>
    </xdr:from>
    <xdr:to>
      <xdr:col>6</xdr:col>
      <xdr:colOff>371034</xdr:colOff>
      <xdr:row>43</xdr:row>
      <xdr:rowOff>76145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95875" y="7810500"/>
          <a:ext cx="3523809" cy="4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876300</xdr:colOff>
      <xdr:row>43</xdr:row>
      <xdr:rowOff>76200</xdr:rowOff>
    </xdr:from>
    <xdr:to>
      <xdr:col>5</xdr:col>
      <xdr:colOff>467085</xdr:colOff>
      <xdr:row>46</xdr:row>
      <xdr:rowOff>69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8058150"/>
          <a:ext cx="2581635" cy="495369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39</xdr:row>
      <xdr:rowOff>114300</xdr:rowOff>
    </xdr:from>
    <xdr:to>
      <xdr:col>4</xdr:col>
      <xdr:colOff>609415</xdr:colOff>
      <xdr:row>41</xdr:row>
      <xdr:rowOff>28538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95875" y="7315200"/>
          <a:ext cx="1476190" cy="2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41</xdr:row>
      <xdr:rowOff>66675</xdr:rowOff>
    </xdr:from>
    <xdr:to>
      <xdr:col>6</xdr:col>
      <xdr:colOff>351984</xdr:colOff>
      <xdr:row>43</xdr:row>
      <xdr:rowOff>104720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76825" y="7839075"/>
          <a:ext cx="3523809" cy="4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876300</xdr:colOff>
      <xdr:row>43</xdr:row>
      <xdr:rowOff>76200</xdr:rowOff>
    </xdr:from>
    <xdr:to>
      <xdr:col>5</xdr:col>
      <xdr:colOff>390885</xdr:colOff>
      <xdr:row>46</xdr:row>
      <xdr:rowOff>69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8248650"/>
          <a:ext cx="2581635" cy="495369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39</xdr:row>
      <xdr:rowOff>114300</xdr:rowOff>
    </xdr:from>
    <xdr:to>
      <xdr:col>4</xdr:col>
      <xdr:colOff>287945</xdr:colOff>
      <xdr:row>41</xdr:row>
      <xdr:rowOff>28538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95875" y="7505700"/>
          <a:ext cx="1476190" cy="2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41</xdr:row>
      <xdr:rowOff>57150</xdr:rowOff>
    </xdr:from>
    <xdr:to>
      <xdr:col>6</xdr:col>
      <xdr:colOff>399609</xdr:colOff>
      <xdr:row>43</xdr:row>
      <xdr:rowOff>95195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19675" y="7829550"/>
          <a:ext cx="3523809" cy="4380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828675</xdr:colOff>
      <xdr:row>40</xdr:row>
      <xdr:rowOff>161925</xdr:rowOff>
    </xdr:from>
    <xdr:to>
      <xdr:col>5</xdr:col>
      <xdr:colOff>419460</xdr:colOff>
      <xdr:row>43</xdr:row>
      <xdr:rowOff>85794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53100" y="7743825"/>
          <a:ext cx="2581635" cy="49536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36</xdr:row>
      <xdr:rowOff>171450</xdr:rowOff>
    </xdr:from>
    <xdr:to>
      <xdr:col>4</xdr:col>
      <xdr:colOff>580840</xdr:colOff>
      <xdr:row>38</xdr:row>
      <xdr:rowOff>85688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29300" y="6991350"/>
          <a:ext cx="1476190" cy="2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828675</xdr:colOff>
      <xdr:row>40</xdr:row>
      <xdr:rowOff>161925</xdr:rowOff>
    </xdr:from>
    <xdr:to>
      <xdr:col>5</xdr:col>
      <xdr:colOff>419460</xdr:colOff>
      <xdr:row>43</xdr:row>
      <xdr:rowOff>66744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7743825"/>
          <a:ext cx="2581635" cy="495369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36</xdr:row>
      <xdr:rowOff>180975</xdr:rowOff>
    </xdr:from>
    <xdr:to>
      <xdr:col>4</xdr:col>
      <xdr:colOff>590365</xdr:colOff>
      <xdr:row>38</xdr:row>
      <xdr:rowOff>95213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76825" y="7000875"/>
          <a:ext cx="1476190" cy="2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38</xdr:row>
      <xdr:rowOff>57150</xdr:rowOff>
    </xdr:from>
    <xdr:to>
      <xdr:col>6</xdr:col>
      <xdr:colOff>342459</xdr:colOff>
      <xdr:row>40</xdr:row>
      <xdr:rowOff>114245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67300" y="7258050"/>
          <a:ext cx="3523809" cy="4380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752475</xdr:colOff>
      <xdr:row>38</xdr:row>
      <xdr:rowOff>114300</xdr:rowOff>
    </xdr:from>
    <xdr:to>
      <xdr:col>6</xdr:col>
      <xdr:colOff>152887</xdr:colOff>
      <xdr:row>41</xdr:row>
      <xdr:rowOff>57224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6900" y="7315200"/>
          <a:ext cx="3486637" cy="533474"/>
        </a:xfrm>
        <a:prstGeom prst="rect">
          <a:avLst/>
        </a:prstGeom>
      </xdr:spPr>
    </xdr:pic>
    <xdr:clientData/>
  </xdr:twoCellAnchor>
  <xdr:twoCellAnchor editAs="oneCell">
    <xdr:from>
      <xdr:col>2</xdr:col>
      <xdr:colOff>828675</xdr:colOff>
      <xdr:row>40</xdr:row>
      <xdr:rowOff>161925</xdr:rowOff>
    </xdr:from>
    <xdr:to>
      <xdr:col>5</xdr:col>
      <xdr:colOff>419460</xdr:colOff>
      <xdr:row>43</xdr:row>
      <xdr:rowOff>66744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91100" y="7743825"/>
          <a:ext cx="2581635" cy="49536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36</xdr:row>
      <xdr:rowOff>171450</xdr:rowOff>
    </xdr:from>
    <xdr:to>
      <xdr:col>4</xdr:col>
      <xdr:colOff>580840</xdr:colOff>
      <xdr:row>38</xdr:row>
      <xdr:rowOff>85688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29300" y="6991350"/>
          <a:ext cx="1476190" cy="2952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800100</xdr:colOff>
      <xdr:row>38</xdr:row>
      <xdr:rowOff>57150</xdr:rowOff>
    </xdr:from>
    <xdr:to>
      <xdr:col>6</xdr:col>
      <xdr:colOff>200512</xdr:colOff>
      <xdr:row>41</xdr:row>
      <xdr:rowOff>74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2525" y="7258050"/>
          <a:ext cx="3486637" cy="533474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857250</xdr:colOff>
      <xdr:row>40</xdr:row>
      <xdr:rowOff>161925</xdr:rowOff>
    </xdr:from>
    <xdr:to>
      <xdr:col>5</xdr:col>
      <xdr:colOff>448035</xdr:colOff>
      <xdr:row>43</xdr:row>
      <xdr:rowOff>66744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9675" y="7743825"/>
          <a:ext cx="2581635" cy="495369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36</xdr:row>
      <xdr:rowOff>104775</xdr:rowOff>
    </xdr:from>
    <xdr:to>
      <xdr:col>4</xdr:col>
      <xdr:colOff>590365</xdr:colOff>
      <xdr:row>38</xdr:row>
      <xdr:rowOff>19013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76825" y="6924675"/>
          <a:ext cx="1476190" cy="2952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876300</xdr:colOff>
      <xdr:row>43</xdr:row>
      <xdr:rowOff>76200</xdr:rowOff>
    </xdr:from>
    <xdr:to>
      <xdr:col>5</xdr:col>
      <xdr:colOff>467085</xdr:colOff>
      <xdr:row>46</xdr:row>
      <xdr:rowOff>69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8058150"/>
          <a:ext cx="2581635" cy="495369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39</xdr:row>
      <xdr:rowOff>114300</xdr:rowOff>
    </xdr:from>
    <xdr:to>
      <xdr:col>4</xdr:col>
      <xdr:colOff>609415</xdr:colOff>
      <xdr:row>41</xdr:row>
      <xdr:rowOff>28538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95875" y="7315200"/>
          <a:ext cx="1476190" cy="2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41</xdr:row>
      <xdr:rowOff>9525</xdr:rowOff>
    </xdr:from>
    <xdr:to>
      <xdr:col>6</xdr:col>
      <xdr:colOff>342459</xdr:colOff>
      <xdr:row>43</xdr:row>
      <xdr:rowOff>47570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67300" y="7781925"/>
          <a:ext cx="3523809" cy="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3"/>
  <sheetViews>
    <sheetView tabSelected="1" topLeftCell="A16" workbookViewId="0">
      <selection activeCell="E51" sqref="E51"/>
    </sheetView>
  </sheetViews>
  <sheetFormatPr baseColWidth="10" defaultRowHeight="15" x14ac:dyDescent="0.25"/>
  <cols>
    <col min="1" max="1" width="40.28515625" customWidth="1"/>
    <col min="2" max="2" width="22.140625" customWidth="1"/>
    <col min="3" max="3" width="13.5703125" customWidth="1"/>
    <col min="4" max="4" width="13.42578125" customWidth="1"/>
    <col min="5" max="5" width="17.85546875" customWidth="1"/>
    <col min="6" max="6" width="16.42578125" customWidth="1"/>
  </cols>
  <sheetData>
    <row r="2" spans="1:13" x14ac:dyDescent="0.25">
      <c r="A2" s="19" t="s">
        <v>6</v>
      </c>
      <c r="B2" s="28" t="s">
        <v>7</v>
      </c>
      <c r="E2" s="40" t="s">
        <v>50</v>
      </c>
    </row>
    <row r="3" spans="1:13" x14ac:dyDescent="0.25">
      <c r="A3" s="23" t="s">
        <v>15</v>
      </c>
      <c r="B3" s="26" t="s">
        <v>16</v>
      </c>
      <c r="E3" s="37" t="s">
        <v>53</v>
      </c>
      <c r="F3" s="37"/>
    </row>
    <row r="4" spans="1:13" x14ac:dyDescent="0.25">
      <c r="A4" s="1" t="s">
        <v>58</v>
      </c>
      <c r="B4" s="30">
        <v>4740</v>
      </c>
      <c r="E4" s="38" t="s">
        <v>54</v>
      </c>
      <c r="F4" s="38"/>
    </row>
    <row r="5" spans="1:13" x14ac:dyDescent="0.25">
      <c r="A5" s="4" t="s">
        <v>59</v>
      </c>
      <c r="B5" s="8">
        <v>1520</v>
      </c>
      <c r="E5" s="39" t="s">
        <v>51</v>
      </c>
      <c r="F5" s="39"/>
    </row>
    <row r="6" spans="1:13" x14ac:dyDescent="0.25">
      <c r="A6" s="4" t="s">
        <v>61</v>
      </c>
      <c r="B6" s="8">
        <v>7.4</v>
      </c>
      <c r="E6" s="36" t="s">
        <v>52</v>
      </c>
      <c r="F6" s="36"/>
    </row>
    <row r="7" spans="1:13" x14ac:dyDescent="0.25">
      <c r="A7" s="4" t="s">
        <v>62</v>
      </c>
      <c r="B7" s="8">
        <v>14.2</v>
      </c>
    </row>
    <row r="8" spans="1:13" x14ac:dyDescent="0.25">
      <c r="A8" s="4" t="s">
        <v>63</v>
      </c>
      <c r="B8" s="8">
        <v>6200</v>
      </c>
    </row>
    <row r="9" spans="1:13" x14ac:dyDescent="0.25">
      <c r="A9" s="4" t="s">
        <v>64</v>
      </c>
      <c r="B9" s="8">
        <v>82</v>
      </c>
    </row>
    <row r="10" spans="1:13" x14ac:dyDescent="0.25">
      <c r="A10" s="4"/>
      <c r="B10" s="8"/>
    </row>
    <row r="11" spans="1:13" x14ac:dyDescent="0.25">
      <c r="A11" s="29"/>
      <c r="B11" s="10"/>
    </row>
    <row r="14" spans="1:13" x14ac:dyDescent="0.25">
      <c r="A14" t="s">
        <v>0</v>
      </c>
      <c r="B14" s="14" t="s">
        <v>21</v>
      </c>
      <c r="C14" s="15" t="s">
        <v>30</v>
      </c>
      <c r="D14" s="15" t="s">
        <v>31</v>
      </c>
      <c r="E14" s="15" t="s">
        <v>32</v>
      </c>
      <c r="F14" s="15" t="s">
        <v>33</v>
      </c>
      <c r="G14" s="15" t="s">
        <v>34</v>
      </c>
      <c r="H14" s="15" t="s">
        <v>35</v>
      </c>
      <c r="I14" s="15" t="s">
        <v>36</v>
      </c>
      <c r="J14" s="15" t="s">
        <v>37</v>
      </c>
      <c r="K14" s="15" t="s">
        <v>38</v>
      </c>
      <c r="L14" s="16" t="s">
        <v>39</v>
      </c>
    </row>
    <row r="15" spans="1:13" x14ac:dyDescent="0.25">
      <c r="A15" s="11" t="s">
        <v>1</v>
      </c>
      <c r="B15" s="2" t="s">
        <v>60</v>
      </c>
      <c r="C15" s="2" t="s">
        <v>65</v>
      </c>
      <c r="D15" s="2" t="s">
        <v>66</v>
      </c>
      <c r="E15" s="2" t="s">
        <v>67</v>
      </c>
      <c r="F15" s="2"/>
      <c r="G15" s="2"/>
      <c r="H15" s="2"/>
      <c r="I15" s="2"/>
      <c r="J15" s="2"/>
      <c r="K15" s="2"/>
      <c r="L15" s="3"/>
    </row>
    <row r="16" spans="1:13" x14ac:dyDescent="0.25">
      <c r="A16" s="12" t="s">
        <v>19</v>
      </c>
      <c r="B16" s="5">
        <v>1</v>
      </c>
      <c r="C16" s="5">
        <f>8*B16</f>
        <v>8</v>
      </c>
      <c r="D16" s="5">
        <f>1*B16</f>
        <v>1</v>
      </c>
      <c r="E16" s="5">
        <f>D16*8</f>
        <v>8</v>
      </c>
      <c r="F16" s="5"/>
      <c r="G16" s="5"/>
      <c r="H16" s="5"/>
      <c r="I16" s="5"/>
      <c r="J16" s="5"/>
      <c r="K16" s="5"/>
      <c r="L16" s="6"/>
      <c r="M16" t="s">
        <v>47</v>
      </c>
    </row>
    <row r="17" spans="1:13" x14ac:dyDescent="0.25">
      <c r="A17" s="12" t="s">
        <v>3</v>
      </c>
      <c r="B17" s="33">
        <v>0.11</v>
      </c>
      <c r="C17" s="33">
        <v>1.84</v>
      </c>
      <c r="D17" s="33">
        <v>0.56000000000000005</v>
      </c>
      <c r="E17" s="33">
        <v>1.84</v>
      </c>
      <c r="F17" s="33"/>
      <c r="G17" s="33"/>
      <c r="H17" s="33"/>
      <c r="I17" s="33"/>
      <c r="J17" s="33"/>
      <c r="K17" s="33"/>
      <c r="L17" s="34"/>
    </row>
    <row r="18" spans="1:13" x14ac:dyDescent="0.25">
      <c r="A18" s="12" t="s">
        <v>4</v>
      </c>
      <c r="B18" s="31">
        <v>6402.57</v>
      </c>
      <c r="C18" s="31">
        <v>206.61</v>
      </c>
      <c r="D18" s="31">
        <v>1109.5899999999999</v>
      </c>
      <c r="E18" s="31">
        <v>206.61</v>
      </c>
      <c r="F18" s="31"/>
      <c r="G18" s="31"/>
      <c r="H18" s="31"/>
      <c r="I18" s="31"/>
      <c r="J18" s="31"/>
      <c r="K18" s="31"/>
      <c r="L18" s="32"/>
    </row>
    <row r="19" spans="1:13" x14ac:dyDescent="0.25">
      <c r="A19" s="12" t="s">
        <v>5</v>
      </c>
      <c r="B19" s="7">
        <f>4*B4+2*B5</f>
        <v>22000</v>
      </c>
      <c r="C19" s="9">
        <f>4*B6+3*B7+0.0625*B8</f>
        <v>459.7</v>
      </c>
      <c r="D19" s="9">
        <f>30*B9+15*B7</f>
        <v>2673</v>
      </c>
      <c r="E19" s="9">
        <f>4*B6+3*B7+0.0625*B8</f>
        <v>459.7</v>
      </c>
      <c r="F19" s="9"/>
      <c r="G19" s="9"/>
      <c r="H19" s="9"/>
      <c r="I19" s="9"/>
      <c r="J19" s="9"/>
      <c r="K19" s="9"/>
      <c r="L19" s="10"/>
    </row>
    <row r="20" spans="1:13" ht="14.25" customHeight="1" x14ac:dyDescent="0.25">
      <c r="A20" s="11" t="s">
        <v>40</v>
      </c>
      <c r="B20" s="17">
        <f>SUMPRODUCT(B19:L19,B16:L16)</f>
        <v>32028.199999999997</v>
      </c>
    </row>
    <row r="21" spans="1:13" ht="14.25" customHeight="1" x14ac:dyDescent="0.25">
      <c r="A21" s="13" t="s">
        <v>43</v>
      </c>
      <c r="B21" s="18">
        <f>SUMPRODUCT(B18:L18,B16:L16)</f>
        <v>10817.919999999998</v>
      </c>
      <c r="D21" s="66"/>
      <c r="E21" s="66"/>
    </row>
    <row r="22" spans="1:13" ht="14.25" customHeight="1" x14ac:dyDescent="0.25"/>
    <row r="23" spans="1:13" ht="14.25" customHeight="1" x14ac:dyDescent="0.25"/>
    <row r="24" spans="1:13" x14ac:dyDescent="0.25">
      <c r="A24" s="19" t="s">
        <v>20</v>
      </c>
      <c r="B24" s="48">
        <f>1/B17</f>
        <v>9.0909090909090917</v>
      </c>
      <c r="C24" s="20">
        <f>8/C17</f>
        <v>4.3478260869565215</v>
      </c>
      <c r="D24" s="20">
        <f>D16/D17</f>
        <v>1.7857142857142856</v>
      </c>
      <c r="E24" s="20">
        <f>E16/E17</f>
        <v>4.3478260869565215</v>
      </c>
      <c r="F24" s="20"/>
      <c r="G24" s="20"/>
      <c r="H24" s="20"/>
      <c r="I24" s="20"/>
      <c r="J24" s="20"/>
      <c r="K24" s="20"/>
      <c r="L24" s="21"/>
      <c r="M24" t="s">
        <v>23</v>
      </c>
    </row>
    <row r="25" spans="1:13" x14ac:dyDescent="0.25">
      <c r="A25" s="23" t="s">
        <v>24</v>
      </c>
      <c r="B25" s="49">
        <f>B24/$B$27</f>
        <v>0.46447890371438882</v>
      </c>
      <c r="C25" s="44">
        <f t="shared" ref="C25:L25" si="0">C24/$B$27</f>
        <v>0.22214208438514246</v>
      </c>
      <c r="D25" s="44">
        <f t="shared" si="0"/>
        <v>9.123692751532636E-2</v>
      </c>
      <c r="E25" s="44">
        <f t="shared" si="0"/>
        <v>0.22214208438514246</v>
      </c>
      <c r="F25" s="44">
        <f t="shared" si="0"/>
        <v>0</v>
      </c>
      <c r="G25" s="44">
        <f t="shared" si="0"/>
        <v>0</v>
      </c>
      <c r="H25" s="44">
        <f t="shared" si="0"/>
        <v>0</v>
      </c>
      <c r="I25" s="44">
        <f t="shared" si="0"/>
        <v>0</v>
      </c>
      <c r="J25" s="44">
        <f t="shared" si="0"/>
        <v>0</v>
      </c>
      <c r="K25" s="44">
        <f t="shared" si="0"/>
        <v>0</v>
      </c>
      <c r="L25" s="45">
        <f t="shared" si="0"/>
        <v>0</v>
      </c>
    </row>
    <row r="26" spans="1:13" x14ac:dyDescent="0.25">
      <c r="A26" s="47" t="s">
        <v>57</v>
      </c>
      <c r="B26" s="50">
        <f>B25*$B$41</f>
        <v>0</v>
      </c>
      <c r="C26" s="51">
        <f t="shared" ref="C26:L26" si="1">C25*$B$41</f>
        <v>0</v>
      </c>
      <c r="D26" s="51">
        <f t="shared" si="1"/>
        <v>0</v>
      </c>
      <c r="E26" s="51">
        <f t="shared" si="1"/>
        <v>0</v>
      </c>
      <c r="F26" s="51">
        <f t="shared" si="1"/>
        <v>0</v>
      </c>
      <c r="G26" s="51">
        <f t="shared" si="1"/>
        <v>0</v>
      </c>
      <c r="H26" s="51">
        <f t="shared" si="1"/>
        <v>0</v>
      </c>
      <c r="I26" s="51">
        <f t="shared" si="1"/>
        <v>0</v>
      </c>
      <c r="J26" s="51">
        <f t="shared" si="1"/>
        <v>0</v>
      </c>
      <c r="K26" s="51">
        <f t="shared" si="1"/>
        <v>0</v>
      </c>
      <c r="L26" s="52">
        <f t="shared" si="1"/>
        <v>0</v>
      </c>
    </row>
    <row r="27" spans="1:13" x14ac:dyDescent="0.25">
      <c r="A27" s="13" t="s">
        <v>22</v>
      </c>
      <c r="B27" s="46">
        <f>SUM(B24:L24)</f>
        <v>19.572275550536418</v>
      </c>
    </row>
    <row r="28" spans="1:13" x14ac:dyDescent="0.25">
      <c r="A28" s="14" t="s">
        <v>44</v>
      </c>
      <c r="B28" s="24">
        <f>B25</f>
        <v>0.46447890371438882</v>
      </c>
    </row>
    <row r="31" spans="1:13" x14ac:dyDescent="0.25">
      <c r="A31" s="19" t="s">
        <v>18</v>
      </c>
      <c r="B31" s="3">
        <v>93</v>
      </c>
    </row>
    <row r="32" spans="1:13" x14ac:dyDescent="0.25">
      <c r="A32" s="23" t="s">
        <v>17</v>
      </c>
      <c r="B32" s="8">
        <v>54000</v>
      </c>
    </row>
    <row r="33" spans="1:2" x14ac:dyDescent="0.25">
      <c r="A33" s="23" t="s">
        <v>41</v>
      </c>
      <c r="B33" s="43">
        <v>7.0000000000000007E-2</v>
      </c>
    </row>
    <row r="34" spans="1:2" x14ac:dyDescent="0.25">
      <c r="A34" s="22" t="s">
        <v>42</v>
      </c>
      <c r="B34" s="25">
        <v>0.35</v>
      </c>
    </row>
    <row r="35" spans="1:2" x14ac:dyDescent="0.25">
      <c r="A35" s="19" t="s">
        <v>49</v>
      </c>
      <c r="B35" s="17">
        <f>B32-B37</f>
        <v>8266.524222100059</v>
      </c>
    </row>
    <row r="36" spans="1:2" x14ac:dyDescent="0.25">
      <c r="A36" s="23" t="s">
        <v>74</v>
      </c>
      <c r="B36" s="67">
        <f>B31*B28*B17*24</f>
        <v>114.03886043995675</v>
      </c>
    </row>
    <row r="37" spans="1:2" x14ac:dyDescent="0.25">
      <c r="A37" s="23" t="s">
        <v>48</v>
      </c>
      <c r="B37" s="64">
        <f>B20+B21*(1+B31/170*(1-B34))/(1+B33)</f>
        <v>45733.475777899941</v>
      </c>
    </row>
    <row r="38" spans="1:2" x14ac:dyDescent="0.25">
      <c r="A38" s="22" t="s">
        <v>55</v>
      </c>
      <c r="B38" s="35">
        <f>B37-B20-B21</f>
        <v>2887.3557778999457</v>
      </c>
    </row>
    <row r="39" spans="1:2" x14ac:dyDescent="0.25">
      <c r="A39" s="22" t="s">
        <v>25</v>
      </c>
      <c r="B39" s="27">
        <f>(B32-B20-(B31*(1-B34)/170+1)*B21/(1+B33))*B31*B28*B17*24</f>
        <v>942705.00208759098</v>
      </c>
    </row>
    <row r="41" spans="1:2" ht="16.5" customHeight="1" x14ac:dyDescent="0.25"/>
    <row r="42" spans="1:2" x14ac:dyDescent="0.25">
      <c r="A42" s="19" t="s">
        <v>56</v>
      </c>
      <c r="B42" s="42">
        <f>((B32-B20)*(1+B33)/B21-1)*170/2/(1-B34)</f>
        <v>153.42235703493697</v>
      </c>
    </row>
    <row r="43" spans="1:2" x14ac:dyDescent="0.25">
      <c r="A43" s="22" t="s">
        <v>45</v>
      </c>
      <c r="B43" s="27">
        <f>(B32-B20-((B42*(1-B34)/170+1)*B21/(1+B33)))*B42*B28*B17*24</f>
        <v>1115762.2005848682</v>
      </c>
    </row>
  </sheetData>
  <sheetProtection selectLockedCell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0"/>
  <sheetViews>
    <sheetView topLeftCell="A34" workbookViewId="0">
      <selection activeCell="G52" sqref="G52"/>
    </sheetView>
  </sheetViews>
  <sheetFormatPr baseColWidth="10" defaultRowHeight="15" x14ac:dyDescent="0.25"/>
  <cols>
    <col min="1" max="1" width="40.28515625" customWidth="1"/>
    <col min="2" max="2" width="22.140625" customWidth="1"/>
    <col min="3" max="3" width="13.5703125" customWidth="1"/>
    <col min="4" max="4" width="13.42578125" customWidth="1"/>
    <col min="5" max="5" width="17.85546875" customWidth="1"/>
    <col min="6" max="6" width="16.42578125" customWidth="1"/>
  </cols>
  <sheetData>
    <row r="2" spans="1:13" x14ac:dyDescent="0.25">
      <c r="A2" s="19" t="s">
        <v>6</v>
      </c>
      <c r="B2" s="28" t="s">
        <v>7</v>
      </c>
      <c r="E2" s="40" t="s">
        <v>50</v>
      </c>
    </row>
    <row r="3" spans="1:13" x14ac:dyDescent="0.25">
      <c r="A3" s="23" t="s">
        <v>15</v>
      </c>
      <c r="B3" s="26" t="s">
        <v>16</v>
      </c>
      <c r="E3" s="37" t="s">
        <v>53</v>
      </c>
      <c r="F3" s="37"/>
    </row>
    <row r="4" spans="1:13" x14ac:dyDescent="0.25">
      <c r="A4" s="1" t="s">
        <v>8</v>
      </c>
      <c r="B4" s="30">
        <v>2840</v>
      </c>
      <c r="E4" s="38" t="s">
        <v>54</v>
      </c>
      <c r="F4" s="38"/>
    </row>
    <row r="5" spans="1:13" x14ac:dyDescent="0.25">
      <c r="A5" s="4" t="s">
        <v>9</v>
      </c>
      <c r="B5" s="8">
        <v>9475</v>
      </c>
      <c r="E5" s="39" t="s">
        <v>51</v>
      </c>
      <c r="F5" s="39"/>
    </row>
    <row r="6" spans="1:13" x14ac:dyDescent="0.25">
      <c r="A6" s="4" t="s">
        <v>10</v>
      </c>
      <c r="B6" s="8">
        <v>5150</v>
      </c>
      <c r="E6" s="36" t="s">
        <v>52</v>
      </c>
      <c r="F6" s="36"/>
    </row>
    <row r="7" spans="1:13" x14ac:dyDescent="0.25">
      <c r="A7" s="4" t="s">
        <v>11</v>
      </c>
      <c r="B7" s="8">
        <v>440</v>
      </c>
    </row>
    <row r="8" spans="1:13" x14ac:dyDescent="0.25">
      <c r="A8" s="4" t="s">
        <v>46</v>
      </c>
      <c r="B8" s="8">
        <v>1480</v>
      </c>
    </row>
    <row r="9" spans="1:13" x14ac:dyDescent="0.25">
      <c r="A9" s="4" t="s">
        <v>12</v>
      </c>
      <c r="B9" s="8">
        <v>10.6</v>
      </c>
    </row>
    <row r="10" spans="1:13" x14ac:dyDescent="0.25">
      <c r="A10" s="4" t="s">
        <v>13</v>
      </c>
      <c r="B10" s="8">
        <v>820</v>
      </c>
    </row>
    <row r="11" spans="1:13" x14ac:dyDescent="0.25">
      <c r="A11" s="29" t="s">
        <v>14</v>
      </c>
      <c r="B11" s="10">
        <v>18.7</v>
      </c>
    </row>
    <row r="14" spans="1:13" x14ac:dyDescent="0.25">
      <c r="A14" t="s">
        <v>0</v>
      </c>
      <c r="B14" s="14" t="s">
        <v>21</v>
      </c>
      <c r="C14" s="15" t="s">
        <v>30</v>
      </c>
      <c r="D14" s="15" t="s">
        <v>31</v>
      </c>
      <c r="E14" s="15" t="s">
        <v>32</v>
      </c>
      <c r="F14" s="15" t="s">
        <v>33</v>
      </c>
      <c r="G14" s="15" t="s">
        <v>34</v>
      </c>
      <c r="H14" s="15" t="s">
        <v>35</v>
      </c>
      <c r="I14" s="15" t="s">
        <v>36</v>
      </c>
      <c r="J14" s="15" t="s">
        <v>37</v>
      </c>
      <c r="K14" s="15" t="s">
        <v>38</v>
      </c>
      <c r="L14" s="16" t="s">
        <v>39</v>
      </c>
    </row>
    <row r="15" spans="1:13" x14ac:dyDescent="0.25">
      <c r="A15" s="11" t="s">
        <v>1</v>
      </c>
      <c r="B15" s="2" t="s">
        <v>75</v>
      </c>
      <c r="C15" s="2" t="s">
        <v>26</v>
      </c>
      <c r="D15" s="2" t="s">
        <v>27</v>
      </c>
      <c r="E15" s="2" t="s">
        <v>28</v>
      </c>
      <c r="F15" s="2" t="s">
        <v>29</v>
      </c>
      <c r="G15" s="2"/>
      <c r="H15" s="2"/>
      <c r="I15" s="2"/>
      <c r="J15" s="2"/>
      <c r="K15" s="2"/>
      <c r="L15" s="3"/>
    </row>
    <row r="16" spans="1:13" x14ac:dyDescent="0.25">
      <c r="A16" s="12" t="s">
        <v>19</v>
      </c>
      <c r="B16" s="5">
        <v>1</v>
      </c>
      <c r="C16" s="5">
        <f>B16*1</f>
        <v>1</v>
      </c>
      <c r="D16" s="5">
        <v>1</v>
      </c>
      <c r="E16" s="5">
        <f>C16*34</f>
        <v>34</v>
      </c>
      <c r="F16" s="5">
        <f>D16*7</f>
        <v>7</v>
      </c>
      <c r="G16" s="5"/>
      <c r="H16" s="5"/>
      <c r="I16" s="5"/>
      <c r="J16" s="5"/>
      <c r="K16" s="5"/>
      <c r="L16" s="6"/>
      <c r="M16" t="s">
        <v>47</v>
      </c>
    </row>
    <row r="17" spans="1:13" x14ac:dyDescent="0.25">
      <c r="A17" s="12" t="s">
        <v>3</v>
      </c>
      <c r="B17" s="33">
        <f>1/(1/C17+1/D17)</f>
        <v>0.25</v>
      </c>
      <c r="C17" s="33">
        <v>1.5</v>
      </c>
      <c r="D17" s="33">
        <v>0.3</v>
      </c>
      <c r="E17" s="33">
        <v>0.28000000000000003</v>
      </c>
      <c r="F17" s="33">
        <v>0.28000000000000003</v>
      </c>
      <c r="G17" s="33"/>
      <c r="H17" s="33"/>
      <c r="I17" s="33"/>
      <c r="J17" s="33"/>
      <c r="K17" s="33"/>
      <c r="L17" s="34"/>
    </row>
    <row r="18" spans="1:13" x14ac:dyDescent="0.25">
      <c r="A18" s="12" t="s">
        <v>4</v>
      </c>
      <c r="B18" s="31">
        <v>0</v>
      </c>
      <c r="C18" s="31">
        <v>390</v>
      </c>
      <c r="D18" s="31">
        <v>1950</v>
      </c>
      <c r="E18" s="31">
        <v>2220</v>
      </c>
      <c r="F18" s="31">
        <v>2220</v>
      </c>
      <c r="G18" s="31"/>
      <c r="H18" s="31"/>
      <c r="I18" s="31"/>
      <c r="J18" s="31"/>
      <c r="K18" s="31"/>
      <c r="L18" s="32"/>
    </row>
    <row r="19" spans="1:13" x14ac:dyDescent="0.25">
      <c r="A19" s="12" t="s">
        <v>5</v>
      </c>
      <c r="B19" s="7">
        <v>12000</v>
      </c>
      <c r="C19" s="9">
        <f>40*B4+16*B5</f>
        <v>265200</v>
      </c>
      <c r="D19" s="9">
        <f>2*B6+10*B7+4*B8+6*B5</f>
        <v>77470</v>
      </c>
      <c r="E19" s="9">
        <f>20*B9+8*B10+10*B11</f>
        <v>6959</v>
      </c>
      <c r="F19" s="9">
        <f>20*B9+8*B10+10*B11</f>
        <v>6959</v>
      </c>
      <c r="G19" s="9"/>
      <c r="H19" s="9"/>
      <c r="I19" s="9"/>
      <c r="J19" s="9"/>
      <c r="K19" s="9"/>
      <c r="L19" s="10"/>
    </row>
    <row r="20" spans="1:13" ht="14.25" customHeight="1" x14ac:dyDescent="0.25">
      <c r="A20" s="11" t="s">
        <v>40</v>
      </c>
      <c r="B20" s="17">
        <f>SUMPRODUCT(B19:L19,B16:L16)</f>
        <v>639989</v>
      </c>
    </row>
    <row r="21" spans="1:13" ht="14.25" customHeight="1" x14ac:dyDescent="0.25">
      <c r="A21" s="13" t="s">
        <v>43</v>
      </c>
      <c r="B21" s="18">
        <f>SUMPRODUCT(B18:L18,B16:L16)</f>
        <v>93360</v>
      </c>
    </row>
    <row r="22" spans="1:13" ht="14.25" customHeight="1" x14ac:dyDescent="0.25"/>
    <row r="23" spans="1:13" ht="14.25" customHeight="1" x14ac:dyDescent="0.25"/>
    <row r="24" spans="1:13" x14ac:dyDescent="0.25">
      <c r="A24" s="19" t="s">
        <v>20</v>
      </c>
      <c r="B24" s="48">
        <v>0</v>
      </c>
      <c r="C24" s="20">
        <f>1/C17*C16</f>
        <v>0.66666666666666663</v>
      </c>
      <c r="D24" s="20">
        <f>1/D17*D16</f>
        <v>3.3333333333333335</v>
      </c>
      <c r="E24" s="20">
        <f>1/E17*E16</f>
        <v>121.42857142857142</v>
      </c>
      <c r="F24" s="20">
        <f>1/F17*F16</f>
        <v>25</v>
      </c>
      <c r="G24" s="20"/>
      <c r="H24" s="20"/>
      <c r="I24" s="20"/>
      <c r="J24" s="20"/>
      <c r="K24" s="20"/>
      <c r="L24" s="21"/>
      <c r="M24" t="s">
        <v>23</v>
      </c>
    </row>
    <row r="25" spans="1:13" x14ac:dyDescent="0.25">
      <c r="A25" s="23" t="s">
        <v>24</v>
      </c>
      <c r="B25" s="49">
        <f>B24/$B$27</f>
        <v>0</v>
      </c>
      <c r="C25" s="44">
        <f t="shared" ref="C25:L25" si="0">C24/$B$27</f>
        <v>4.4317822095599878E-3</v>
      </c>
      <c r="D25" s="44">
        <f t="shared" si="0"/>
        <v>2.2158911047799941E-2</v>
      </c>
      <c r="E25" s="44">
        <f t="shared" si="0"/>
        <v>0.80721747388414056</v>
      </c>
      <c r="F25" s="44">
        <f t="shared" si="0"/>
        <v>0.16619183285849953</v>
      </c>
      <c r="G25" s="44">
        <f t="shared" si="0"/>
        <v>0</v>
      </c>
      <c r="H25" s="44">
        <f t="shared" si="0"/>
        <v>0</v>
      </c>
      <c r="I25" s="44">
        <f t="shared" si="0"/>
        <v>0</v>
      </c>
      <c r="J25" s="44">
        <f t="shared" si="0"/>
        <v>0</v>
      </c>
      <c r="K25" s="44">
        <f t="shared" si="0"/>
        <v>0</v>
      </c>
      <c r="L25" s="45">
        <f t="shared" si="0"/>
        <v>0</v>
      </c>
    </row>
    <row r="26" spans="1:13" x14ac:dyDescent="0.25">
      <c r="A26" s="47" t="s">
        <v>57</v>
      </c>
      <c r="B26" s="50">
        <f>B25*$B$42</f>
        <v>0</v>
      </c>
      <c r="C26" s="51">
        <f t="shared" ref="C26:L26" si="1">C25*$B$42</f>
        <v>0.61611445236032358</v>
      </c>
      <c r="D26" s="51">
        <f t="shared" si="1"/>
        <v>3.0805722618016178</v>
      </c>
      <c r="E26" s="51">
        <f t="shared" si="1"/>
        <v>112.22084667991606</v>
      </c>
      <c r="F26" s="51">
        <f t="shared" si="1"/>
        <v>23.104291963512132</v>
      </c>
      <c r="G26" s="51">
        <f t="shared" si="1"/>
        <v>0</v>
      </c>
      <c r="H26" s="51">
        <f t="shared" si="1"/>
        <v>0</v>
      </c>
      <c r="I26" s="51">
        <f t="shared" si="1"/>
        <v>0</v>
      </c>
      <c r="J26" s="51">
        <f t="shared" si="1"/>
        <v>0</v>
      </c>
      <c r="K26" s="51">
        <f t="shared" si="1"/>
        <v>0</v>
      </c>
      <c r="L26" s="52">
        <f t="shared" si="1"/>
        <v>0</v>
      </c>
    </row>
    <row r="27" spans="1:13" x14ac:dyDescent="0.25">
      <c r="A27" s="13" t="s">
        <v>22</v>
      </c>
      <c r="B27" s="46">
        <f>SUM(B24:L24)</f>
        <v>150.42857142857142</v>
      </c>
    </row>
    <row r="28" spans="1:13" x14ac:dyDescent="0.25">
      <c r="A28" s="14" t="s">
        <v>44</v>
      </c>
      <c r="B28" s="24">
        <f>C25+D25</f>
        <v>2.6590693257359931E-2</v>
      </c>
    </row>
    <row r="31" spans="1:13" x14ac:dyDescent="0.25">
      <c r="A31" s="19" t="s">
        <v>18</v>
      </c>
      <c r="B31" s="3">
        <v>155</v>
      </c>
      <c r="E31" s="65"/>
    </row>
    <row r="32" spans="1:13" x14ac:dyDescent="0.25">
      <c r="A32" s="23" t="s">
        <v>17</v>
      </c>
      <c r="B32" s="8">
        <v>820000</v>
      </c>
    </row>
    <row r="33" spans="1:2" x14ac:dyDescent="0.25">
      <c r="A33" s="23" t="s">
        <v>41</v>
      </c>
      <c r="B33" s="43">
        <v>7.0000000000000007E-2</v>
      </c>
    </row>
    <row r="34" spans="1:2" x14ac:dyDescent="0.25">
      <c r="A34" s="22" t="s">
        <v>42</v>
      </c>
      <c r="B34" s="25">
        <v>0.35</v>
      </c>
    </row>
    <row r="35" spans="1:2" x14ac:dyDescent="0.25">
      <c r="A35" s="19" t="s">
        <v>49</v>
      </c>
      <c r="B35" s="17">
        <f>B32-B37</f>
        <v>41048.822979659075</v>
      </c>
    </row>
    <row r="36" spans="1:2" x14ac:dyDescent="0.25">
      <c r="A36" s="23" t="s">
        <v>74</v>
      </c>
      <c r="B36" s="67">
        <f>B31*B28*B17*24</f>
        <v>24.729344729344735</v>
      </c>
    </row>
    <row r="37" spans="1:2" x14ac:dyDescent="0.25">
      <c r="A37" s="23" t="s">
        <v>48</v>
      </c>
      <c r="B37" s="64">
        <f>B20+B21*(1+B31/170*(1-B34))/(1+B33)</f>
        <v>778951.17702034093</v>
      </c>
    </row>
    <row r="38" spans="1:2" x14ac:dyDescent="0.25">
      <c r="A38" s="22" t="s">
        <v>55</v>
      </c>
      <c r="B38" s="35">
        <f>B37-B20-B21</f>
        <v>45602.177020340925</v>
      </c>
    </row>
    <row r="39" spans="1:2" x14ac:dyDescent="0.25">
      <c r="A39" s="22" t="s">
        <v>25</v>
      </c>
      <c r="B39" s="27">
        <f>(B32-B20-(B31*(1-B34)/170+1)*B21/(1+B33))*B31*B28*B17*24</f>
        <v>1015110.4941978385</v>
      </c>
    </row>
    <row r="42" spans="1:2" ht="16.5" customHeight="1" x14ac:dyDescent="0.25">
      <c r="A42" s="19" t="s">
        <v>56</v>
      </c>
      <c r="B42" s="42">
        <f>((B32-B20)*(1+B33)/B21-1)*170/2/(1-B34)</f>
        <v>139.02182535759013</v>
      </c>
    </row>
    <row r="43" spans="1:2" x14ac:dyDescent="0.25">
      <c r="A43" s="22" t="s">
        <v>45</v>
      </c>
      <c r="B43" s="27">
        <f>(B32-B20-((B42*(1-B34)/170+1)*B21/(1+B33)))*B42*B28*B17*24</f>
        <v>1028699.1575216546</v>
      </c>
    </row>
    <row r="49" spans="1:1" x14ac:dyDescent="0.25">
      <c r="A49" t="s">
        <v>76</v>
      </c>
    </row>
    <row r="50" spans="1:1" x14ac:dyDescent="0.25">
      <c r="A50" t="s">
        <v>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3"/>
  <sheetViews>
    <sheetView topLeftCell="A16" workbookViewId="0">
      <selection activeCell="A48" sqref="A48"/>
    </sheetView>
  </sheetViews>
  <sheetFormatPr baseColWidth="10" defaultRowHeight="15" x14ac:dyDescent="0.25"/>
  <cols>
    <col min="1" max="1" width="40.28515625" customWidth="1"/>
    <col min="2" max="2" width="22.140625" customWidth="1"/>
    <col min="3" max="3" width="13.5703125" customWidth="1"/>
    <col min="4" max="4" width="13.42578125" customWidth="1"/>
    <col min="5" max="5" width="17.85546875" customWidth="1"/>
    <col min="6" max="6" width="16.42578125" customWidth="1"/>
  </cols>
  <sheetData>
    <row r="2" spans="1:13" x14ac:dyDescent="0.25">
      <c r="A2" s="19" t="s">
        <v>6</v>
      </c>
      <c r="B2" s="28" t="s">
        <v>7</v>
      </c>
      <c r="E2" s="40" t="s">
        <v>50</v>
      </c>
    </row>
    <row r="3" spans="1:13" x14ac:dyDescent="0.25">
      <c r="A3" s="23" t="s">
        <v>15</v>
      </c>
      <c r="B3" s="26" t="s">
        <v>16</v>
      </c>
      <c r="E3" s="37" t="s">
        <v>53</v>
      </c>
      <c r="F3" s="37"/>
    </row>
    <row r="4" spans="1:13" x14ac:dyDescent="0.25">
      <c r="A4" s="1" t="s">
        <v>8</v>
      </c>
      <c r="B4" s="30">
        <v>2840</v>
      </c>
      <c r="E4" s="38" t="s">
        <v>54</v>
      </c>
      <c r="F4" s="38"/>
    </row>
    <row r="5" spans="1:13" x14ac:dyDescent="0.25">
      <c r="A5" s="4" t="s">
        <v>9</v>
      </c>
      <c r="B5" s="8">
        <v>9475</v>
      </c>
      <c r="E5" s="39" t="s">
        <v>51</v>
      </c>
      <c r="F5" s="39"/>
    </row>
    <row r="6" spans="1:13" x14ac:dyDescent="0.25">
      <c r="A6" s="4" t="s">
        <v>10</v>
      </c>
      <c r="B6" s="8">
        <v>5150</v>
      </c>
      <c r="E6" s="36" t="s">
        <v>52</v>
      </c>
      <c r="F6" s="36"/>
    </row>
    <row r="7" spans="1:13" x14ac:dyDescent="0.25">
      <c r="A7" s="4" t="s">
        <v>11</v>
      </c>
      <c r="B7" s="8">
        <v>440</v>
      </c>
    </row>
    <row r="8" spans="1:13" x14ac:dyDescent="0.25">
      <c r="A8" s="4" t="s">
        <v>46</v>
      </c>
      <c r="B8" s="8">
        <v>1480</v>
      </c>
    </row>
    <row r="9" spans="1:13" x14ac:dyDescent="0.25">
      <c r="A9" s="4" t="s">
        <v>12</v>
      </c>
      <c r="B9" s="8">
        <v>10.6</v>
      </c>
    </row>
    <row r="10" spans="1:13" x14ac:dyDescent="0.25">
      <c r="A10" s="4" t="s">
        <v>13</v>
      </c>
      <c r="B10" s="8">
        <v>820</v>
      </c>
    </row>
    <row r="11" spans="1:13" x14ac:dyDescent="0.25">
      <c r="A11" s="29" t="s">
        <v>14</v>
      </c>
      <c r="B11" s="10">
        <v>18.7</v>
      </c>
    </row>
    <row r="14" spans="1:13" x14ac:dyDescent="0.25">
      <c r="A14" t="s">
        <v>0</v>
      </c>
      <c r="B14" s="14" t="s">
        <v>21</v>
      </c>
      <c r="C14" s="15" t="s">
        <v>30</v>
      </c>
      <c r="D14" s="15" t="s">
        <v>31</v>
      </c>
      <c r="E14" s="15" t="s">
        <v>32</v>
      </c>
      <c r="F14" s="15" t="s">
        <v>33</v>
      </c>
      <c r="G14" s="15" t="s">
        <v>34</v>
      </c>
      <c r="H14" s="15" t="s">
        <v>35</v>
      </c>
      <c r="I14" s="15" t="s">
        <v>36</v>
      </c>
      <c r="J14" s="15" t="s">
        <v>37</v>
      </c>
      <c r="K14" s="15" t="s">
        <v>38</v>
      </c>
      <c r="L14" s="16" t="s">
        <v>39</v>
      </c>
    </row>
    <row r="15" spans="1:13" x14ac:dyDescent="0.25">
      <c r="A15" s="11" t="s">
        <v>1</v>
      </c>
      <c r="B15" s="2" t="s">
        <v>2</v>
      </c>
      <c r="C15" s="2" t="s">
        <v>26</v>
      </c>
      <c r="D15" s="2" t="s">
        <v>27</v>
      </c>
      <c r="E15" s="2" t="s">
        <v>28</v>
      </c>
      <c r="F15" s="2" t="s">
        <v>29</v>
      </c>
      <c r="G15" s="2"/>
      <c r="H15" s="2"/>
      <c r="I15" s="2"/>
      <c r="J15" s="2"/>
      <c r="K15" s="2"/>
      <c r="L15" s="3"/>
    </row>
    <row r="16" spans="1:13" x14ac:dyDescent="0.25">
      <c r="A16" s="12" t="s">
        <v>19</v>
      </c>
      <c r="B16" s="5">
        <v>1</v>
      </c>
      <c r="C16" s="5">
        <f>B16*1</f>
        <v>1</v>
      </c>
      <c r="D16" s="5">
        <v>1</v>
      </c>
      <c r="E16" s="5">
        <f>C16*34</f>
        <v>34</v>
      </c>
      <c r="F16" s="5">
        <f>D16*7</f>
        <v>7</v>
      </c>
      <c r="G16" s="5"/>
      <c r="H16" s="5"/>
      <c r="I16" s="5"/>
      <c r="J16" s="5"/>
      <c r="K16" s="5"/>
      <c r="L16" s="6"/>
      <c r="M16" t="s">
        <v>47</v>
      </c>
    </row>
    <row r="17" spans="1:13" x14ac:dyDescent="0.25">
      <c r="A17" s="12" t="s">
        <v>3</v>
      </c>
      <c r="B17" s="33">
        <v>0.21</v>
      </c>
      <c r="C17" s="33">
        <v>1.5</v>
      </c>
      <c r="D17" s="33">
        <v>0.3</v>
      </c>
      <c r="E17" s="33">
        <v>0.28000000000000003</v>
      </c>
      <c r="F17" s="33">
        <v>0.28000000000000003</v>
      </c>
      <c r="G17" s="33"/>
      <c r="H17" s="33"/>
      <c r="I17" s="33"/>
      <c r="J17" s="33"/>
      <c r="K17" s="33"/>
      <c r="L17" s="34"/>
    </row>
    <row r="18" spans="1:13" x14ac:dyDescent="0.25">
      <c r="A18" s="12" t="s">
        <v>4</v>
      </c>
      <c r="B18" s="31">
        <v>3600</v>
      </c>
      <c r="C18" s="31">
        <v>390</v>
      </c>
      <c r="D18" s="31">
        <v>1950</v>
      </c>
      <c r="E18" s="31">
        <v>2220</v>
      </c>
      <c r="F18" s="31">
        <v>2220</v>
      </c>
      <c r="G18" s="31"/>
      <c r="H18" s="31"/>
      <c r="I18" s="31"/>
      <c r="J18" s="31"/>
      <c r="K18" s="31"/>
      <c r="L18" s="32"/>
    </row>
    <row r="19" spans="1:13" x14ac:dyDescent="0.25">
      <c r="A19" s="12" t="s">
        <v>5</v>
      </c>
      <c r="B19" s="7">
        <v>0</v>
      </c>
      <c r="C19" s="9">
        <f>40*B4+16*B5</f>
        <v>265200</v>
      </c>
      <c r="D19" s="9">
        <f>2*B6+10*B7+4*B8+6*B5</f>
        <v>77470</v>
      </c>
      <c r="E19" s="9">
        <f>20*B9+8*B10+10*B11</f>
        <v>6959</v>
      </c>
      <c r="F19" s="9">
        <f>20*B9+8*B10+10*B11</f>
        <v>6959</v>
      </c>
      <c r="G19" s="9"/>
      <c r="H19" s="9"/>
      <c r="I19" s="9"/>
      <c r="J19" s="9"/>
      <c r="K19" s="9"/>
      <c r="L19" s="10"/>
    </row>
    <row r="20" spans="1:13" ht="14.25" customHeight="1" x14ac:dyDescent="0.25">
      <c r="A20" s="11" t="s">
        <v>40</v>
      </c>
      <c r="B20" s="17">
        <f>SUMPRODUCT(B19:L19,B16:L16)</f>
        <v>627989</v>
      </c>
    </row>
    <row r="21" spans="1:13" ht="14.25" customHeight="1" x14ac:dyDescent="0.25">
      <c r="A21" s="13" t="s">
        <v>43</v>
      </c>
      <c r="B21" s="18">
        <f>SUMPRODUCT(B18:L18,B16:L16)</f>
        <v>96960</v>
      </c>
    </row>
    <row r="22" spans="1:13" ht="14.25" customHeight="1" x14ac:dyDescent="0.25"/>
    <row r="23" spans="1:13" ht="14.25" customHeight="1" x14ac:dyDescent="0.25"/>
    <row r="24" spans="1:13" x14ac:dyDescent="0.25">
      <c r="A24" s="19" t="s">
        <v>20</v>
      </c>
      <c r="B24" s="48">
        <f>B16/B17</f>
        <v>4.7619047619047619</v>
      </c>
      <c r="C24" s="20">
        <f>1/C17*C16</f>
        <v>0.66666666666666663</v>
      </c>
      <c r="D24" s="20">
        <f>1/D17*D16</f>
        <v>3.3333333333333335</v>
      </c>
      <c r="E24" s="20">
        <f>1/E17*E16</f>
        <v>121.42857142857142</v>
      </c>
      <c r="F24" s="20">
        <f>1/F17*F16</f>
        <v>25</v>
      </c>
      <c r="G24" s="20"/>
      <c r="H24" s="20"/>
      <c r="I24" s="20"/>
      <c r="J24" s="20"/>
      <c r="K24" s="20"/>
      <c r="L24" s="21"/>
      <c r="M24" t="s">
        <v>23</v>
      </c>
    </row>
    <row r="25" spans="1:13" x14ac:dyDescent="0.25">
      <c r="A25" s="23" t="s">
        <v>24</v>
      </c>
      <c r="B25" s="49">
        <f>B24/$B$27</f>
        <v>3.0684258975145751E-2</v>
      </c>
      <c r="C25" s="44">
        <f t="shared" ref="C25:L25" si="0">C24/$B$27</f>
        <v>4.2957962565204049E-3</v>
      </c>
      <c r="D25" s="44">
        <f t="shared" si="0"/>
        <v>2.147898128260203E-2</v>
      </c>
      <c r="E25" s="44">
        <f t="shared" si="0"/>
        <v>0.78244860386621662</v>
      </c>
      <c r="F25" s="44">
        <f t="shared" si="0"/>
        <v>0.16109235961951521</v>
      </c>
      <c r="G25" s="44">
        <f t="shared" si="0"/>
        <v>0</v>
      </c>
      <c r="H25" s="44">
        <f t="shared" si="0"/>
        <v>0</v>
      </c>
      <c r="I25" s="44">
        <f t="shared" si="0"/>
        <v>0</v>
      </c>
      <c r="J25" s="44">
        <f t="shared" si="0"/>
        <v>0</v>
      </c>
      <c r="K25" s="44">
        <f t="shared" si="0"/>
        <v>0</v>
      </c>
      <c r="L25" s="45">
        <f t="shared" si="0"/>
        <v>0</v>
      </c>
    </row>
    <row r="26" spans="1:13" x14ac:dyDescent="0.25">
      <c r="A26" s="47" t="s">
        <v>57</v>
      </c>
      <c r="B26" s="50">
        <f>B25*$B$42</f>
        <v>3.6041737457020431</v>
      </c>
      <c r="C26" s="51">
        <f t="shared" ref="C26:L26" si="1">C25*$B$42</f>
        <v>0.50458432439828593</v>
      </c>
      <c r="D26" s="51">
        <f t="shared" si="1"/>
        <v>2.5229216219914306</v>
      </c>
      <c r="E26" s="51">
        <f t="shared" si="1"/>
        <v>91.906430515402093</v>
      </c>
      <c r="F26" s="51">
        <f t="shared" si="1"/>
        <v>18.921912164935726</v>
      </c>
      <c r="G26" s="51">
        <f t="shared" si="1"/>
        <v>0</v>
      </c>
      <c r="H26" s="51">
        <f t="shared" si="1"/>
        <v>0</v>
      </c>
      <c r="I26" s="51">
        <f t="shared" si="1"/>
        <v>0</v>
      </c>
      <c r="J26" s="51">
        <f t="shared" si="1"/>
        <v>0</v>
      </c>
      <c r="K26" s="51">
        <f t="shared" si="1"/>
        <v>0</v>
      </c>
      <c r="L26" s="52">
        <f t="shared" si="1"/>
        <v>0</v>
      </c>
    </row>
    <row r="27" spans="1:13" x14ac:dyDescent="0.25">
      <c r="A27" s="13" t="s">
        <v>22</v>
      </c>
      <c r="B27" s="46">
        <f>SUM(B24:L24)</f>
        <v>155.19047619047618</v>
      </c>
    </row>
    <row r="28" spans="1:13" x14ac:dyDescent="0.25">
      <c r="A28" s="14" t="s">
        <v>44</v>
      </c>
      <c r="B28" s="24">
        <f>B25</f>
        <v>3.0684258975145751E-2</v>
      </c>
    </row>
    <row r="31" spans="1:13" x14ac:dyDescent="0.25">
      <c r="A31" s="19" t="s">
        <v>18</v>
      </c>
      <c r="B31" s="3">
        <v>155.19</v>
      </c>
      <c r="E31" s="65"/>
    </row>
    <row r="32" spans="1:13" x14ac:dyDescent="0.25">
      <c r="A32" s="23" t="s">
        <v>17</v>
      </c>
      <c r="B32" s="8">
        <v>800000</v>
      </c>
    </row>
    <row r="33" spans="1:2" x14ac:dyDescent="0.25">
      <c r="A33" s="23" t="s">
        <v>41</v>
      </c>
      <c r="B33" s="43">
        <v>7.0000000000000007E-2</v>
      </c>
    </row>
    <row r="34" spans="1:2" x14ac:dyDescent="0.25">
      <c r="A34" s="22" t="s">
        <v>42</v>
      </c>
      <c r="B34" s="25">
        <v>0.35</v>
      </c>
    </row>
    <row r="35" spans="1:2" x14ac:dyDescent="0.25">
      <c r="A35" s="19" t="s">
        <v>49</v>
      </c>
      <c r="B35" s="17">
        <f>B32-B37</f>
        <v>27624.553820780711</v>
      </c>
    </row>
    <row r="36" spans="1:2" x14ac:dyDescent="0.25">
      <c r="A36" s="23" t="s">
        <v>74</v>
      </c>
      <c r="B36" s="67">
        <f>B31*B28*B17*24</f>
        <v>23.999926357778456</v>
      </c>
    </row>
    <row r="37" spans="1:2" x14ac:dyDescent="0.25">
      <c r="A37" s="23" t="s">
        <v>48</v>
      </c>
      <c r="B37" s="64">
        <f>B20+B21*(1+B31/170*(1-B34))/(1+B33)</f>
        <v>772375.44617921929</v>
      </c>
    </row>
    <row r="38" spans="1:2" x14ac:dyDescent="0.25">
      <c r="A38" s="22" t="s">
        <v>55</v>
      </c>
      <c r="B38" s="35">
        <f>B37-B20-B21</f>
        <v>47426.446179219289</v>
      </c>
    </row>
    <row r="39" spans="1:2" x14ac:dyDescent="0.25">
      <c r="A39" s="22" t="s">
        <v>25</v>
      </c>
      <c r="B39" s="27">
        <f>(B32-B20-(B31*(1-B34)/170+1)*B21/(1+B33))*B31*B28*B17*24</f>
        <v>662987.25736522325</v>
      </c>
    </row>
    <row r="42" spans="1:2" ht="16.5" customHeight="1" x14ac:dyDescent="0.25">
      <c r="A42" s="19" t="s">
        <v>56</v>
      </c>
      <c r="B42" s="42">
        <f>((B32-B20)*(1+B33)/B21-1)*170/2/(1-B34)</f>
        <v>117.46002237242958</v>
      </c>
    </row>
    <row r="43" spans="1:2" x14ac:dyDescent="0.25">
      <c r="A43" s="22" t="s">
        <v>45</v>
      </c>
      <c r="B43" s="27">
        <f>(B32-B20-((B42*(1-B34)/170+1)*B21/(1+B33)))*B42*B28*B17*24</f>
        <v>739264.06978487538</v>
      </c>
    </row>
  </sheetData>
  <sheetProtection selectLockedCells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1"/>
  <sheetViews>
    <sheetView topLeftCell="A19" zoomScaleNormal="100" workbookViewId="0">
      <selection activeCell="A52" sqref="A52"/>
    </sheetView>
  </sheetViews>
  <sheetFormatPr baseColWidth="10" defaultRowHeight="15" x14ac:dyDescent="0.25"/>
  <cols>
    <col min="1" max="1" width="40.28515625" customWidth="1"/>
    <col min="2" max="2" width="22.140625" customWidth="1"/>
    <col min="3" max="3" width="12.7109375" customWidth="1"/>
    <col min="4" max="4" width="18.140625" customWidth="1"/>
    <col min="5" max="5" width="14.5703125" customWidth="1"/>
    <col min="6" max="6" width="14.28515625" customWidth="1"/>
    <col min="7" max="7" width="13.42578125" customWidth="1"/>
    <col min="8" max="8" width="17" customWidth="1"/>
    <col min="9" max="10" width="13.28515625" customWidth="1"/>
  </cols>
  <sheetData>
    <row r="2" spans="1:13" x14ac:dyDescent="0.25">
      <c r="A2" s="19" t="s">
        <v>6</v>
      </c>
      <c r="B2" s="28" t="s">
        <v>7</v>
      </c>
      <c r="E2" s="40" t="s">
        <v>50</v>
      </c>
    </row>
    <row r="3" spans="1:13" x14ac:dyDescent="0.25">
      <c r="A3" s="23" t="s">
        <v>15</v>
      </c>
      <c r="B3" s="26" t="s">
        <v>16</v>
      </c>
      <c r="E3" s="37" t="s">
        <v>53</v>
      </c>
      <c r="F3" s="37"/>
    </row>
    <row r="4" spans="1:13" x14ac:dyDescent="0.25">
      <c r="A4" s="1" t="s">
        <v>80</v>
      </c>
      <c r="B4" s="30">
        <v>61.5</v>
      </c>
      <c r="E4" s="38" t="s">
        <v>54</v>
      </c>
      <c r="F4" s="38"/>
    </row>
    <row r="5" spans="1:13" x14ac:dyDescent="0.25">
      <c r="A5" s="4" t="s">
        <v>70</v>
      </c>
      <c r="B5" s="8">
        <v>18.2</v>
      </c>
      <c r="E5" s="39" t="s">
        <v>51</v>
      </c>
      <c r="F5" s="39"/>
    </row>
    <row r="6" spans="1:13" x14ac:dyDescent="0.25">
      <c r="A6" s="4" t="s">
        <v>83</v>
      </c>
      <c r="B6" s="8">
        <v>32.5</v>
      </c>
      <c r="E6" s="36" t="s">
        <v>52</v>
      </c>
      <c r="F6" s="36"/>
    </row>
    <row r="7" spans="1:13" x14ac:dyDescent="0.25">
      <c r="A7" s="4" t="s">
        <v>12</v>
      </c>
      <c r="B7" s="8">
        <v>10.8</v>
      </c>
    </row>
    <row r="8" spans="1:13" x14ac:dyDescent="0.25">
      <c r="A8" s="4" t="s">
        <v>13</v>
      </c>
      <c r="B8" s="8">
        <v>820</v>
      </c>
    </row>
    <row r="9" spans="1:13" x14ac:dyDescent="0.25">
      <c r="A9" s="4" t="s">
        <v>10</v>
      </c>
      <c r="B9" s="8">
        <v>5000</v>
      </c>
    </row>
    <row r="10" spans="1:13" x14ac:dyDescent="0.25">
      <c r="A10" s="4" t="s">
        <v>84</v>
      </c>
      <c r="B10" s="8">
        <v>436</v>
      </c>
    </row>
    <row r="11" spans="1:13" x14ac:dyDescent="0.25">
      <c r="A11" s="29" t="s">
        <v>59</v>
      </c>
      <c r="B11" s="10">
        <v>1580</v>
      </c>
    </row>
    <row r="14" spans="1:13" x14ac:dyDescent="0.25">
      <c r="A14" t="s">
        <v>0</v>
      </c>
      <c r="B14" s="14" t="s">
        <v>21</v>
      </c>
      <c r="C14" s="15" t="s">
        <v>30</v>
      </c>
      <c r="D14" s="15" t="s">
        <v>31</v>
      </c>
      <c r="E14" s="15" t="s">
        <v>32</v>
      </c>
      <c r="F14" s="15" t="s">
        <v>33</v>
      </c>
      <c r="G14" s="15" t="s">
        <v>34</v>
      </c>
      <c r="H14" s="15" t="s">
        <v>35</v>
      </c>
      <c r="I14" s="15" t="s">
        <v>36</v>
      </c>
      <c r="J14" s="15" t="s">
        <v>37</v>
      </c>
      <c r="K14" s="15" t="s">
        <v>38</v>
      </c>
      <c r="L14" s="16" t="s">
        <v>39</v>
      </c>
    </row>
    <row r="15" spans="1:13" x14ac:dyDescent="0.25">
      <c r="A15" s="11" t="s">
        <v>1</v>
      </c>
      <c r="B15" s="2" t="s">
        <v>2</v>
      </c>
      <c r="C15" s="2" t="s">
        <v>26</v>
      </c>
      <c r="D15" s="2" t="s">
        <v>77</v>
      </c>
      <c r="E15" s="2" t="s">
        <v>78</v>
      </c>
      <c r="F15" s="2" t="s">
        <v>28</v>
      </c>
      <c r="G15" s="2" t="s">
        <v>27</v>
      </c>
      <c r="H15" s="2" t="s">
        <v>79</v>
      </c>
      <c r="I15" s="2" t="s">
        <v>29</v>
      </c>
      <c r="J15" s="2"/>
      <c r="K15" s="2"/>
      <c r="L15" s="3"/>
    </row>
    <row r="16" spans="1:13" x14ac:dyDescent="0.25">
      <c r="A16" s="12" t="s">
        <v>19</v>
      </c>
      <c r="B16" s="5">
        <v>1</v>
      </c>
      <c r="C16" s="5">
        <f>B16*1</f>
        <v>1</v>
      </c>
      <c r="D16" s="5">
        <v>40</v>
      </c>
      <c r="E16" s="5">
        <v>16</v>
      </c>
      <c r="F16" s="5">
        <f>C16*34</f>
        <v>34</v>
      </c>
      <c r="G16" s="5">
        <v>1</v>
      </c>
      <c r="H16" s="5">
        <v>6</v>
      </c>
      <c r="I16" s="5">
        <f>G16*7</f>
        <v>7</v>
      </c>
      <c r="J16" s="5"/>
      <c r="K16" s="5"/>
      <c r="L16" s="6"/>
      <c r="M16" t="s">
        <v>47</v>
      </c>
    </row>
    <row r="17" spans="1:13" x14ac:dyDescent="0.25">
      <c r="A17" s="12" t="s">
        <v>3</v>
      </c>
      <c r="B17" s="33">
        <v>0.21</v>
      </c>
      <c r="C17" s="33">
        <v>1.5</v>
      </c>
      <c r="D17" s="33">
        <v>1.5</v>
      </c>
      <c r="E17" s="33">
        <v>4.51</v>
      </c>
      <c r="F17" s="33">
        <v>0.28000000000000003</v>
      </c>
      <c r="G17" s="33">
        <v>0.3</v>
      </c>
      <c r="H17" s="33">
        <v>4.51</v>
      </c>
      <c r="I17" s="33">
        <v>0.28000000000000003</v>
      </c>
      <c r="J17" s="33"/>
      <c r="K17" s="33"/>
      <c r="L17" s="34"/>
    </row>
    <row r="18" spans="1:13" x14ac:dyDescent="0.25">
      <c r="A18" s="12" t="s">
        <v>4</v>
      </c>
      <c r="B18" s="31">
        <v>3600</v>
      </c>
      <c r="C18" s="31">
        <v>390</v>
      </c>
      <c r="D18" s="31">
        <v>390.55</v>
      </c>
      <c r="E18" s="31">
        <v>130.18</v>
      </c>
      <c r="F18" s="31">
        <v>2220</v>
      </c>
      <c r="G18" s="31">
        <v>1950</v>
      </c>
      <c r="H18" s="31">
        <v>130.18</v>
      </c>
      <c r="I18" s="31">
        <v>2220</v>
      </c>
      <c r="J18" s="31"/>
      <c r="K18" s="31"/>
      <c r="L18" s="32"/>
    </row>
    <row r="19" spans="1:13" x14ac:dyDescent="0.25">
      <c r="A19" s="12" t="s">
        <v>5</v>
      </c>
      <c r="B19" s="7">
        <v>0</v>
      </c>
      <c r="C19" s="9">
        <v>0</v>
      </c>
      <c r="D19" s="9">
        <f>40*B4</f>
        <v>2460</v>
      </c>
      <c r="E19" s="9">
        <f>50*B5+250*B6</f>
        <v>9035</v>
      </c>
      <c r="F19" s="9">
        <f>20*B7+8*B8+10*B5</f>
        <v>6958</v>
      </c>
      <c r="G19" s="9">
        <f>2*B9+10*B10+4*B11</f>
        <v>20680</v>
      </c>
      <c r="H19" s="9">
        <f>50*B5+250*B6</f>
        <v>9035</v>
      </c>
      <c r="I19" s="9">
        <f>20*B7+8*B8+10*B5</f>
        <v>6958</v>
      </c>
      <c r="J19" s="9"/>
      <c r="K19" s="9"/>
      <c r="L19" s="10"/>
    </row>
    <row r="20" spans="1:13" ht="14.25" customHeight="1" x14ac:dyDescent="0.25">
      <c r="A20" s="11" t="s">
        <v>40</v>
      </c>
      <c r="B20" s="17">
        <f>SUMPRODUCT(B19:L19,B16:L16)</f>
        <v>603128</v>
      </c>
      <c r="D20" s="66">
        <f>D18*$B$31/200+D19</f>
        <v>2763.0472725</v>
      </c>
      <c r="E20" s="66">
        <f t="shared" ref="E20:L20" si="0">E18*$B$31/200+E19</f>
        <v>9136.0131710000005</v>
      </c>
      <c r="F20" s="66">
        <f t="shared" si="0"/>
        <v>8680.6090000000004</v>
      </c>
      <c r="G20" s="66"/>
      <c r="H20" s="66">
        <f t="shared" si="0"/>
        <v>9136.0131710000005</v>
      </c>
      <c r="I20" s="66">
        <f t="shared" si="0"/>
        <v>8680.6090000000004</v>
      </c>
      <c r="J20" s="66">
        <f t="shared" si="0"/>
        <v>0</v>
      </c>
      <c r="K20" s="66">
        <f t="shared" si="0"/>
        <v>0</v>
      </c>
      <c r="L20" s="66">
        <f t="shared" si="0"/>
        <v>0</v>
      </c>
    </row>
    <row r="21" spans="1:13" ht="14.25" customHeight="1" x14ac:dyDescent="0.25">
      <c r="A21" s="13" t="s">
        <v>43</v>
      </c>
      <c r="B21" s="18">
        <f>SUMPRODUCT(B18:L18,B16:L16)</f>
        <v>115445.96</v>
      </c>
      <c r="D21" s="66"/>
    </row>
    <row r="22" spans="1:13" ht="14.25" customHeight="1" x14ac:dyDescent="0.25"/>
    <row r="23" spans="1:13" ht="14.25" customHeight="1" x14ac:dyDescent="0.25"/>
    <row r="24" spans="1:13" x14ac:dyDescent="0.25">
      <c r="A24" s="19" t="s">
        <v>20</v>
      </c>
      <c r="B24" s="48">
        <f t="shared" ref="B24:I24" si="1">B16/B17</f>
        <v>4.7619047619047619</v>
      </c>
      <c r="C24" s="20">
        <f t="shared" si="1"/>
        <v>0.66666666666666663</v>
      </c>
      <c r="D24" s="20">
        <f t="shared" si="1"/>
        <v>26.666666666666668</v>
      </c>
      <c r="E24" s="20">
        <f t="shared" si="1"/>
        <v>3.5476718403547673</v>
      </c>
      <c r="F24" s="20">
        <f t="shared" si="1"/>
        <v>121.42857142857142</v>
      </c>
      <c r="G24" s="20">
        <f t="shared" si="1"/>
        <v>3.3333333333333335</v>
      </c>
      <c r="H24" s="20">
        <f t="shared" si="1"/>
        <v>1.3303769401330379</v>
      </c>
      <c r="I24" s="20">
        <f t="shared" si="1"/>
        <v>24.999999999999996</v>
      </c>
      <c r="J24" s="20"/>
      <c r="K24" s="20"/>
      <c r="L24" s="21"/>
      <c r="M24" t="s">
        <v>23</v>
      </c>
    </row>
    <row r="25" spans="1:13" x14ac:dyDescent="0.25">
      <c r="A25" s="23" t="s">
        <v>24</v>
      </c>
      <c r="B25" s="49">
        <f>B24/$B$27</f>
        <v>2.5500842771755017E-2</v>
      </c>
      <c r="C25" s="44">
        <f t="shared" ref="C25:L25" si="2">C24/$B$27</f>
        <v>3.5701179880457024E-3</v>
      </c>
      <c r="D25" s="44">
        <f t="shared" si="2"/>
        <v>0.14280471952182811</v>
      </c>
      <c r="E25" s="44">
        <f t="shared" si="2"/>
        <v>1.8998410579400635E-2</v>
      </c>
      <c r="F25" s="44">
        <f t="shared" si="2"/>
        <v>0.65027149067975287</v>
      </c>
      <c r="G25" s="44">
        <f t="shared" si="2"/>
        <v>1.7850589940228513E-2</v>
      </c>
      <c r="H25" s="44">
        <f t="shared" si="2"/>
        <v>7.1244039672752387E-3</v>
      </c>
      <c r="I25" s="44">
        <f t="shared" si="2"/>
        <v>0.13387942455171381</v>
      </c>
      <c r="J25" s="44">
        <f t="shared" si="2"/>
        <v>0</v>
      </c>
      <c r="K25" s="44">
        <f t="shared" si="2"/>
        <v>0</v>
      </c>
      <c r="L25" s="45">
        <f t="shared" si="2"/>
        <v>0</v>
      </c>
    </row>
    <row r="26" spans="1:13" x14ac:dyDescent="0.25">
      <c r="A26" s="47" t="s">
        <v>57</v>
      </c>
      <c r="B26" s="50">
        <f>B25*$B$42</f>
        <v>2.7501134412382089</v>
      </c>
      <c r="C26" s="51">
        <f t="shared" ref="C26:L26" si="3">C25*$B$42</f>
        <v>0.38501588177334922</v>
      </c>
      <c r="D26" s="51">
        <f t="shared" si="3"/>
        <v>15.40063527093397</v>
      </c>
      <c r="E26" s="51">
        <f t="shared" si="3"/>
        <v>2.0488650027850071</v>
      </c>
      <c r="F26" s="51">
        <f t="shared" si="3"/>
        <v>70.127892751574322</v>
      </c>
      <c r="G26" s="51">
        <f t="shared" si="3"/>
        <v>1.9250794088667462</v>
      </c>
      <c r="H26" s="51">
        <f t="shared" si="3"/>
        <v>0.76832437604437775</v>
      </c>
      <c r="I26" s="51">
        <f t="shared" si="3"/>
        <v>14.438095566500593</v>
      </c>
      <c r="J26" s="51">
        <f t="shared" si="3"/>
        <v>0</v>
      </c>
      <c r="K26" s="51">
        <f t="shared" si="3"/>
        <v>0</v>
      </c>
      <c r="L26" s="52">
        <f t="shared" si="3"/>
        <v>0</v>
      </c>
    </row>
    <row r="27" spans="1:13" x14ac:dyDescent="0.25">
      <c r="A27" s="13" t="s">
        <v>22</v>
      </c>
      <c r="B27" s="46">
        <f>SUM(B24:L24)</f>
        <v>186.73519163763066</v>
      </c>
    </row>
    <row r="28" spans="1:13" x14ac:dyDescent="0.25">
      <c r="A28" s="14" t="s">
        <v>44</v>
      </c>
      <c r="B28" s="24">
        <f>B25</f>
        <v>2.5500842771755017E-2</v>
      </c>
    </row>
    <row r="31" spans="1:13" x14ac:dyDescent="0.25">
      <c r="A31" s="19" t="s">
        <v>18</v>
      </c>
      <c r="B31" s="3">
        <v>155.19</v>
      </c>
      <c r="E31" s="65"/>
    </row>
    <row r="32" spans="1:13" x14ac:dyDescent="0.25">
      <c r="A32" s="23" t="s">
        <v>17</v>
      </c>
      <c r="B32" s="8">
        <v>800000</v>
      </c>
    </row>
    <row r="33" spans="1:2" x14ac:dyDescent="0.25">
      <c r="A33" s="23" t="s">
        <v>41</v>
      </c>
      <c r="B33" s="43">
        <v>7.0000000000000007E-2</v>
      </c>
    </row>
    <row r="34" spans="1:2" x14ac:dyDescent="0.25">
      <c r="A34" s="22" t="s">
        <v>42</v>
      </c>
      <c r="B34" s="25">
        <v>0.35</v>
      </c>
    </row>
    <row r="35" spans="1:2" x14ac:dyDescent="0.25">
      <c r="A35" s="19" t="s">
        <v>49</v>
      </c>
      <c r="B35" s="17">
        <f>B32-B37</f>
        <v>24957.479680813616</v>
      </c>
    </row>
    <row r="36" spans="1:2" x14ac:dyDescent="0.25">
      <c r="A36" s="23" t="s">
        <v>74</v>
      </c>
      <c r="B36" s="67">
        <f>B31*B28*B17*24</f>
        <v>19.945677980333251</v>
      </c>
    </row>
    <row r="37" spans="1:2" x14ac:dyDescent="0.25">
      <c r="A37" s="23" t="s">
        <v>48</v>
      </c>
      <c r="B37" s="64">
        <f>B20+B21*(1+B31/170*(1-B34))/(1+B33)</f>
        <v>775042.52031918638</v>
      </c>
    </row>
    <row r="38" spans="1:2" x14ac:dyDescent="0.25">
      <c r="A38" s="22" t="s">
        <v>55</v>
      </c>
      <c r="B38" s="35">
        <f>B37-B20-B21</f>
        <v>56468.560319186377</v>
      </c>
    </row>
    <row r="39" spans="1:2" x14ac:dyDescent="0.25">
      <c r="A39" s="22" t="s">
        <v>25</v>
      </c>
      <c r="B39" s="27">
        <f>(B32-B20-(B31*(1-B34)/170+1)*B21/(1+B33))*B31*B28*B17*24</f>
        <v>497793.85291421867</v>
      </c>
    </row>
    <row r="42" spans="1:2" ht="16.5" customHeight="1" x14ac:dyDescent="0.25">
      <c r="A42" s="19" t="s">
        <v>56</v>
      </c>
      <c r="B42" s="42">
        <f>((B32-B20)*(1+B33)/B21-1)*170/2/(1-B34)</f>
        <v>107.84402169971658</v>
      </c>
    </row>
    <row r="43" spans="1:2" x14ac:dyDescent="0.25">
      <c r="A43" s="22" t="s">
        <v>45</v>
      </c>
      <c r="B43" s="27">
        <f>(B32-B20-((B42*(1-B34)/170+1)*B21/(1+B33)))*B42*B28*B17*24</f>
        <v>616646.99199138768</v>
      </c>
    </row>
    <row r="49" spans="1:1" x14ac:dyDescent="0.25">
      <c r="A49" t="s">
        <v>81</v>
      </c>
    </row>
    <row r="50" spans="1:1" x14ac:dyDescent="0.25">
      <c r="A50" t="s">
        <v>82</v>
      </c>
    </row>
    <row r="51" spans="1:1" x14ac:dyDescent="0.25">
      <c r="A51" t="s">
        <v>86</v>
      </c>
    </row>
  </sheetData>
  <sheetProtection selectLockedCells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3"/>
  <sheetViews>
    <sheetView topLeftCell="A19" workbookViewId="0">
      <selection activeCell="B50" sqref="B50"/>
    </sheetView>
  </sheetViews>
  <sheetFormatPr baseColWidth="10" defaultRowHeight="15" x14ac:dyDescent="0.25"/>
  <cols>
    <col min="1" max="1" width="40.28515625" customWidth="1"/>
    <col min="2" max="2" width="22.140625" customWidth="1"/>
    <col min="3" max="3" width="13.5703125" customWidth="1"/>
    <col min="4" max="4" width="13.42578125" customWidth="1"/>
    <col min="5" max="5" width="17.85546875" customWidth="1"/>
    <col min="6" max="6" width="16.42578125" customWidth="1"/>
  </cols>
  <sheetData>
    <row r="2" spans="1:13" x14ac:dyDescent="0.25">
      <c r="A2" s="19" t="s">
        <v>6</v>
      </c>
      <c r="B2" s="28" t="s">
        <v>7</v>
      </c>
      <c r="E2" s="40" t="s">
        <v>50</v>
      </c>
    </row>
    <row r="3" spans="1:13" x14ac:dyDescent="0.25">
      <c r="A3" s="23" t="s">
        <v>15</v>
      </c>
      <c r="B3" s="26" t="s">
        <v>16</v>
      </c>
      <c r="E3" s="37" t="s">
        <v>53</v>
      </c>
      <c r="F3" s="37"/>
    </row>
    <row r="4" spans="1:13" x14ac:dyDescent="0.25">
      <c r="A4" s="1" t="s">
        <v>12</v>
      </c>
      <c r="B4" s="30">
        <v>10.9</v>
      </c>
      <c r="E4" s="38" t="s">
        <v>54</v>
      </c>
      <c r="F4" s="38"/>
    </row>
    <row r="5" spans="1:13" x14ac:dyDescent="0.25">
      <c r="A5" s="4" t="s">
        <v>70</v>
      </c>
      <c r="B5" s="8">
        <v>18</v>
      </c>
      <c r="E5" s="39" t="s">
        <v>51</v>
      </c>
      <c r="F5" s="39"/>
    </row>
    <row r="6" spans="1:13" x14ac:dyDescent="0.25">
      <c r="A6" s="4" t="s">
        <v>61</v>
      </c>
      <c r="B6" s="8">
        <v>7.4</v>
      </c>
      <c r="E6" s="36" t="s">
        <v>52</v>
      </c>
      <c r="F6" s="36"/>
    </row>
    <row r="7" spans="1:13" x14ac:dyDescent="0.25">
      <c r="A7" s="4" t="s">
        <v>62</v>
      </c>
      <c r="B7" s="8">
        <v>14.4</v>
      </c>
    </row>
    <row r="8" spans="1:13" x14ac:dyDescent="0.25">
      <c r="A8" s="4" t="s">
        <v>63</v>
      </c>
      <c r="B8" s="8">
        <v>6100</v>
      </c>
    </row>
    <row r="9" spans="1:13" x14ac:dyDescent="0.25">
      <c r="A9" s="4"/>
      <c r="B9" s="8"/>
    </row>
    <row r="10" spans="1:13" x14ac:dyDescent="0.25">
      <c r="A10" s="4"/>
      <c r="B10" s="8"/>
    </row>
    <row r="11" spans="1:13" x14ac:dyDescent="0.25">
      <c r="A11" s="29"/>
      <c r="B11" s="10"/>
    </row>
    <row r="14" spans="1:13" x14ac:dyDescent="0.25">
      <c r="A14" t="s">
        <v>0</v>
      </c>
      <c r="B14" s="14" t="s">
        <v>21</v>
      </c>
      <c r="C14" s="15" t="s">
        <v>30</v>
      </c>
      <c r="D14" s="15" t="s">
        <v>31</v>
      </c>
      <c r="E14" s="15" t="s">
        <v>32</v>
      </c>
      <c r="F14" s="15" t="s">
        <v>33</v>
      </c>
      <c r="G14" s="15" t="s">
        <v>34</v>
      </c>
      <c r="H14" s="15" t="s">
        <v>35</v>
      </c>
      <c r="I14" s="15" t="s">
        <v>36</v>
      </c>
      <c r="J14" s="15" t="s">
        <v>37</v>
      </c>
      <c r="K14" s="15" t="s">
        <v>38</v>
      </c>
      <c r="L14" s="16" t="s">
        <v>39</v>
      </c>
    </row>
    <row r="15" spans="1:13" x14ac:dyDescent="0.25">
      <c r="A15" s="11" t="s">
        <v>1</v>
      </c>
      <c r="B15" s="2" t="s">
        <v>69</v>
      </c>
      <c r="C15" s="2" t="s">
        <v>13</v>
      </c>
      <c r="D15" s="2"/>
      <c r="E15" s="2"/>
      <c r="F15" s="2"/>
      <c r="G15" s="2"/>
      <c r="H15" s="2"/>
      <c r="I15" s="2"/>
      <c r="J15" s="2"/>
      <c r="K15" s="2"/>
      <c r="L15" s="3"/>
    </row>
    <row r="16" spans="1:13" x14ac:dyDescent="0.25">
      <c r="A16" s="12" t="s">
        <v>19</v>
      </c>
      <c r="B16" s="5">
        <v>1</v>
      </c>
      <c r="C16" s="5">
        <v>8</v>
      </c>
      <c r="D16" s="5"/>
      <c r="E16" s="5"/>
      <c r="F16" s="5"/>
      <c r="G16" s="5"/>
      <c r="H16" s="5"/>
      <c r="I16" s="5"/>
      <c r="J16" s="5"/>
      <c r="K16" s="5"/>
      <c r="L16" s="6"/>
      <c r="M16" t="s">
        <v>47</v>
      </c>
    </row>
    <row r="17" spans="1:13" x14ac:dyDescent="0.25">
      <c r="A17" s="12" t="s">
        <v>3</v>
      </c>
      <c r="B17" s="33">
        <v>0.28000000000000003</v>
      </c>
      <c r="C17" s="33">
        <v>1.84</v>
      </c>
      <c r="D17" s="33"/>
      <c r="E17" s="33"/>
      <c r="F17" s="33"/>
      <c r="G17" s="33"/>
      <c r="H17" s="33"/>
      <c r="I17" s="33"/>
      <c r="J17" s="33"/>
      <c r="K17" s="33"/>
      <c r="L17" s="34"/>
    </row>
    <row r="18" spans="1:13" x14ac:dyDescent="0.25">
      <c r="A18" s="12" t="s">
        <v>4</v>
      </c>
      <c r="B18" s="31">
        <v>2219.19</v>
      </c>
      <c r="C18" s="31">
        <v>206.61</v>
      </c>
      <c r="D18" s="31"/>
      <c r="E18" s="31"/>
      <c r="F18" s="31"/>
      <c r="G18" s="31"/>
      <c r="H18" s="31"/>
      <c r="I18" s="31"/>
      <c r="J18" s="31"/>
      <c r="K18" s="31"/>
      <c r="L18" s="32"/>
    </row>
    <row r="19" spans="1:13" x14ac:dyDescent="0.25">
      <c r="A19" s="12" t="s">
        <v>5</v>
      </c>
      <c r="B19" s="9">
        <f>20*B4+10*B5</f>
        <v>398</v>
      </c>
      <c r="C19" s="9">
        <f>4*B6+3*B7+0.0625*B8</f>
        <v>454.05</v>
      </c>
      <c r="D19" s="9"/>
      <c r="E19" s="9"/>
      <c r="F19" s="9"/>
      <c r="G19" s="9"/>
      <c r="H19" s="9"/>
      <c r="I19" s="9"/>
      <c r="J19" s="9"/>
      <c r="K19" s="9"/>
      <c r="L19" s="10"/>
    </row>
    <row r="20" spans="1:13" ht="14.25" customHeight="1" x14ac:dyDescent="0.25">
      <c r="A20" s="11" t="s">
        <v>40</v>
      </c>
      <c r="B20" s="17">
        <f>SUMPRODUCT(B19:L19,B16:L16)</f>
        <v>4030.4</v>
      </c>
    </row>
    <row r="21" spans="1:13" ht="14.25" customHeight="1" x14ac:dyDescent="0.25">
      <c r="A21" s="13" t="s">
        <v>43</v>
      </c>
      <c r="B21" s="18">
        <f>SUMPRODUCT(B18:L18,B16:L16)</f>
        <v>3872.07</v>
      </c>
      <c r="D21" s="66"/>
      <c r="E21" s="66"/>
    </row>
    <row r="22" spans="1:13" ht="14.25" customHeight="1" x14ac:dyDescent="0.25"/>
    <row r="23" spans="1:13" ht="14.25" customHeight="1" x14ac:dyDescent="0.25"/>
    <row r="24" spans="1:13" x14ac:dyDescent="0.25">
      <c r="A24" s="19" t="s">
        <v>20</v>
      </c>
      <c r="B24" s="48">
        <f>1/B17</f>
        <v>3.5714285714285712</v>
      </c>
      <c r="C24" s="20">
        <f>8/C17</f>
        <v>4.3478260869565215</v>
      </c>
      <c r="D24" s="20"/>
      <c r="E24" s="20"/>
      <c r="F24" s="20"/>
      <c r="G24" s="20"/>
      <c r="H24" s="20"/>
      <c r="I24" s="20"/>
      <c r="J24" s="20"/>
      <c r="K24" s="20"/>
      <c r="L24" s="21"/>
      <c r="M24" t="s">
        <v>23</v>
      </c>
    </row>
    <row r="25" spans="1:13" x14ac:dyDescent="0.25">
      <c r="A25" s="23" t="s">
        <v>24</v>
      </c>
      <c r="B25" s="49">
        <f>B24/$B$27</f>
        <v>0.45098039215686275</v>
      </c>
      <c r="C25" s="44">
        <f t="shared" ref="C25:L25" si="0">C24/$B$27</f>
        <v>0.5490196078431373</v>
      </c>
      <c r="D25" s="44">
        <f t="shared" si="0"/>
        <v>0</v>
      </c>
      <c r="E25" s="44">
        <f t="shared" si="0"/>
        <v>0</v>
      </c>
      <c r="F25" s="44">
        <f t="shared" si="0"/>
        <v>0</v>
      </c>
      <c r="G25" s="44">
        <f t="shared" si="0"/>
        <v>0</v>
      </c>
      <c r="H25" s="44">
        <f t="shared" si="0"/>
        <v>0</v>
      </c>
      <c r="I25" s="44">
        <f t="shared" si="0"/>
        <v>0</v>
      </c>
      <c r="J25" s="44">
        <f t="shared" si="0"/>
        <v>0</v>
      </c>
      <c r="K25" s="44">
        <f t="shared" si="0"/>
        <v>0</v>
      </c>
      <c r="L25" s="45">
        <f t="shared" si="0"/>
        <v>0</v>
      </c>
    </row>
    <row r="26" spans="1:13" x14ac:dyDescent="0.25">
      <c r="A26" s="47" t="s">
        <v>57</v>
      </c>
      <c r="B26" s="50">
        <f>B25*$B$41</f>
        <v>0</v>
      </c>
      <c r="C26" s="51">
        <f t="shared" ref="C26:L26" si="1">C25*$B$41</f>
        <v>0</v>
      </c>
      <c r="D26" s="51">
        <f t="shared" si="1"/>
        <v>0</v>
      </c>
      <c r="E26" s="51">
        <f t="shared" si="1"/>
        <v>0</v>
      </c>
      <c r="F26" s="51">
        <f t="shared" si="1"/>
        <v>0</v>
      </c>
      <c r="G26" s="51">
        <f t="shared" si="1"/>
        <v>0</v>
      </c>
      <c r="H26" s="51">
        <f t="shared" si="1"/>
        <v>0</v>
      </c>
      <c r="I26" s="51">
        <f t="shared" si="1"/>
        <v>0</v>
      </c>
      <c r="J26" s="51">
        <f t="shared" si="1"/>
        <v>0</v>
      </c>
      <c r="K26" s="51">
        <f t="shared" si="1"/>
        <v>0</v>
      </c>
      <c r="L26" s="52">
        <f t="shared" si="1"/>
        <v>0</v>
      </c>
    </row>
    <row r="27" spans="1:13" x14ac:dyDescent="0.25">
      <c r="A27" s="13" t="s">
        <v>22</v>
      </c>
      <c r="B27" s="46">
        <f>SUM(B24:L24)</f>
        <v>7.9192546583850927</v>
      </c>
    </row>
    <row r="28" spans="1:13" x14ac:dyDescent="0.25">
      <c r="A28" s="14" t="s">
        <v>44</v>
      </c>
      <c r="B28" s="24">
        <f>B25</f>
        <v>0.45098039215686275</v>
      </c>
    </row>
    <row r="31" spans="1:13" x14ac:dyDescent="0.25">
      <c r="A31" s="19" t="s">
        <v>18</v>
      </c>
      <c r="B31" s="3">
        <v>93</v>
      </c>
    </row>
    <row r="32" spans="1:13" x14ac:dyDescent="0.25">
      <c r="A32" s="23" t="s">
        <v>17</v>
      </c>
      <c r="B32" s="8">
        <v>11000</v>
      </c>
    </row>
    <row r="33" spans="1:2" x14ac:dyDescent="0.25">
      <c r="A33" s="23" t="s">
        <v>41</v>
      </c>
      <c r="B33" s="43">
        <v>7.0000000000000007E-2</v>
      </c>
    </row>
    <row r="34" spans="1:2" x14ac:dyDescent="0.25">
      <c r="A34" s="22" t="s">
        <v>42</v>
      </c>
      <c r="B34" s="25">
        <v>0.35</v>
      </c>
    </row>
    <row r="35" spans="1:2" x14ac:dyDescent="0.25">
      <c r="A35" s="19" t="s">
        <v>49</v>
      </c>
      <c r="B35" s="17">
        <f>B32-B37</f>
        <v>2064.055571742716</v>
      </c>
    </row>
    <row r="36" spans="1:2" x14ac:dyDescent="0.25">
      <c r="A36" s="23" t="s">
        <v>74</v>
      </c>
      <c r="B36" s="67">
        <f>B31*B28*B17*24</f>
        <v>281.84470588235297</v>
      </c>
    </row>
    <row r="37" spans="1:2" x14ac:dyDescent="0.25">
      <c r="A37" s="23" t="s">
        <v>48</v>
      </c>
      <c r="B37" s="64">
        <f>B20+B21*(1+B31/170*(1-B34))/(1+B33)</f>
        <v>8935.944428257284</v>
      </c>
    </row>
    <row r="38" spans="1:2" x14ac:dyDescent="0.25">
      <c r="A38" s="22" t="s">
        <v>55</v>
      </c>
      <c r="B38" s="35">
        <f>B37-B20-B21</f>
        <v>1033.4744282572842</v>
      </c>
    </row>
    <row r="39" spans="1:2" x14ac:dyDescent="0.25">
      <c r="A39" s="22" t="s">
        <v>25</v>
      </c>
      <c r="B39" s="27">
        <f>(B32-B20-(B31*(1-B34)/170+1)*B21/(1+B33))*B31*B28*B17*24</f>
        <v>581743.13554265804</v>
      </c>
    </row>
    <row r="41" spans="1:2" ht="16.5" customHeight="1" x14ac:dyDescent="0.25"/>
    <row r="42" spans="1:2" x14ac:dyDescent="0.25">
      <c r="A42" s="19" t="s">
        <v>56</v>
      </c>
      <c r="B42" s="42">
        <f>((B32-B20)*(1+B33)/B21-1)*170/2/(1-B34)</f>
        <v>121.08775449267745</v>
      </c>
    </row>
    <row r="43" spans="1:2" x14ac:dyDescent="0.25">
      <c r="A43" s="22" t="s">
        <v>45</v>
      </c>
      <c r="B43" s="27">
        <f>(B32-B20-((B42*(1-B34)/170+1)*B21/(1+B33)))*B42*B28*B17*24</f>
        <v>614824.60796923423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3"/>
  <sheetViews>
    <sheetView topLeftCell="A16" workbookViewId="0">
      <selection activeCell="K32" sqref="K32"/>
    </sheetView>
  </sheetViews>
  <sheetFormatPr baseColWidth="10" defaultRowHeight="15" x14ac:dyDescent="0.25"/>
  <cols>
    <col min="1" max="1" width="51.7109375" customWidth="1"/>
    <col min="2" max="2" width="22.140625" customWidth="1"/>
    <col min="3" max="3" width="13.5703125" customWidth="1"/>
    <col min="4" max="4" width="13.42578125" customWidth="1"/>
    <col min="5" max="5" width="17.85546875" customWidth="1"/>
    <col min="6" max="6" width="16.42578125" customWidth="1"/>
  </cols>
  <sheetData>
    <row r="2" spans="1:6" x14ac:dyDescent="0.25">
      <c r="A2" s="19" t="s">
        <v>6</v>
      </c>
      <c r="B2" s="28" t="s">
        <v>7</v>
      </c>
      <c r="E2" s="40" t="s">
        <v>50</v>
      </c>
    </row>
    <row r="3" spans="1:6" x14ac:dyDescent="0.25">
      <c r="A3" s="23" t="s">
        <v>15</v>
      </c>
      <c r="B3" s="26" t="s">
        <v>16</v>
      </c>
      <c r="E3" s="37" t="s">
        <v>53</v>
      </c>
      <c r="F3" s="37"/>
    </row>
    <row r="4" spans="1:6" x14ac:dyDescent="0.25">
      <c r="A4" s="1" t="s">
        <v>12</v>
      </c>
      <c r="B4" s="30">
        <v>10.9</v>
      </c>
      <c r="E4" s="38" t="s">
        <v>54</v>
      </c>
      <c r="F4" s="38"/>
    </row>
    <row r="5" spans="1:6" x14ac:dyDescent="0.25">
      <c r="A5" s="4" t="s">
        <v>13</v>
      </c>
      <c r="B5" s="8">
        <v>890</v>
      </c>
      <c r="E5" s="39" t="s">
        <v>51</v>
      </c>
      <c r="F5" s="39"/>
    </row>
    <row r="6" spans="1:6" x14ac:dyDescent="0.25">
      <c r="A6" s="4" t="s">
        <v>70</v>
      </c>
      <c r="B6" s="8">
        <v>18</v>
      </c>
      <c r="E6" s="36" t="s">
        <v>52</v>
      </c>
      <c r="F6" s="36"/>
    </row>
    <row r="7" spans="1:6" x14ac:dyDescent="0.25">
      <c r="A7" s="4"/>
      <c r="B7" s="8"/>
    </row>
    <row r="8" spans="1:6" x14ac:dyDescent="0.25">
      <c r="A8" s="4"/>
      <c r="B8" s="8"/>
    </row>
    <row r="9" spans="1:6" x14ac:dyDescent="0.25">
      <c r="A9" s="4"/>
      <c r="B9" s="8"/>
    </row>
    <row r="10" spans="1:6" x14ac:dyDescent="0.25">
      <c r="A10" s="4"/>
      <c r="B10" s="8"/>
    </row>
    <row r="11" spans="1:6" x14ac:dyDescent="0.25">
      <c r="A11" s="29"/>
      <c r="B11" s="10"/>
    </row>
    <row r="14" spans="1:6" x14ac:dyDescent="0.25">
      <c r="A14" t="s">
        <v>0</v>
      </c>
      <c r="B14" s="53" t="s">
        <v>21</v>
      </c>
    </row>
    <row r="15" spans="1:6" x14ac:dyDescent="0.25">
      <c r="A15" s="11" t="s">
        <v>1</v>
      </c>
      <c r="B15" s="54" t="s">
        <v>69</v>
      </c>
    </row>
    <row r="16" spans="1:6" x14ac:dyDescent="0.25">
      <c r="A16" s="12" t="s">
        <v>19</v>
      </c>
      <c r="B16" s="55">
        <v>1</v>
      </c>
    </row>
    <row r="17" spans="1:5" x14ac:dyDescent="0.25">
      <c r="A17" s="12" t="s">
        <v>3</v>
      </c>
      <c r="B17" s="56">
        <v>0.28000000000000003</v>
      </c>
    </row>
    <row r="18" spans="1:5" x14ac:dyDescent="0.25">
      <c r="A18" s="12" t="s">
        <v>4</v>
      </c>
      <c r="B18" s="57">
        <v>2219.19</v>
      </c>
    </row>
    <row r="19" spans="1:5" x14ac:dyDescent="0.25">
      <c r="A19" s="12" t="s">
        <v>5</v>
      </c>
      <c r="B19" s="58">
        <f>20*B4+8*B5+10*B6</f>
        <v>7518</v>
      </c>
    </row>
    <row r="20" spans="1:5" ht="14.25" customHeight="1" x14ac:dyDescent="0.25">
      <c r="A20" s="11" t="s">
        <v>40</v>
      </c>
      <c r="B20" s="59">
        <f>SUMPRODUCT(B19:L19,B16:L16)</f>
        <v>7518</v>
      </c>
    </row>
    <row r="21" spans="1:5" ht="14.25" customHeight="1" x14ac:dyDescent="0.25">
      <c r="A21" s="13" t="s">
        <v>43</v>
      </c>
      <c r="B21" s="60">
        <f>SUMPRODUCT(B18:L18,B16:L16)</f>
        <v>2219.19</v>
      </c>
    </row>
    <row r="22" spans="1:5" ht="14.25" customHeight="1" x14ac:dyDescent="0.25"/>
    <row r="23" spans="1:5" ht="14.25" customHeight="1" x14ac:dyDescent="0.25"/>
    <row r="24" spans="1:5" x14ac:dyDescent="0.25">
      <c r="A24" s="19" t="s">
        <v>71</v>
      </c>
      <c r="B24" s="21">
        <f>B16/B17</f>
        <v>3.5714285714285712</v>
      </c>
    </row>
    <row r="25" spans="1:5" x14ac:dyDescent="0.25">
      <c r="A25" s="23" t="s">
        <v>24</v>
      </c>
      <c r="B25" s="45">
        <f>B24/$B$27</f>
        <v>1</v>
      </c>
    </row>
    <row r="26" spans="1:5" x14ac:dyDescent="0.25">
      <c r="A26" s="61" t="s">
        <v>57</v>
      </c>
      <c r="B26" s="62">
        <f>B25*$B$41</f>
        <v>0</v>
      </c>
    </row>
    <row r="27" spans="1:5" x14ac:dyDescent="0.25">
      <c r="A27" s="23" t="s">
        <v>22</v>
      </c>
      <c r="B27" s="41">
        <f>SUM(B24:L24)</f>
        <v>3.5714285714285712</v>
      </c>
    </row>
    <row r="28" spans="1:5" x14ac:dyDescent="0.25">
      <c r="A28" s="22" t="s">
        <v>44</v>
      </c>
      <c r="B28" s="63">
        <f>B25</f>
        <v>1</v>
      </c>
    </row>
    <row r="30" spans="1:5" x14ac:dyDescent="0.25">
      <c r="E30" s="66"/>
    </row>
    <row r="31" spans="1:5" x14ac:dyDescent="0.25">
      <c r="A31" s="19" t="s">
        <v>18</v>
      </c>
      <c r="B31" s="3">
        <v>50</v>
      </c>
    </row>
    <row r="32" spans="1:5" x14ac:dyDescent="0.25">
      <c r="A32" s="23" t="s">
        <v>17</v>
      </c>
      <c r="B32" s="8">
        <v>11200</v>
      </c>
    </row>
    <row r="33" spans="1:2" x14ac:dyDescent="0.25">
      <c r="A33" s="23" t="s">
        <v>41</v>
      </c>
      <c r="B33" s="43">
        <v>0.04</v>
      </c>
    </row>
    <row r="34" spans="1:2" x14ac:dyDescent="0.25">
      <c r="A34" s="22" t="s">
        <v>42</v>
      </c>
      <c r="B34" s="25">
        <v>0.35</v>
      </c>
    </row>
    <row r="35" spans="1:2" x14ac:dyDescent="0.25">
      <c r="A35" s="19" t="s">
        <v>49</v>
      </c>
      <c r="B35" s="17">
        <f>B32-B37</f>
        <v>1140.2241233031673</v>
      </c>
    </row>
    <row r="36" spans="1:2" x14ac:dyDescent="0.25">
      <c r="A36" s="23" t="s">
        <v>74</v>
      </c>
      <c r="B36" s="67">
        <f>B31*B28*B17*24</f>
        <v>336.00000000000006</v>
      </c>
    </row>
    <row r="37" spans="1:2" x14ac:dyDescent="0.25">
      <c r="A37" s="23" t="s">
        <v>48</v>
      </c>
      <c r="B37" s="64">
        <f>B20+B21*(1+B31/170*(1-B34))/(1+B33)</f>
        <v>10059.775876696833</v>
      </c>
    </row>
    <row r="38" spans="1:2" x14ac:dyDescent="0.25">
      <c r="A38" s="22" t="s">
        <v>55</v>
      </c>
      <c r="B38" s="35">
        <f>B37-B20-B21</f>
        <v>322.58587669683266</v>
      </c>
    </row>
    <row r="39" spans="1:2" x14ac:dyDescent="0.25">
      <c r="A39" s="22" t="s">
        <v>25</v>
      </c>
      <c r="B39" s="27">
        <f>(B32-B20-(B31*(1-B34)/170+1)*B21/(1+B33))*B31*B28*B17*24</f>
        <v>383115.30542986427</v>
      </c>
    </row>
    <row r="41" spans="1:2" ht="16.5" customHeight="1" x14ac:dyDescent="0.25"/>
    <row r="42" spans="1:2" x14ac:dyDescent="0.25">
      <c r="A42" s="19" t="s">
        <v>56</v>
      </c>
      <c r="B42" s="42">
        <f>((B32-B20)*(1+B33)/B21-1)*170/2/(1-B34)</f>
        <v>94.877063599435274</v>
      </c>
    </row>
    <row r="43" spans="1:2" x14ac:dyDescent="0.25">
      <c r="A43" s="22" t="s">
        <v>45</v>
      </c>
      <c r="B43" s="27">
        <f>(B32-B20-((B42*(1-B34)/170+1)*B21/(1+B33)))*B42*B28*B17*24</f>
        <v>493534.28276109399</v>
      </c>
    </row>
  </sheetData>
  <sheetProtection selectLockedCells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3"/>
  <sheetViews>
    <sheetView topLeftCell="A19" workbookViewId="0">
      <selection activeCell="D25" sqref="D25"/>
    </sheetView>
  </sheetViews>
  <sheetFormatPr baseColWidth="10" defaultRowHeight="15" x14ac:dyDescent="0.25"/>
  <cols>
    <col min="1" max="1" width="40.28515625" customWidth="1"/>
    <col min="2" max="2" width="22.140625" customWidth="1"/>
    <col min="3" max="3" width="13.5703125" customWidth="1"/>
    <col min="4" max="4" width="13.42578125" customWidth="1"/>
    <col min="5" max="5" width="17.85546875" customWidth="1"/>
    <col min="6" max="6" width="16.42578125" customWidth="1"/>
  </cols>
  <sheetData>
    <row r="2" spans="1:6" x14ac:dyDescent="0.25">
      <c r="A2" s="19" t="s">
        <v>6</v>
      </c>
      <c r="B2" s="28" t="s">
        <v>7</v>
      </c>
      <c r="E2" s="40" t="s">
        <v>50</v>
      </c>
    </row>
    <row r="3" spans="1:6" x14ac:dyDescent="0.25">
      <c r="A3" s="23" t="s">
        <v>15</v>
      </c>
      <c r="B3" s="26" t="s">
        <v>16</v>
      </c>
      <c r="E3" s="37" t="s">
        <v>53</v>
      </c>
      <c r="F3" s="37"/>
    </row>
    <row r="4" spans="1:6" x14ac:dyDescent="0.25">
      <c r="A4" s="1" t="s">
        <v>61</v>
      </c>
      <c r="B4" s="30">
        <v>7.4</v>
      </c>
      <c r="E4" s="38" t="s">
        <v>54</v>
      </c>
      <c r="F4" s="38"/>
    </row>
    <row r="5" spans="1:6" x14ac:dyDescent="0.25">
      <c r="A5" s="4" t="s">
        <v>62</v>
      </c>
      <c r="B5" s="8">
        <v>14.4</v>
      </c>
      <c r="E5" s="39" t="s">
        <v>51</v>
      </c>
      <c r="F5" s="39"/>
    </row>
    <row r="6" spans="1:6" x14ac:dyDescent="0.25">
      <c r="A6" s="4" t="s">
        <v>63</v>
      </c>
      <c r="B6" s="8">
        <v>6100</v>
      </c>
      <c r="E6" s="36" t="s">
        <v>52</v>
      </c>
      <c r="F6" s="36"/>
    </row>
    <row r="7" spans="1:6" x14ac:dyDescent="0.25">
      <c r="A7" s="4"/>
      <c r="B7" s="8"/>
    </row>
    <row r="8" spans="1:6" x14ac:dyDescent="0.25">
      <c r="A8" s="4"/>
      <c r="B8" s="8"/>
    </row>
    <row r="9" spans="1:6" x14ac:dyDescent="0.25">
      <c r="A9" s="4"/>
      <c r="B9" s="8"/>
    </row>
    <row r="10" spans="1:6" x14ac:dyDescent="0.25">
      <c r="A10" s="4"/>
      <c r="B10" s="8"/>
    </row>
    <row r="11" spans="1:6" x14ac:dyDescent="0.25">
      <c r="A11" s="29"/>
      <c r="B11" s="10"/>
    </row>
    <row r="14" spans="1:6" x14ac:dyDescent="0.25">
      <c r="A14" t="s">
        <v>0</v>
      </c>
      <c r="B14" s="53" t="s">
        <v>21</v>
      </c>
    </row>
    <row r="15" spans="1:6" x14ac:dyDescent="0.25">
      <c r="A15" s="11" t="s">
        <v>1</v>
      </c>
      <c r="B15" s="54" t="s">
        <v>68</v>
      </c>
    </row>
    <row r="16" spans="1:6" x14ac:dyDescent="0.25">
      <c r="A16" s="12" t="s">
        <v>19</v>
      </c>
      <c r="B16" s="55">
        <v>1</v>
      </c>
    </row>
    <row r="17" spans="1:2" x14ac:dyDescent="0.25">
      <c r="A17" s="12" t="s">
        <v>3</v>
      </c>
      <c r="B17" s="56">
        <v>1.84</v>
      </c>
    </row>
    <row r="18" spans="1:2" x14ac:dyDescent="0.25">
      <c r="A18" s="12" t="s">
        <v>4</v>
      </c>
      <c r="B18" s="57">
        <v>206.61</v>
      </c>
    </row>
    <row r="19" spans="1:2" x14ac:dyDescent="0.25">
      <c r="A19" s="12" t="s">
        <v>5</v>
      </c>
      <c r="B19" s="58">
        <f>4*B4+3*B5+0.0625*B6</f>
        <v>454.05</v>
      </c>
    </row>
    <row r="20" spans="1:2" ht="14.25" customHeight="1" x14ac:dyDescent="0.25">
      <c r="A20" s="11" t="s">
        <v>40</v>
      </c>
      <c r="B20" s="59">
        <f>SUMPRODUCT(B19:L19,B16:L16)</f>
        <v>454.05</v>
      </c>
    </row>
    <row r="21" spans="1:2" ht="14.25" customHeight="1" x14ac:dyDescent="0.25">
      <c r="A21" s="13" t="s">
        <v>43</v>
      </c>
      <c r="B21" s="60">
        <f>SUMPRODUCT(B18:L18,B16:L16)</f>
        <v>206.61</v>
      </c>
    </row>
    <row r="22" spans="1:2" ht="14.25" customHeight="1" x14ac:dyDescent="0.25"/>
    <row r="23" spans="1:2" ht="14.25" customHeight="1" x14ac:dyDescent="0.25"/>
    <row r="24" spans="1:2" x14ac:dyDescent="0.25">
      <c r="A24" s="19" t="s">
        <v>20</v>
      </c>
      <c r="B24" s="21">
        <f>B16/B17</f>
        <v>0.54347826086956519</v>
      </c>
    </row>
    <row r="25" spans="1:2" x14ac:dyDescent="0.25">
      <c r="A25" s="23" t="s">
        <v>24</v>
      </c>
      <c r="B25" s="45">
        <f>B24/$B$27</f>
        <v>1</v>
      </c>
    </row>
    <row r="26" spans="1:2" x14ac:dyDescent="0.25">
      <c r="A26" s="61" t="s">
        <v>57</v>
      </c>
      <c r="B26" s="62">
        <f>B25*$B$41</f>
        <v>0</v>
      </c>
    </row>
    <row r="27" spans="1:2" x14ac:dyDescent="0.25">
      <c r="A27" s="23" t="s">
        <v>22</v>
      </c>
      <c r="B27" s="41">
        <f>SUM(B24:L24)</f>
        <v>0.54347826086956519</v>
      </c>
    </row>
    <row r="28" spans="1:2" x14ac:dyDescent="0.25">
      <c r="A28" s="22" t="s">
        <v>44</v>
      </c>
      <c r="B28" s="63">
        <f>B25</f>
        <v>1</v>
      </c>
    </row>
    <row r="31" spans="1:2" x14ac:dyDescent="0.25">
      <c r="A31" s="19" t="s">
        <v>18</v>
      </c>
      <c r="B31" s="3">
        <v>100</v>
      </c>
    </row>
    <row r="32" spans="1:2" x14ac:dyDescent="0.25">
      <c r="A32" s="23" t="s">
        <v>17</v>
      </c>
      <c r="B32" s="8">
        <v>800</v>
      </c>
    </row>
    <row r="33" spans="1:2" x14ac:dyDescent="0.25">
      <c r="A33" s="23" t="s">
        <v>41</v>
      </c>
      <c r="B33" s="43">
        <v>7.0000000000000007E-2</v>
      </c>
    </row>
    <row r="34" spans="1:2" x14ac:dyDescent="0.25">
      <c r="A34" s="22" t="s">
        <v>42</v>
      </c>
      <c r="B34" s="25">
        <v>0.35</v>
      </c>
    </row>
    <row r="35" spans="1:2" x14ac:dyDescent="0.25">
      <c r="A35" s="19" t="s">
        <v>49</v>
      </c>
      <c r="B35" s="17">
        <f>B32-B37</f>
        <v>79.026690489279872</v>
      </c>
    </row>
    <row r="36" spans="1:2" x14ac:dyDescent="0.25">
      <c r="A36" s="23" t="s">
        <v>74</v>
      </c>
      <c r="B36" s="67">
        <f>B31*B28*B17*24</f>
        <v>4416</v>
      </c>
    </row>
    <row r="37" spans="1:2" x14ac:dyDescent="0.25">
      <c r="A37" s="23" t="s">
        <v>48</v>
      </c>
      <c r="B37" s="64">
        <f>B20+B21*(1+B31/170*(1-B34))/(1+B33)</f>
        <v>720.97330951072013</v>
      </c>
    </row>
    <row r="38" spans="1:2" x14ac:dyDescent="0.25">
      <c r="A38" s="22" t="s">
        <v>55</v>
      </c>
      <c r="B38" s="35">
        <f>B37-B20-B21</f>
        <v>60.313309510720103</v>
      </c>
    </row>
    <row r="39" spans="1:2" x14ac:dyDescent="0.25">
      <c r="A39" s="22" t="s">
        <v>25</v>
      </c>
      <c r="B39" s="27">
        <f>(B32-B20-(B31*(1-B34)/170+1)*B21/(1+B33))*B31*B28*B17*24</f>
        <v>348981.86520065973</v>
      </c>
    </row>
    <row r="41" spans="1:2" ht="16.5" customHeight="1" x14ac:dyDescent="0.25"/>
    <row r="42" spans="1:2" x14ac:dyDescent="0.25">
      <c r="A42" s="19" t="s">
        <v>56</v>
      </c>
      <c r="B42" s="42">
        <f>((B32-B20)*(1+B33)/B21-1)*170/2/(1-B34)</f>
        <v>103.51946997874104</v>
      </c>
    </row>
    <row r="43" spans="1:2" x14ac:dyDescent="0.25">
      <c r="A43" s="22" t="s">
        <v>45</v>
      </c>
      <c r="B43" s="27">
        <f>(B32-B20-((B42*(1-B34)/170+1)*B21/(1+B33)))*B42*B28*B17*24</f>
        <v>349385.7110187303</v>
      </c>
    </row>
  </sheetData>
  <sheetProtection selectLockedCells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0"/>
  <sheetViews>
    <sheetView topLeftCell="A22" workbookViewId="0">
      <selection activeCell="F49" sqref="F49"/>
    </sheetView>
  </sheetViews>
  <sheetFormatPr baseColWidth="10" defaultRowHeight="15" x14ac:dyDescent="0.25"/>
  <cols>
    <col min="1" max="1" width="40.28515625" customWidth="1"/>
    <col min="2" max="2" width="22.140625" customWidth="1"/>
    <col min="3" max="3" width="13.5703125" customWidth="1"/>
    <col min="4" max="4" width="13.42578125" customWidth="1"/>
    <col min="5" max="5" width="17.85546875" customWidth="1"/>
    <col min="6" max="6" width="16.42578125" customWidth="1"/>
  </cols>
  <sheetData>
    <row r="2" spans="1:12" x14ac:dyDescent="0.25">
      <c r="A2" s="19" t="s">
        <v>6</v>
      </c>
      <c r="B2" s="28" t="s">
        <v>7</v>
      </c>
      <c r="E2" s="40" t="s">
        <v>50</v>
      </c>
    </row>
    <row r="3" spans="1:12" x14ac:dyDescent="0.25">
      <c r="A3" s="23" t="s">
        <v>15</v>
      </c>
      <c r="B3" s="26" t="s">
        <v>16</v>
      </c>
      <c r="E3" s="37" t="s">
        <v>53</v>
      </c>
      <c r="F3" s="37"/>
    </row>
    <row r="4" spans="1:12" x14ac:dyDescent="0.25">
      <c r="A4" s="1" t="s">
        <v>8</v>
      </c>
      <c r="B4" s="30">
        <v>2840</v>
      </c>
      <c r="E4" s="38" t="s">
        <v>54</v>
      </c>
      <c r="F4" s="38"/>
    </row>
    <row r="5" spans="1:12" x14ac:dyDescent="0.25">
      <c r="A5" s="4" t="s">
        <v>9</v>
      </c>
      <c r="B5" s="8">
        <v>9475</v>
      </c>
      <c r="E5" s="39" t="s">
        <v>51</v>
      </c>
      <c r="F5" s="39"/>
    </row>
    <row r="6" spans="1:12" x14ac:dyDescent="0.25">
      <c r="A6" s="4" t="s">
        <v>10</v>
      </c>
      <c r="B6" s="8">
        <v>5150</v>
      </c>
      <c r="E6" s="36" t="s">
        <v>52</v>
      </c>
      <c r="F6" s="36"/>
    </row>
    <row r="7" spans="1:12" x14ac:dyDescent="0.25">
      <c r="A7" s="4" t="s">
        <v>11</v>
      </c>
      <c r="B7" s="8">
        <v>440</v>
      </c>
    </row>
    <row r="8" spans="1:12" x14ac:dyDescent="0.25">
      <c r="A8" s="4" t="s">
        <v>46</v>
      </c>
      <c r="B8" s="8">
        <v>1480</v>
      </c>
    </row>
    <row r="9" spans="1:12" x14ac:dyDescent="0.25">
      <c r="A9" s="4" t="s">
        <v>72</v>
      </c>
      <c r="B9" s="8">
        <v>11000</v>
      </c>
    </row>
    <row r="10" spans="1:12" x14ac:dyDescent="0.25">
      <c r="A10" s="4"/>
      <c r="B10" s="8"/>
    </row>
    <row r="11" spans="1:12" x14ac:dyDescent="0.25">
      <c r="A11" s="4"/>
      <c r="B11" s="8"/>
    </row>
    <row r="12" spans="1:12" x14ac:dyDescent="0.25">
      <c r="A12" s="29"/>
      <c r="B12" s="10"/>
    </row>
    <row r="15" spans="1:12" x14ac:dyDescent="0.25">
      <c r="A15" t="s">
        <v>0</v>
      </c>
      <c r="B15" s="14" t="s">
        <v>21</v>
      </c>
      <c r="C15" s="15" t="s">
        <v>30</v>
      </c>
      <c r="D15" s="15" t="s">
        <v>31</v>
      </c>
      <c r="E15" s="15" t="s">
        <v>32</v>
      </c>
      <c r="F15" s="15" t="s">
        <v>33</v>
      </c>
      <c r="G15" s="15" t="s">
        <v>34</v>
      </c>
      <c r="H15" s="15" t="s">
        <v>35</v>
      </c>
      <c r="I15" s="15" t="s">
        <v>36</v>
      </c>
      <c r="J15" s="15" t="s">
        <v>37</v>
      </c>
      <c r="K15" s="15" t="s">
        <v>38</v>
      </c>
      <c r="L15" s="16" t="s">
        <v>39</v>
      </c>
    </row>
    <row r="16" spans="1:12" x14ac:dyDescent="0.25">
      <c r="A16" s="11" t="s">
        <v>1</v>
      </c>
      <c r="B16" s="2" t="s">
        <v>2</v>
      </c>
      <c r="C16" s="2" t="s">
        <v>26</v>
      </c>
      <c r="D16" s="2" t="s">
        <v>27</v>
      </c>
      <c r="E16" s="2"/>
      <c r="F16" s="2"/>
      <c r="G16" s="2"/>
      <c r="H16" s="2"/>
      <c r="I16" s="2"/>
      <c r="J16" s="2"/>
      <c r="K16" s="2"/>
      <c r="L16" s="3"/>
    </row>
    <row r="17" spans="1:13" x14ac:dyDescent="0.25">
      <c r="A17" s="12" t="s">
        <v>19</v>
      </c>
      <c r="B17" s="5">
        <v>1</v>
      </c>
      <c r="C17" s="5">
        <f>B17*1</f>
        <v>1</v>
      </c>
      <c r="D17" s="5">
        <v>1</v>
      </c>
      <c r="E17" s="5"/>
      <c r="F17" s="5"/>
      <c r="G17" s="5"/>
      <c r="H17" s="5"/>
      <c r="I17" s="5"/>
      <c r="J17" s="5"/>
      <c r="K17" s="5"/>
      <c r="L17" s="6"/>
      <c r="M17" t="s">
        <v>47</v>
      </c>
    </row>
    <row r="18" spans="1:13" x14ac:dyDescent="0.25">
      <c r="A18" s="12" t="s">
        <v>3</v>
      </c>
      <c r="B18" s="33">
        <v>0.21</v>
      </c>
      <c r="C18" s="33">
        <v>1.5</v>
      </c>
      <c r="D18" s="33">
        <v>0.3</v>
      </c>
      <c r="E18" s="33"/>
      <c r="F18" s="33"/>
      <c r="G18" s="33"/>
      <c r="H18" s="33"/>
      <c r="I18" s="33"/>
      <c r="J18" s="33"/>
      <c r="K18" s="33"/>
      <c r="L18" s="34"/>
    </row>
    <row r="19" spans="1:13" x14ac:dyDescent="0.25">
      <c r="A19" s="12" t="s">
        <v>4</v>
      </c>
      <c r="B19" s="31">
        <v>3600</v>
      </c>
      <c r="C19" s="31">
        <v>390</v>
      </c>
      <c r="D19" s="31">
        <v>1950</v>
      </c>
      <c r="E19" s="31"/>
      <c r="F19" s="31"/>
      <c r="G19" s="31"/>
      <c r="H19" s="31"/>
      <c r="I19" s="31"/>
      <c r="J19" s="31"/>
      <c r="K19" s="31"/>
      <c r="L19" s="32"/>
    </row>
    <row r="20" spans="1:13" x14ac:dyDescent="0.25">
      <c r="A20" s="12" t="s">
        <v>5</v>
      </c>
      <c r="B20" s="7">
        <v>0</v>
      </c>
      <c r="C20" s="9">
        <f>40*B4+16*B5+34*B9</f>
        <v>639200</v>
      </c>
      <c r="D20" s="9">
        <f>2*B6+10*B7+4*B8+6*B5+7*B9</f>
        <v>154470</v>
      </c>
      <c r="E20" s="9"/>
      <c r="F20" s="9"/>
      <c r="G20" s="9"/>
      <c r="H20" s="9"/>
      <c r="I20" s="9"/>
      <c r="J20" s="9"/>
      <c r="K20" s="9"/>
      <c r="L20" s="10"/>
    </row>
    <row r="21" spans="1:13" ht="14.25" customHeight="1" x14ac:dyDescent="0.25">
      <c r="A21" s="11" t="s">
        <v>40</v>
      </c>
      <c r="B21" s="17">
        <f>SUMPRODUCT(B20:L20,B17:L17)</f>
        <v>793670</v>
      </c>
    </row>
    <row r="22" spans="1:13" ht="14.25" customHeight="1" x14ac:dyDescent="0.25">
      <c r="A22" s="13" t="s">
        <v>43</v>
      </c>
      <c r="B22" s="18">
        <f>SUMPRODUCT(B19:L19,B17:L17)</f>
        <v>5940</v>
      </c>
    </row>
    <row r="23" spans="1:13" ht="14.25" customHeight="1" x14ac:dyDescent="0.25"/>
    <row r="24" spans="1:13" ht="14.25" customHeight="1" x14ac:dyDescent="0.25"/>
    <row r="25" spans="1:13" x14ac:dyDescent="0.25">
      <c r="A25" s="19" t="s">
        <v>20</v>
      </c>
      <c r="B25" s="48">
        <f>B17/B18</f>
        <v>4.7619047619047619</v>
      </c>
      <c r="C25" s="20">
        <f>1/C18*C17</f>
        <v>0.66666666666666663</v>
      </c>
      <c r="D25" s="20">
        <f>1/D18*D17</f>
        <v>3.3333333333333335</v>
      </c>
      <c r="E25" s="20"/>
      <c r="F25" s="20"/>
      <c r="G25" s="20"/>
      <c r="H25" s="20"/>
      <c r="I25" s="20"/>
      <c r="J25" s="20"/>
      <c r="K25" s="20"/>
      <c r="L25" s="21"/>
      <c r="M25" t="s">
        <v>23</v>
      </c>
    </row>
    <row r="26" spans="1:13" x14ac:dyDescent="0.25">
      <c r="A26" s="23" t="s">
        <v>24</v>
      </c>
      <c r="B26" s="49">
        <f>B25/$B$28</f>
        <v>0.54347826086956519</v>
      </c>
      <c r="C26" s="44">
        <f t="shared" ref="C26:L26" si="0">C25/$B$28</f>
        <v>7.6086956521739121E-2</v>
      </c>
      <c r="D26" s="44">
        <f t="shared" si="0"/>
        <v>0.38043478260869562</v>
      </c>
      <c r="E26" s="44">
        <f t="shared" si="0"/>
        <v>0</v>
      </c>
      <c r="F26" s="44">
        <f t="shared" si="0"/>
        <v>0</v>
      </c>
      <c r="G26" s="44">
        <f t="shared" si="0"/>
        <v>0</v>
      </c>
      <c r="H26" s="44">
        <f t="shared" si="0"/>
        <v>0</v>
      </c>
      <c r="I26" s="44">
        <f t="shared" si="0"/>
        <v>0</v>
      </c>
      <c r="J26" s="44">
        <f t="shared" si="0"/>
        <v>0</v>
      </c>
      <c r="K26" s="44">
        <f t="shared" si="0"/>
        <v>0</v>
      </c>
      <c r="L26" s="45">
        <f t="shared" si="0"/>
        <v>0</v>
      </c>
    </row>
    <row r="27" spans="1:13" x14ac:dyDescent="0.25">
      <c r="A27" s="47" t="s">
        <v>57</v>
      </c>
      <c r="B27" s="50">
        <f>B26*$B$42</f>
        <v>0</v>
      </c>
      <c r="C27" s="51">
        <f t="shared" ref="C27:L27" si="1">C26*$B$42</f>
        <v>0</v>
      </c>
      <c r="D27" s="51">
        <f t="shared" si="1"/>
        <v>0</v>
      </c>
      <c r="E27" s="51">
        <f t="shared" si="1"/>
        <v>0</v>
      </c>
      <c r="F27" s="51">
        <f t="shared" si="1"/>
        <v>0</v>
      </c>
      <c r="G27" s="51">
        <f t="shared" si="1"/>
        <v>0</v>
      </c>
      <c r="H27" s="51">
        <f t="shared" si="1"/>
        <v>0</v>
      </c>
      <c r="I27" s="51">
        <f t="shared" si="1"/>
        <v>0</v>
      </c>
      <c r="J27" s="51">
        <f t="shared" si="1"/>
        <v>0</v>
      </c>
      <c r="K27" s="51">
        <f t="shared" si="1"/>
        <v>0</v>
      </c>
      <c r="L27" s="52">
        <f t="shared" si="1"/>
        <v>0</v>
      </c>
    </row>
    <row r="28" spans="1:13" x14ac:dyDescent="0.25">
      <c r="A28" s="13" t="s">
        <v>22</v>
      </c>
      <c r="B28" s="46">
        <f>SUM(B25:L25)</f>
        <v>8.7619047619047628</v>
      </c>
    </row>
    <row r="29" spans="1:13" x14ac:dyDescent="0.25">
      <c r="A29" s="14" t="s">
        <v>44</v>
      </c>
      <c r="B29" s="24">
        <f>B26</f>
        <v>0.54347826086956519</v>
      </c>
    </row>
    <row r="32" spans="1:13" x14ac:dyDescent="0.25">
      <c r="A32" s="19" t="s">
        <v>18</v>
      </c>
      <c r="B32" s="3">
        <v>85</v>
      </c>
      <c r="E32" s="65"/>
    </row>
    <row r="33" spans="1:2" x14ac:dyDescent="0.25">
      <c r="A33" s="23" t="s">
        <v>17</v>
      </c>
      <c r="B33" s="8">
        <v>800000</v>
      </c>
    </row>
    <row r="34" spans="1:2" x14ac:dyDescent="0.25">
      <c r="A34" s="23" t="s">
        <v>41</v>
      </c>
      <c r="B34" s="43">
        <v>7.0000000000000007E-2</v>
      </c>
    </row>
    <row r="35" spans="1:2" x14ac:dyDescent="0.25">
      <c r="A35" s="22" t="s">
        <v>42</v>
      </c>
      <c r="B35" s="25">
        <v>0.35</v>
      </c>
    </row>
    <row r="36" spans="1:2" x14ac:dyDescent="0.25">
      <c r="A36" s="19" t="s">
        <v>49</v>
      </c>
      <c r="B36" s="17">
        <f>B33-B38</f>
        <v>-1025.6074766354868</v>
      </c>
    </row>
    <row r="37" spans="1:2" x14ac:dyDescent="0.25">
      <c r="A37" s="23" t="s">
        <v>74</v>
      </c>
      <c r="B37" s="67">
        <f>B32*B29*B18*24</f>
        <v>232.82608695652172</v>
      </c>
    </row>
    <row r="38" spans="1:2" x14ac:dyDescent="0.25">
      <c r="A38" s="23" t="s">
        <v>48</v>
      </c>
      <c r="B38" s="64">
        <f>B21+B22*(1+B32/170*(1-B35))/(1+B34)</f>
        <v>801025.60747663549</v>
      </c>
    </row>
    <row r="39" spans="1:2" x14ac:dyDescent="0.25">
      <c r="A39" s="22" t="s">
        <v>55</v>
      </c>
      <c r="B39" s="35">
        <f>B38-B21-B22</f>
        <v>1415.6074766354868</v>
      </c>
    </row>
    <row r="40" spans="1:2" x14ac:dyDescent="0.25">
      <c r="A40" s="22" t="s">
        <v>25</v>
      </c>
      <c r="B40" s="27">
        <f>(B33-B21-(B32*(1-B35)/170+1)*B22/(1+B34))*B32*B29*B18*24</f>
        <v>-238788.17553839879</v>
      </c>
    </row>
    <row r="42" spans="1:2" ht="16.5" customHeight="1" x14ac:dyDescent="0.25"/>
    <row r="43" spans="1:2" x14ac:dyDescent="0.25">
      <c r="A43" s="19" t="s">
        <v>56</v>
      </c>
      <c r="B43" s="42">
        <f>((B33-B21)*(1+B34)/B22-1)*170/2/(1-B35)</f>
        <v>18.340714840714845</v>
      </c>
    </row>
    <row r="44" spans="1:2" x14ac:dyDescent="0.25">
      <c r="A44" s="22" t="s">
        <v>45</v>
      </c>
      <c r="B44" s="27">
        <f>(B33-B21-((B43*(1-B35)/170+1)*B22/(1+B34)))*B43*B29*B18*24</f>
        <v>19557.454706001019</v>
      </c>
    </row>
    <row r="50" spans="1:1" x14ac:dyDescent="0.25">
      <c r="A50" t="s">
        <v>73</v>
      </c>
    </row>
  </sheetData>
  <sheetProtection selectLockedCell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SAT-Ion-HGEC</vt:lpstr>
      <vt:lpstr>BFRr-OB-ST-RE</vt:lpstr>
      <vt:lpstr>BFR-OB-ST-RE</vt:lpstr>
      <vt:lpstr>BFR-OB-ST-RE-Fus-Prp</vt:lpstr>
      <vt:lpstr>RE-HGEC</vt:lpstr>
      <vt:lpstr>RE</vt:lpstr>
      <vt:lpstr>HGEC</vt:lpstr>
      <vt:lpstr>BFR-OB-ST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2021-07-09T21:28:07Z</dcterms:created>
  <dcterms:modified xsi:type="dcterms:W3CDTF">2021-07-14T19:18:03Z</dcterms:modified>
</cp:coreProperties>
</file>