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5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final stage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5" l="1"/>
  <c r="E5" i="15"/>
  <c r="E6" i="15"/>
  <c r="E7" i="15"/>
  <c r="E8" i="15"/>
  <c r="E9" i="15"/>
  <c r="E10" i="15"/>
  <c r="E3" i="15"/>
  <c r="E4" i="14"/>
  <c r="E5" i="14"/>
  <c r="E6" i="14"/>
  <c r="E7" i="14"/>
  <c r="E8" i="14"/>
  <c r="E9" i="14"/>
  <c r="E10" i="14"/>
  <c r="E3" i="14"/>
  <c r="C34" i="15" l="1"/>
  <c r="C18" i="13" l="1"/>
  <c r="C35" i="15"/>
  <c r="C36" i="14"/>
  <c r="H31" i="14"/>
  <c r="H30" i="15"/>
  <c r="F27" i="15"/>
  <c r="I27" i="15" s="1"/>
  <c r="C42" i="15"/>
  <c r="C43" i="15" s="1"/>
  <c r="I30" i="15"/>
  <c r="I31" i="15" s="1"/>
  <c r="I32" i="15" s="1"/>
  <c r="G30" i="15"/>
  <c r="H23" i="15"/>
  <c r="C23" i="15"/>
  <c r="I23" i="15" s="1"/>
  <c r="B23" i="15"/>
  <c r="B9" i="15" s="1"/>
  <c r="H22" i="15"/>
  <c r="C22" i="15"/>
  <c r="I22" i="15" s="1"/>
  <c r="B22" i="15"/>
  <c r="B6" i="15" s="1"/>
  <c r="H18" i="15"/>
  <c r="J18" i="15" s="1"/>
  <c r="E18" i="15"/>
  <c r="B10" i="15"/>
  <c r="B8" i="15"/>
  <c r="C7" i="15"/>
  <c r="B7" i="15"/>
  <c r="C6" i="15"/>
  <c r="C35" i="14"/>
  <c r="G31" i="14"/>
  <c r="I31" i="14"/>
  <c r="I32" i="14" s="1"/>
  <c r="I33" i="14" s="1"/>
  <c r="C43" i="14"/>
  <c r="C44" i="14" s="1"/>
  <c r="H27" i="14"/>
  <c r="I27" i="14"/>
  <c r="I28" i="14" s="1"/>
  <c r="I29" i="14" s="1"/>
  <c r="H23" i="14"/>
  <c r="B23" i="14"/>
  <c r="B8" i="14" s="1"/>
  <c r="H22" i="14"/>
  <c r="C22" i="14"/>
  <c r="I22" i="14" s="1"/>
  <c r="B22" i="14"/>
  <c r="B6" i="14" s="1"/>
  <c r="H18" i="14"/>
  <c r="E18" i="14"/>
  <c r="C7" i="14"/>
  <c r="C6" i="14"/>
  <c r="E23" i="15" l="1"/>
  <c r="J23" i="15" s="1"/>
  <c r="E22" i="15"/>
  <c r="J22" i="15" s="1"/>
  <c r="E27" i="15" s="1"/>
  <c r="J27" i="15" s="1"/>
  <c r="E30" i="15" s="1"/>
  <c r="D7" i="15"/>
  <c r="F7" i="15" s="1"/>
  <c r="G7" i="15" s="1"/>
  <c r="D10" i="15"/>
  <c r="F10" i="15" s="1"/>
  <c r="G10" i="15" s="1"/>
  <c r="D6" i="15"/>
  <c r="F6" i="15" s="1"/>
  <c r="G6" i="15" s="1"/>
  <c r="D9" i="15"/>
  <c r="F9" i="15" s="1"/>
  <c r="G9" i="15" s="1"/>
  <c r="C18" i="15"/>
  <c r="D8" i="15"/>
  <c r="F8" i="15" s="1"/>
  <c r="G8" i="15" s="1"/>
  <c r="I24" i="15"/>
  <c r="I25" i="15" s="1"/>
  <c r="B18" i="15"/>
  <c r="D6" i="14"/>
  <c r="F6" i="14" s="1"/>
  <c r="G6" i="14" s="1"/>
  <c r="J18" i="14"/>
  <c r="E22" i="14" s="1"/>
  <c r="J22" i="14" s="1"/>
  <c r="B10" i="14"/>
  <c r="B18" i="14"/>
  <c r="B9" i="14"/>
  <c r="B7" i="14"/>
  <c r="C23" i="14"/>
  <c r="J30" i="15" l="1"/>
  <c r="C44" i="15" s="1"/>
  <c r="C45" i="15" s="1"/>
  <c r="D3" i="15"/>
  <c r="F3" i="15" s="1"/>
  <c r="G3" i="15" s="1"/>
  <c r="D4" i="15"/>
  <c r="F4" i="15" s="1"/>
  <c r="G4" i="15" s="1"/>
  <c r="I18" i="15"/>
  <c r="I19" i="15" s="1"/>
  <c r="I20" i="15" s="1"/>
  <c r="D5" i="15"/>
  <c r="F5" i="15" s="1"/>
  <c r="G5" i="15" s="1"/>
  <c r="C36" i="15"/>
  <c r="C37" i="15" s="1"/>
  <c r="B5" i="15"/>
  <c r="B3" i="15"/>
  <c r="B4" i="15"/>
  <c r="E23" i="14"/>
  <c r="J23" i="14" s="1"/>
  <c r="E27" i="14" s="1"/>
  <c r="J27" i="14" s="1"/>
  <c r="D9" i="14"/>
  <c r="F9" i="14" s="1"/>
  <c r="G9" i="14" s="1"/>
  <c r="D10" i="14"/>
  <c r="F10" i="14" s="1"/>
  <c r="G10" i="14" s="1"/>
  <c r="D7" i="14"/>
  <c r="F7" i="14" s="1"/>
  <c r="G7" i="14" s="1"/>
  <c r="D8" i="14"/>
  <c r="F8" i="14" s="1"/>
  <c r="G8" i="14" s="1"/>
  <c r="I23" i="14"/>
  <c r="I24" i="14" s="1"/>
  <c r="I25" i="14" s="1"/>
  <c r="B3" i="14"/>
  <c r="B4" i="14"/>
  <c r="B5" i="14"/>
  <c r="C18" i="14"/>
  <c r="F11" i="15" l="1"/>
  <c r="G11" i="15" s="1"/>
  <c r="E31" i="14"/>
  <c r="C37" i="14"/>
  <c r="C38" i="14" s="1"/>
  <c r="D3" i="14"/>
  <c r="F3" i="14" s="1"/>
  <c r="G3" i="14" s="1"/>
  <c r="D4" i="14"/>
  <c r="F4" i="14" s="1"/>
  <c r="G4" i="14" s="1"/>
  <c r="I18" i="14"/>
  <c r="I19" i="14" s="1"/>
  <c r="I20" i="14" s="1"/>
  <c r="D5" i="14"/>
  <c r="F5" i="14" s="1"/>
  <c r="G5" i="14" s="1"/>
  <c r="G11" i="14" l="1"/>
  <c r="J31" i="14"/>
  <c r="C45" i="14" s="1"/>
  <c r="C46" i="14" s="1"/>
  <c r="F11" i="14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51" i="9" l="1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5" i="13" l="1"/>
  <c r="D3" i="13"/>
  <c r="D53" i="9"/>
  <c r="D57" i="9"/>
  <c r="D54" i="9"/>
  <c r="D58" i="9"/>
  <c r="F3" i="13" l="1"/>
  <c r="G3" i="13" s="1"/>
  <c r="E3" i="13"/>
  <c r="F5" i="13"/>
  <c r="G5" i="13" s="1"/>
  <c r="E5" i="13"/>
  <c r="D4" i="13"/>
  <c r="I13" i="13"/>
  <c r="I14" i="13" s="1"/>
  <c r="I15" i="13" s="1"/>
  <c r="H13" i="13"/>
  <c r="F6" i="13" s="1"/>
  <c r="E13" i="13"/>
  <c r="F4" i="13" l="1"/>
  <c r="E4" i="13"/>
  <c r="F7" i="13"/>
  <c r="G6" i="13"/>
  <c r="G4" i="13"/>
  <c r="J13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C19" i="13" l="1"/>
  <c r="C20" i="13" s="1"/>
  <c r="G7" i="13"/>
  <c r="L25" i="9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<sst xmlns="http://schemas.openxmlformats.org/spreadsheetml/2006/main" count="467" uniqueCount="133">
  <si>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</si>
  <si>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</si>
  <si>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</si>
  <si>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</si>
  <si>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</si>
  <si>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</si>
  <si>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</si>
  <si>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</si>
  <si>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</si>
  <si>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</si>
  <si>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</si>
  <si>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</si>
  <si>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</si>
  <si>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</si>
  <si>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</si>
  <si>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</si>
  <si>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</si>
  <si>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</si>
  <si>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</si>
  <si>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</si>
  <si>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</si>
  <si>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</si>
  <si>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</si>
  <si>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</si>
  <si>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</si>
  <si>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</si>
  <si>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</si>
  <si>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</si>
  <si>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</si>
  <si>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</si>
  <si>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</si>
  <si>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</si>
  <si>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</si>
  <si>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</si>
  <si>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</si>
  <si>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</si>
  <si>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</si>
  <si>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</si>
  <si>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</si>
  <si>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</si>
  <si>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</si>
  <si>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</si>
  <si>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</si>
  <si>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</si>
  <si>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</si>
  <si>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</si>
  <si>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</si>
  <si>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</si>
  <si>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</si>
  <si>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</si>
  <si>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</si>
  <si>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</si>
  <si>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</si>
  <si>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</si>
  <si>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</si>
  <si>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</si>
  <si>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</si>
  <si>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</si>
  <si>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</si>
  <si>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</si>
  <si>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</si>
  <si>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</si>
  <si>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</si>
  <si>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</si>
  <si>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</si>
  <si>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</si>
  <si>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</si>
  <si>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</si>
  <si>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</si>
  <si>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</si>
  <si>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</si>
  <si>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</si>
  <si>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</si>
  <si>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</si>
  <si>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</si>
  <si>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</si>
  <si>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</si>
  <si>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</si>
  <si>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</si>
  <si>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</si>
  <si>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</si>
  <si>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</si>
  <si>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</si>
  <si>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</si>
  <si>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</si>
  <si>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</si>
  <si>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</si>
  <si>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</si>
  <si>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</si>
  <si>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</si>
  <si>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</si>
  <si>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</si>
  <si>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</si>
  <si>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</si>
  <si>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</si>
  <si>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</si>
  <si>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</si>
  <si>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</si>
  <si>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</si>
  <si>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</si>
  <si>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</si>
  <si>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</si>
  <si>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</si>
  <si>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</si>
  <si>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</si>
  <si>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</si>
  <si>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</si>
  <si>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</si>
  <si>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</si>
  <si>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</si>
  <si>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</si>
  <si>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</si>
  <si>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</si>
  <si>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</si>
  <si>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</si>
  <si>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</si>
  <si>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</si>
  <si>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</si>
  <si>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</si>
  <si>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</si>
  <si>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For the first stage we only pretend to sell BFRs</t>
  </si>
  <si>
    <t>For the second stage we pretend to build a high q launchpad and sell ASR</t>
  </si>
  <si>
    <t>REQUIRED CASH PER HOUR</t>
  </si>
  <si>
    <t>REQUIRED CASH PER DAY</t>
  </si>
  <si>
    <t>PRODUCED UNITS PER HOUR</t>
  </si>
  <si>
    <t>Assuming we will prefer to launch our BFRs</t>
  </si>
  <si>
    <t xml:space="preserve">Assuming we can produce our own high quality BFRs. </t>
  </si>
  <si>
    <t>UNITS PER HOUR PER LEVEL</t>
  </si>
  <si>
    <t>daily units</t>
  </si>
  <si>
    <t>Cash</t>
  </si>
  <si>
    <t>REQUIRED DAILY</t>
  </si>
  <si>
    <t>NEEDS PER HOUR</t>
  </si>
  <si>
    <t>NEEDS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</si>
</sst>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5" fillId="0" borderId="0" xfId="0" applyFont="1" applyBorder="1"/>
    <xf numFmtId="44" fontId="0" fillId="6" borderId="0" xfId="2" applyFont="1" applyFill="1" applyBorder="1"/>
    <xf numFmtId="44" fontId="0" fillId="11" borderId="0" xfId="2" applyFont="1" applyFill="1" applyBorder="1"/>
    <xf numFmtId="44" fontId="0" fillId="11" borderId="0" xfId="2" applyFont="1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8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8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8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8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8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9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0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8" t="s">
        <v>3</v>
      </c>
      <c r="B23" s="28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1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1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2" t="s">
        <v>18</v>
      </c>
      <c r="B26" s="31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3" t="s">
        <v>24</v>
      </c>
      <c r="B27" s="31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4" t="s">
        <v>23</v>
      </c>
      <c r="B28" s="31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1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8" t="s">
        <v>26</v>
      </c>
      <c r="B30" s="28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2" t="s">
        <v>29</v>
      </c>
      <c r="B31" s="31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2" t="s">
        <v>31</v>
      </c>
      <c r="B32" s="31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1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8" t="s">
        <v>35</v>
      </c>
      <c r="B34" s="28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1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1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8" t="s">
        <v>44</v>
      </c>
      <c r="B37" s="28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0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0" zoomScale="70" zoomScaleNormal="70" workbookViewId="0">
      <selection activeCell="H40" sqref="A17:H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8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2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2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4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8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2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2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8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5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2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8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6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0" zoomScaleNormal="70" workbookViewId="0">
      <selection activeCell="F29" sqref="F2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131</v>
      </c>
      <c r="E2" s="24" t="s">
        <v>130</v>
      </c>
      <c r="F2" s="4" t="s">
        <v>122</v>
      </c>
      <c r="G2" s="4" t="s">
        <v>123</v>
      </c>
      <c r="H2" s="4"/>
      <c r="I2" s="13" t="s">
        <v>9</v>
      </c>
      <c r="J2" s="14">
        <v>0.2</v>
      </c>
    </row>
    <row r="3" spans="1:13" x14ac:dyDescent="0.25">
      <c r="A3" s="4" t="s">
        <v>58</v>
      </c>
      <c r="B3" s="4">
        <f>IF(B13&gt;0,B13-1,0)</f>
        <v>2</v>
      </c>
      <c r="C3" s="12">
        <v>10.5</v>
      </c>
      <c r="D3" s="4">
        <f>20*C13</f>
        <v>312.5</v>
      </c>
      <c r="E3">
        <f>D3*24</f>
        <v>7500</v>
      </c>
      <c r="F3" s="41">
        <f>D3*C3</f>
        <v>3281.25</v>
      </c>
      <c r="G3" s="41">
        <f>F3*24</f>
        <v>78750</v>
      </c>
      <c r="H3" s="4"/>
    </row>
    <row r="4" spans="1:13" x14ac:dyDescent="0.25">
      <c r="A4" s="4" t="s">
        <v>60</v>
      </c>
      <c r="B4" s="4">
        <f>IF(B13&gt;0,B13-1,0)</f>
        <v>2</v>
      </c>
      <c r="C4" s="12">
        <v>900</v>
      </c>
      <c r="D4" s="4">
        <f>8*C13</f>
        <v>125</v>
      </c>
      <c r="E4">
        <f t="shared" ref="E4:E5" si="0">D4*24</f>
        <v>3000</v>
      </c>
      <c r="F4" s="41">
        <f>D4*C4</f>
        <v>112500</v>
      </c>
      <c r="G4" s="41">
        <f t="shared" ref="G4:G5" si="1">F4*24</f>
        <v>2700000</v>
      </c>
      <c r="H4" s="4"/>
      <c r="L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18.5</v>
      </c>
      <c r="D5" s="4">
        <f>10*C13</f>
        <v>156.25</v>
      </c>
      <c r="E5">
        <f t="shared" si="0"/>
        <v>3750</v>
      </c>
      <c r="F5" s="41">
        <f>D5*C5</f>
        <v>2890.625</v>
      </c>
      <c r="G5" s="41">
        <f t="shared" si="1"/>
        <v>69375</v>
      </c>
      <c r="H5" s="4"/>
      <c r="L5" t="s">
        <v>98</v>
      </c>
    </row>
    <row r="6" spans="1:13" x14ac:dyDescent="0.25">
      <c r="A6" s="24" t="s">
        <v>129</v>
      </c>
      <c r="B6" s="4"/>
      <c r="C6" s="4"/>
      <c r="D6" s="4"/>
      <c r="F6" s="41">
        <f>(G13+H13)*C13</f>
        <v>37301.437500000007</v>
      </c>
      <c r="G6" s="41">
        <f>F6*24</f>
        <v>895234.50000000023</v>
      </c>
      <c r="H6" s="4"/>
    </row>
    <row r="7" spans="1:13" x14ac:dyDescent="0.25">
      <c r="A7" s="4"/>
      <c r="B7" s="4"/>
      <c r="C7" s="4"/>
      <c r="D7" s="4"/>
      <c r="F7" s="42">
        <f>SUM(F3:F6)</f>
        <v>155973.3125</v>
      </c>
      <c r="G7" s="42">
        <f>SUM(G3:G6)</f>
        <v>3743359.5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100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99</v>
      </c>
      <c r="J11" s="24" t="s">
        <v>55</v>
      </c>
      <c r="K11" s="24"/>
      <c r="L11" s="4"/>
      <c r="M11" s="4"/>
    </row>
    <row r="12" spans="1:13" x14ac:dyDescent="0.25">
      <c r="A12" s="28" t="s">
        <v>35</v>
      </c>
      <c r="B12" s="28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15.625</v>
      </c>
      <c r="D13" s="27" t="s">
        <v>39</v>
      </c>
      <c r="E13" s="24">
        <f>20*C3+8*C4+10*C5</f>
        <v>7595</v>
      </c>
      <c r="F13" s="24">
        <v>0.28999999999999998</v>
      </c>
      <c r="G13" s="24">
        <v>1989.41</v>
      </c>
      <c r="H13" s="24">
        <f>$J$2*G13</f>
        <v>397.88200000000006</v>
      </c>
      <c r="I13">
        <f>C13/F13</f>
        <v>53.879310344827587</v>
      </c>
      <c r="J13" s="42">
        <f>E13+G13+H13</f>
        <v>9982.2919999999995</v>
      </c>
      <c r="K13" s="24"/>
      <c r="L13" s="4"/>
      <c r="M13" s="4"/>
    </row>
    <row r="14" spans="1:13" x14ac:dyDescent="0.25">
      <c r="A14" s="24"/>
      <c r="B14" s="24"/>
      <c r="C14" s="24"/>
      <c r="D14" s="27"/>
      <c r="E14" s="24"/>
      <c r="F14" s="37" t="s">
        <v>101</v>
      </c>
      <c r="G14" s="39">
        <v>13</v>
      </c>
      <c r="H14" s="38" t="s">
        <v>102</v>
      </c>
      <c r="I14" s="38">
        <f>I13/G14</f>
        <v>4.1445623342175066</v>
      </c>
      <c r="J14" s="24"/>
      <c r="K14" s="24" t="s">
        <v>104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8" t="s">
        <v>108</v>
      </c>
      <c r="I15" s="38">
        <f>I14*G14</f>
        <v>53.879310344827587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105</v>
      </c>
      <c r="C17" s="12">
        <v>11100</v>
      </c>
      <c r="D17" s="24"/>
      <c r="E17" s="24"/>
    </row>
    <row r="18" spans="1:5" x14ac:dyDescent="0.25">
      <c r="A18" s="24"/>
      <c r="B18" s="24" t="s">
        <v>128</v>
      </c>
      <c r="C18" s="24">
        <f>C13*24</f>
        <v>375</v>
      </c>
      <c r="D18" s="24"/>
      <c r="E18" s="24"/>
    </row>
    <row r="19" spans="1:5" x14ac:dyDescent="0.25">
      <c r="A19" s="24"/>
      <c r="B19" s="24" t="s">
        <v>106</v>
      </c>
      <c r="C19" s="42">
        <f>(C17-J13)*C13</f>
        <v>17464.187500000007</v>
      </c>
      <c r="D19" s="24"/>
      <c r="E19" s="24"/>
    </row>
    <row r="20" spans="1:5" x14ac:dyDescent="0.25">
      <c r="A20" s="24"/>
      <c r="B20" s="24" t="s">
        <v>107</v>
      </c>
      <c r="C20" s="42">
        <f>C19*24</f>
        <v>419140.50000000017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70" zoomScaleNormal="70" workbookViewId="0">
      <selection activeCell="E13" sqref="E13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131</v>
      </c>
      <c r="E2" s="4" t="s">
        <v>132</v>
      </c>
      <c r="F2" s="4" t="s">
        <v>122</v>
      </c>
      <c r="G2" s="4" t="s">
        <v>123</v>
      </c>
      <c r="H2" s="4"/>
      <c r="I2" s="13" t="s">
        <v>9</v>
      </c>
      <c r="J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255.19999999999996</v>
      </c>
      <c r="E3">
        <f>D3*24</f>
        <v>6124.7999999999993</v>
      </c>
      <c r="F3" s="41">
        <f>D3*C3</f>
        <v>2679.5999999999995</v>
      </c>
      <c r="G3" s="41">
        <f>F3*24</f>
        <v>64310.399999999987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102.07999999999998</v>
      </c>
      <c r="E4">
        <f t="shared" ref="E4:E10" si="0">D4*24</f>
        <v>2449.9199999999996</v>
      </c>
      <c r="F4" s="41">
        <f>D4*C4</f>
        <v>91871.999999999985</v>
      </c>
      <c r="G4" s="41">
        <f t="shared" ref="G4:G10" si="1">F4*24</f>
        <v>2204927.9999999995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127.59999999999998</v>
      </c>
      <c r="E5">
        <f t="shared" si="0"/>
        <v>3062.3999999999996</v>
      </c>
      <c r="F5" s="41">
        <f>D5*C5</f>
        <v>2360.5999999999995</v>
      </c>
      <c r="G5" s="41">
        <f t="shared" si="1"/>
        <v>56654.399999999987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12.448780487804875</v>
      </c>
      <c r="E6">
        <f t="shared" si="0"/>
        <v>298.770731707317</v>
      </c>
      <c r="F6" s="41">
        <f>D6*C6</f>
        <v>38795.379512195112</v>
      </c>
      <c r="G6" s="41">
        <f t="shared" si="1"/>
        <v>931089.10829268268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6.8468292682926819</v>
      </c>
      <c r="E7">
        <f t="shared" si="0"/>
        <v>164.32390243902438</v>
      </c>
      <c r="F7" s="41">
        <f>D7*C7</f>
        <v>66427.937560975595</v>
      </c>
      <c r="G7" s="41">
        <f t="shared" si="1"/>
        <v>1594270.5014634142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0.62243902439024379</v>
      </c>
      <c r="E8">
        <f t="shared" si="0"/>
        <v>14.938536585365851</v>
      </c>
      <c r="F8" s="41">
        <f>D8*C8</f>
        <v>3466.9853658536581</v>
      </c>
      <c r="G8" s="41">
        <f t="shared" si="1"/>
        <v>83207.648780487798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3.1121951219512187</v>
      </c>
      <c r="E9">
        <f t="shared" si="0"/>
        <v>74.692682926829249</v>
      </c>
      <c r="F9" s="41">
        <f>D9*C9</f>
        <v>1696.1463414634143</v>
      </c>
      <c r="G9" s="41">
        <f t="shared" si="1"/>
        <v>40707.512195121941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1.2448780487804876</v>
      </c>
      <c r="E10">
        <f t="shared" si="0"/>
        <v>29.877073170731702</v>
      </c>
      <c r="F10" s="41">
        <f>D10*C10</f>
        <v>2153.6390243902433</v>
      </c>
      <c r="G10" s="41">
        <f t="shared" si="1"/>
        <v>51687.33658536584</v>
      </c>
      <c r="H10" s="4"/>
    </row>
    <row r="11" spans="1:13" x14ac:dyDescent="0.25">
      <c r="A11" s="4"/>
      <c r="B11" s="4"/>
      <c r="C11" s="4"/>
      <c r="D11" s="4"/>
      <c r="F11" s="42">
        <f>SUM(F3:F10)</f>
        <v>209452.287804878</v>
      </c>
      <c r="G11" s="42">
        <f>F11*24</f>
        <v>5026854.9073170722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124</v>
      </c>
      <c r="D16" s="24" t="s">
        <v>4</v>
      </c>
      <c r="E16" s="24" t="s">
        <v>84</v>
      </c>
      <c r="F16" s="24" t="s">
        <v>127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12.759999999999998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397.88200000000006</v>
      </c>
      <c r="I18">
        <f>C18/F18</f>
        <v>43.999999999999993</v>
      </c>
      <c r="J18" s="42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11</v>
      </c>
      <c r="H19" s="38" t="s">
        <v>102</v>
      </c>
      <c r="I19" s="38">
        <f>I18/G19</f>
        <v>3.9999999999999996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43.999999999999993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0.31121951219512189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$J$2*G22</f>
        <v>70.33</v>
      </c>
      <c r="I22">
        <f>C22/F22</f>
        <v>0.18635898933839634</v>
      </c>
      <c r="J22" s="42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0.31121951219512189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$J$2*G23</f>
        <v>351.64600000000002</v>
      </c>
      <c r="I23">
        <f>C23/F23</f>
        <v>0.94308943089430874</v>
      </c>
      <c r="J23" s="42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1.1294484202327051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1.1294484202327051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0.31121951219512189</v>
      </c>
      <c r="D27" s="27"/>
      <c r="E27" s="24">
        <f>J22+J23</f>
        <v>773415.82799999998</v>
      </c>
      <c r="F27" s="24">
        <f>C27</f>
        <v>0.31121951219512189</v>
      </c>
      <c r="G27" s="24">
        <v>12500</v>
      </c>
      <c r="H27" s="24"/>
      <c r="I27">
        <f>C27/F27</f>
        <v>1</v>
      </c>
      <c r="J27" s="42">
        <f>E27+G27+H27</f>
        <v>785915.82799999998</v>
      </c>
      <c r="K27" t="s">
        <v>120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8" t="s">
        <v>116</v>
      </c>
      <c r="B29" s="28"/>
      <c r="C29" s="28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118</v>
      </c>
      <c r="B30" s="12">
        <v>10</v>
      </c>
      <c r="C30" s="24"/>
      <c r="D30" s="27" t="s">
        <v>117</v>
      </c>
      <c r="E30" s="24">
        <f>J27</f>
        <v>785915.82799999998</v>
      </c>
      <c r="F30" s="24">
        <v>4</v>
      </c>
      <c r="G30" s="40">
        <f>518*B30*(128/(2^(B30-1)))</f>
        <v>1295</v>
      </c>
      <c r="H30" s="24">
        <f>G30*J2</f>
        <v>259</v>
      </c>
      <c r="I30">
        <f>C27/F30</f>
        <v>7.7804878048780474E-2</v>
      </c>
      <c r="J30" s="42">
        <f>E30+H30+G30</f>
        <v>787469.82799999998</v>
      </c>
      <c r="K30" t="s">
        <v>121</v>
      </c>
    </row>
    <row r="31" spans="1:13" x14ac:dyDescent="0.25">
      <c r="A31" s="24"/>
      <c r="B31" s="24"/>
      <c r="C31" s="24"/>
      <c r="D31" s="26"/>
      <c r="E31" s="4"/>
      <c r="F31" s="37" t="s">
        <v>101</v>
      </c>
      <c r="G31" s="39">
        <v>1</v>
      </c>
      <c r="H31" s="38" t="s">
        <v>102</v>
      </c>
      <c r="I31" s="38">
        <f>(I30)/G31</f>
        <v>7.7804878048780474E-2</v>
      </c>
    </row>
    <row r="32" spans="1:13" x14ac:dyDescent="0.25">
      <c r="A32" s="24"/>
      <c r="B32" s="24"/>
      <c r="C32" s="24"/>
      <c r="D32" s="26"/>
      <c r="E32" s="4"/>
      <c r="G32" s="4"/>
      <c r="H32" s="38" t="s">
        <v>108</v>
      </c>
      <c r="I32" s="38">
        <f>I31*G31</f>
        <v>7.7804878048780474E-2</v>
      </c>
    </row>
    <row r="33" spans="1:9" x14ac:dyDescent="0.25">
      <c r="A33" s="24"/>
      <c r="B33" s="24" t="s">
        <v>109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105</v>
      </c>
      <c r="C34" s="12">
        <f>780000+10000*B27</f>
        <v>820000</v>
      </c>
      <c r="D34" s="24"/>
      <c r="E34" s="24"/>
      <c r="I34" s="1"/>
    </row>
    <row r="35" spans="1:9" x14ac:dyDescent="0.25">
      <c r="A35" s="24"/>
      <c r="B35" s="24" t="s">
        <v>128</v>
      </c>
      <c r="C35" s="24">
        <f>24*C27</f>
        <v>7.4692682926829255</v>
      </c>
      <c r="D35" s="24"/>
      <c r="E35" s="24"/>
      <c r="I35" s="1"/>
    </row>
    <row r="36" spans="1:9" x14ac:dyDescent="0.25">
      <c r="A36" s="24"/>
      <c r="B36" s="24" t="s">
        <v>106</v>
      </c>
      <c r="C36" s="42">
        <f>(C34-J27)*C27</f>
        <v>10607.659383414639</v>
      </c>
      <c r="D36" s="24"/>
      <c r="E36" s="24"/>
      <c r="I36" s="1"/>
    </row>
    <row r="37" spans="1:9" x14ac:dyDescent="0.25">
      <c r="A37" s="24"/>
      <c r="B37" s="24" t="s">
        <v>107</v>
      </c>
      <c r="C37" s="42">
        <f>C36*24</f>
        <v>254583.82520195132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110</v>
      </c>
      <c r="C39" s="24"/>
      <c r="D39" s="24"/>
      <c r="E39" s="24"/>
    </row>
    <row r="40" spans="1:9" x14ac:dyDescent="0.25">
      <c r="A40" s="24"/>
      <c r="B40" s="24" t="s">
        <v>105</v>
      </c>
      <c r="C40" s="12">
        <v>307</v>
      </c>
      <c r="D40" s="24"/>
      <c r="E40" s="24"/>
    </row>
    <row r="41" spans="1:9" x14ac:dyDescent="0.25">
      <c r="A41" s="24"/>
      <c r="B41" s="24" t="s">
        <v>111</v>
      </c>
      <c r="C41" s="24">
        <v>2800</v>
      </c>
      <c r="D41" s="24"/>
      <c r="E41" s="24"/>
    </row>
    <row r="42" spans="1:9" x14ac:dyDescent="0.25">
      <c r="A42" s="24"/>
      <c r="B42" s="24" t="s">
        <v>112</v>
      </c>
      <c r="C42" s="24">
        <f>(0.5)^(B27+1)</f>
        <v>3.125E-2</v>
      </c>
      <c r="D42" s="24"/>
      <c r="E42" s="24"/>
    </row>
    <row r="43" spans="1:9" x14ac:dyDescent="0.25">
      <c r="B43" s="24" t="s">
        <v>113</v>
      </c>
      <c r="C43" s="1">
        <f>C40*C41*(1-C42)</f>
        <v>832737.5</v>
      </c>
    </row>
    <row r="44" spans="1:9" x14ac:dyDescent="0.25">
      <c r="B44" s="24" t="s">
        <v>114</v>
      </c>
      <c r="C44" s="43">
        <f>(C43-J30)*C27</f>
        <v>14088.182798048785</v>
      </c>
    </row>
    <row r="45" spans="1:9" x14ac:dyDescent="0.25">
      <c r="B45" s="24" t="s">
        <v>115</v>
      </c>
      <c r="C45" s="43">
        <f>C44*24</f>
        <v>338116.38715317083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B1" zoomScale="70" zoomScaleNormal="70" workbookViewId="0">
      <selection activeCell="D20" sqref="D20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131</v>
      </c>
      <c r="E2" s="4" t="s">
        <v>132</v>
      </c>
      <c r="F2" s="4" t="s">
        <v>122</v>
      </c>
      <c r="G2" s="4" t="s">
        <v>123</v>
      </c>
      <c r="H2" s="4"/>
      <c r="I2" s="13" t="s">
        <v>9</v>
      </c>
      <c r="J2" s="14">
        <v>0.2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232.00000000000003</v>
      </c>
      <c r="E3">
        <f>D3*24</f>
        <v>5568.0000000000009</v>
      </c>
      <c r="F3" s="41">
        <f>D3*C3</f>
        <v>2436.0000000000005</v>
      </c>
      <c r="G3" s="41">
        <f>F3*24</f>
        <v>58464.000000000015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92.800000000000011</v>
      </c>
      <c r="E4">
        <f t="shared" ref="E4:E10" si="0">D4*24</f>
        <v>2227.2000000000003</v>
      </c>
      <c r="F4" s="41">
        <f>D4*C4</f>
        <v>83520.000000000015</v>
      </c>
      <c r="G4" s="41">
        <f t="shared" ref="G4:G10" si="1">F4*24</f>
        <v>2004480.0000000005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116.00000000000001</v>
      </c>
      <c r="E5">
        <f t="shared" si="0"/>
        <v>2784.0000000000005</v>
      </c>
      <c r="F5" s="41">
        <f>D5*C5</f>
        <v>2146.0000000000005</v>
      </c>
      <c r="G5" s="41">
        <f t="shared" si="1"/>
        <v>51504.000000000015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11.317073170731708</v>
      </c>
      <c r="E6">
        <f t="shared" si="0"/>
        <v>271.60975609756099</v>
      </c>
      <c r="F6" s="41">
        <f>D6*C6</f>
        <v>35268.526829268296</v>
      </c>
      <c r="G6" s="41">
        <f t="shared" si="1"/>
        <v>846444.64390243916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6.2243902439024392</v>
      </c>
      <c r="E7">
        <f t="shared" si="0"/>
        <v>149.38536585365853</v>
      </c>
      <c r="F7" s="41">
        <f>D7*C7</f>
        <v>60389.034146341466</v>
      </c>
      <c r="G7" s="41">
        <f t="shared" si="1"/>
        <v>1449336.8195121952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0.56585365853658542</v>
      </c>
      <c r="E8">
        <f t="shared" si="0"/>
        <v>13.58048780487805</v>
      </c>
      <c r="F8" s="41">
        <f>D8*C8</f>
        <v>3151.8048780487807</v>
      </c>
      <c r="G8" s="41">
        <f t="shared" si="1"/>
        <v>75643.317073170736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2.8292682926829271</v>
      </c>
      <c r="E9">
        <f t="shared" si="0"/>
        <v>67.902439024390247</v>
      </c>
      <c r="F9" s="41">
        <f>D9*C9</f>
        <v>1541.9512195121954</v>
      </c>
      <c r="G9" s="41">
        <f t="shared" si="1"/>
        <v>37006.829268292691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1.1317073170731708</v>
      </c>
      <c r="E10">
        <f t="shared" si="0"/>
        <v>27.1609756097561</v>
      </c>
      <c r="F10" s="41">
        <f>D10*C10</f>
        <v>1957.8536585365855</v>
      </c>
      <c r="G10" s="41">
        <f t="shared" si="1"/>
        <v>46988.487804878052</v>
      </c>
      <c r="H10" s="4"/>
    </row>
    <row r="11" spans="1:13" x14ac:dyDescent="0.25">
      <c r="A11" s="4"/>
      <c r="B11" s="4"/>
      <c r="C11" s="4"/>
      <c r="D11" s="4"/>
      <c r="F11" s="42">
        <f>SUM(F3:F10)</f>
        <v>190411.17073170736</v>
      </c>
      <c r="G11" s="42">
        <f>SUM(G3:G10)</f>
        <v>4569868.0975609766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124</v>
      </c>
      <c r="D16" s="24" t="s">
        <v>4</v>
      </c>
      <c r="E16" s="24" t="s">
        <v>84</v>
      </c>
      <c r="F16" s="24" t="s">
        <v>127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11.600000000000001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397.88200000000006</v>
      </c>
      <c r="I18">
        <f>C18/F18</f>
        <v>40.000000000000007</v>
      </c>
      <c r="J18" s="42">
        <f>E18+G18+H18</f>
        <v>9982.2919999999995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10</v>
      </c>
      <c r="H19" s="38" t="s">
        <v>102</v>
      </c>
      <c r="I19" s="38">
        <f>I18/G19</f>
        <v>4.0000000000000009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40.000000000000007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0.28292682926829271</v>
      </c>
      <c r="D22" s="26" t="s">
        <v>22</v>
      </c>
      <c r="E22" s="4">
        <f>40*C6+16*C7+34*J18</f>
        <v>619285.92799999996</v>
      </c>
      <c r="F22" s="4">
        <v>1.67</v>
      </c>
      <c r="G22" s="4">
        <v>351.65</v>
      </c>
      <c r="H22" s="4">
        <f>$J$2*G22</f>
        <v>70.33</v>
      </c>
      <c r="I22">
        <f>C22/F22</f>
        <v>0.16941726303490581</v>
      </c>
      <c r="J22" s="42">
        <f>E22+G22+H22</f>
        <v>619707.90799999994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0.28292682926829271</v>
      </c>
      <c r="D23" s="26" t="s">
        <v>25</v>
      </c>
      <c r="E23" s="4">
        <f>2*C8+10*C9+4*C10+6*C7+7*J18</f>
        <v>151598.04399999999</v>
      </c>
      <c r="F23" s="4">
        <v>0.33</v>
      </c>
      <c r="G23" s="4">
        <v>1758.23</v>
      </c>
      <c r="H23" s="4">
        <f>$J$2*G23</f>
        <v>351.64600000000002</v>
      </c>
      <c r="I23">
        <f>C23/F23</f>
        <v>0.85735402808573546</v>
      </c>
      <c r="J23" s="42">
        <f>E23+G23+H23</f>
        <v>153707.92000000001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1.0267712911206412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1.0267712911206412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0.28292682926829271</v>
      </c>
      <c r="D27" s="27" t="s">
        <v>48</v>
      </c>
      <c r="E27" s="24">
        <f>J22+J23</f>
        <v>773415.82799999998</v>
      </c>
      <c r="F27" s="24">
        <v>0.24</v>
      </c>
      <c r="G27" s="24">
        <v>3170.85</v>
      </c>
      <c r="H27" s="24">
        <f>$J$2*G27</f>
        <v>634.17000000000007</v>
      </c>
      <c r="I27">
        <f>C27/F27</f>
        <v>1.1788617886178863</v>
      </c>
      <c r="J27" s="42">
        <f>E27+G27+H27</f>
        <v>777220.848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7" t="s">
        <v>101</v>
      </c>
      <c r="G28" s="39">
        <v>1</v>
      </c>
      <c r="H28" s="38" t="s">
        <v>102</v>
      </c>
      <c r="I28" s="38">
        <f>I27/G28</f>
        <v>1.1788617886178863</v>
      </c>
      <c r="K28" t="s">
        <v>126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8" t="s">
        <v>108</v>
      </c>
      <c r="I29" s="38">
        <f>I28*G28</f>
        <v>1.1788617886178863</v>
      </c>
      <c r="K29" s="4"/>
      <c r="L29" s="4"/>
      <c r="M29" s="4"/>
    </row>
    <row r="30" spans="1:13" x14ac:dyDescent="0.25">
      <c r="A30" s="28" t="s">
        <v>116</v>
      </c>
      <c r="B30" s="28"/>
      <c r="C30" s="28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118</v>
      </c>
      <c r="B31" s="12">
        <v>10</v>
      </c>
      <c r="C31" s="24"/>
      <c r="D31" s="27" t="s">
        <v>117</v>
      </c>
      <c r="E31" s="24">
        <f>J27</f>
        <v>777220.848</v>
      </c>
      <c r="F31" s="24">
        <v>4</v>
      </c>
      <c r="G31" s="40">
        <f>518*B31*(128/(2^(B31-1)))</f>
        <v>1295</v>
      </c>
      <c r="H31" s="24">
        <f>G31*J2</f>
        <v>259</v>
      </c>
      <c r="I31">
        <f>C27/F31</f>
        <v>7.0731707317073178E-2</v>
      </c>
      <c r="J31" s="42">
        <f>E31+G31+H31</f>
        <v>778774.848</v>
      </c>
      <c r="K31" t="s">
        <v>125</v>
      </c>
    </row>
    <row r="32" spans="1:13" x14ac:dyDescent="0.25">
      <c r="A32" s="24"/>
      <c r="B32" s="24"/>
      <c r="C32" s="24"/>
      <c r="D32" s="26"/>
      <c r="E32" s="4"/>
      <c r="F32" s="37" t="s">
        <v>101</v>
      </c>
      <c r="G32" s="39">
        <v>1</v>
      </c>
      <c r="H32" s="38" t="s">
        <v>102</v>
      </c>
      <c r="I32" s="38">
        <f>(I31)/G32</f>
        <v>7.0731707317073178E-2</v>
      </c>
    </row>
    <row r="33" spans="1:9" x14ac:dyDescent="0.25">
      <c r="A33" s="24"/>
      <c r="B33" s="24"/>
      <c r="C33" s="24"/>
      <c r="D33" s="26"/>
      <c r="E33" s="4"/>
      <c r="G33" s="4"/>
      <c r="H33" s="38" t="s">
        <v>108</v>
      </c>
      <c r="I33" s="38">
        <f>I32*G32</f>
        <v>7.0731707317073178E-2</v>
      </c>
    </row>
    <row r="34" spans="1:9" x14ac:dyDescent="0.25">
      <c r="A34" s="24"/>
      <c r="B34" s="24" t="s">
        <v>109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105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128</v>
      </c>
      <c r="C36" s="24">
        <f>24*C27</f>
        <v>6.7902439024390251</v>
      </c>
      <c r="D36" s="24"/>
      <c r="E36" s="24"/>
      <c r="I36" s="1"/>
    </row>
    <row r="37" spans="1:9" x14ac:dyDescent="0.25">
      <c r="A37" s="24"/>
      <c r="B37" s="24" t="s">
        <v>106</v>
      </c>
      <c r="C37" s="42">
        <f>(C35-J27)*C27</f>
        <v>20591.174712195123</v>
      </c>
      <c r="D37" s="24"/>
      <c r="E37" s="24"/>
      <c r="I37" s="1"/>
    </row>
    <row r="38" spans="1:9" x14ac:dyDescent="0.25">
      <c r="A38" s="24"/>
      <c r="B38" s="24" t="s">
        <v>107</v>
      </c>
      <c r="C38" s="42">
        <f>C37*24</f>
        <v>494188.19309268298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110</v>
      </c>
      <c r="C40" s="24"/>
      <c r="D40" s="24"/>
      <c r="E40" s="24"/>
    </row>
    <row r="41" spans="1:9" x14ac:dyDescent="0.25">
      <c r="A41" s="24"/>
      <c r="B41" s="24" t="s">
        <v>105</v>
      </c>
      <c r="C41" s="12">
        <v>307</v>
      </c>
      <c r="D41" s="24"/>
      <c r="E41" s="24"/>
    </row>
    <row r="42" spans="1:9" x14ac:dyDescent="0.25">
      <c r="A42" s="24"/>
      <c r="B42" s="24" t="s">
        <v>111</v>
      </c>
      <c r="C42" s="24">
        <v>2800</v>
      </c>
      <c r="D42" s="24"/>
      <c r="E42" s="24"/>
    </row>
    <row r="43" spans="1:9" x14ac:dyDescent="0.25">
      <c r="A43" s="24"/>
      <c r="B43" s="24" t="s">
        <v>112</v>
      </c>
      <c r="C43" s="24">
        <f>(0.5)^(B27+1)</f>
        <v>3.125E-2</v>
      </c>
      <c r="D43" s="24"/>
      <c r="E43" s="24"/>
    </row>
    <row r="44" spans="1:9" x14ac:dyDescent="0.25">
      <c r="B44" s="24" t="s">
        <v>113</v>
      </c>
      <c r="C44" s="1">
        <f>C41*C42*(1-C43)</f>
        <v>832737.5</v>
      </c>
    </row>
    <row r="45" spans="1:9" x14ac:dyDescent="0.25">
      <c r="B45" s="24" t="s">
        <v>114</v>
      </c>
      <c r="C45" s="43">
        <f>(C44-J31)*C27</f>
        <v>15267.482029268294</v>
      </c>
    </row>
    <row r="46" spans="1:9" x14ac:dyDescent="0.25">
      <c r="B46" s="24" t="s">
        <v>115</v>
      </c>
      <c r="C46" s="43">
        <f>C45*24</f>
        <v>366419.56870243908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2021-04-16T13:24:58Z</dcterms:modified>
</cp:coreProperties>
</file>