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F\Documents\GitHub\SimCompanies\"/>
    </mc:Choice>
  </mc:AlternateContent>
  <bookViews>
    <workbookView xWindow="0" yWindow="0" windowWidth="20490" windowHeight="7650" firstSheet="4" activeTab="6"/>
  </bookViews>
  <sheets>
    <sheet name="All of them" sheetId="12" r:id="rId1"/>
    <sheet name="Jumbo jet" sheetId="8" r:id="rId2"/>
    <sheet name="Luxury jet" sheetId="7" r:id="rId3"/>
    <sheet name="s. Engine" sheetId="11" r:id="rId4"/>
    <sheet name="BFRs" sheetId="9" r:id="rId5"/>
    <sheet name="SORs" sheetId="5" r:id="rId6"/>
    <sheet name="Rocket production" sheetId="13" r:id="rId7"/>
    <sheet name="Production Plans second stage" sheetId="15" r:id="rId8"/>
    <sheet name="Production Plans third stage" sheetId="16" r:id="rId9"/>
    <sheet name="Production Plans final stage" sheetId="14" r:id="rId10"/>
  </sheets>
  <definedNames>
    <definedName name="solver_adj" localSheetId="6" hidden="1">'Rocket production'!$C$13</definedName>
    <definedName name="solver_cvg" localSheetId="6" hidden="1">0.0001</definedName>
    <definedName name="solver_drv" localSheetId="6" hidden="1">1</definedName>
    <definedName name="solver_eng" localSheetId="6" hidden="1">1</definedName>
    <definedName name="solver_est" localSheetId="6" hidden="1">1</definedName>
    <definedName name="solver_itr" localSheetId="6" hidden="1">2147483647</definedName>
    <definedName name="solver_lhs1" localSheetId="6" hidden="1">'Rocket production'!$C$21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6" hidden="1">1</definedName>
    <definedName name="solver_nod" localSheetId="6" hidden="1">2147483647</definedName>
    <definedName name="solver_num" localSheetId="6" hidden="1">1</definedName>
    <definedName name="solver_nwt" localSheetId="6" hidden="1">1</definedName>
    <definedName name="solver_opt" localSheetId="6" hidden="1">'Rocket production'!$B$31</definedName>
    <definedName name="solver_pre" localSheetId="6" hidden="1">0.000001</definedName>
    <definedName name="solver_rbv" localSheetId="6" hidden="1">1</definedName>
    <definedName name="solver_rel1" localSheetId="6" hidden="1">3</definedName>
    <definedName name="solver_rhs1" localSheetId="6" hidden="1">500000</definedName>
    <definedName name="solver_rlx" localSheetId="6" hidden="1">2</definedName>
    <definedName name="solver_rsd" localSheetId="6" hidden="1">0</definedName>
    <definedName name="solver_scl" localSheetId="6" hidden="1">1</definedName>
    <definedName name="solver_sho" localSheetId="6" hidden="1">2</definedName>
    <definedName name="solver_ssz" localSheetId="6" hidden="1">100</definedName>
    <definedName name="solver_tim" localSheetId="6" hidden="1">2147483647</definedName>
    <definedName name="solver_tol" localSheetId="6" hidden="1">0.01</definedName>
    <definedName name="solver_typ" localSheetId="6" hidden="1">1</definedName>
    <definedName name="solver_val" localSheetId="6" hidden="1">0</definedName>
    <definedName name="solver_ver" localSheetId="6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3" l="1"/>
  <c r="C13" i="13" l="1"/>
  <c r="F31" i="14" l="1"/>
  <c r="I31" i="14" s="1"/>
  <c r="F30" i="16"/>
  <c r="I30" i="16" s="1"/>
  <c r="K3" i="13"/>
  <c r="F46" i="15" l="1"/>
  <c r="G46" i="15"/>
  <c r="F47" i="15"/>
  <c r="C43" i="15" s="1"/>
  <c r="C44" i="15" s="1"/>
  <c r="G47" i="15"/>
  <c r="F48" i="15"/>
  <c r="G48" i="15"/>
  <c r="F49" i="15"/>
  <c r="G49" i="15"/>
  <c r="G45" i="15"/>
  <c r="F45" i="15"/>
  <c r="G53" i="15"/>
  <c r="G54" i="15"/>
  <c r="G55" i="15"/>
  <c r="G56" i="15"/>
  <c r="G52" i="15"/>
  <c r="F53" i="15"/>
  <c r="F54" i="15"/>
  <c r="F55" i="15"/>
  <c r="F56" i="15"/>
  <c r="F52" i="15"/>
  <c r="C42" i="16"/>
  <c r="C43" i="16" s="1"/>
  <c r="C35" i="16"/>
  <c r="F27" i="16"/>
  <c r="I27" i="16" s="1"/>
  <c r="C23" i="16"/>
  <c r="I23" i="16" s="1"/>
  <c r="B23" i="16"/>
  <c r="B9" i="16" s="1"/>
  <c r="C22" i="16"/>
  <c r="I22" i="16" s="1"/>
  <c r="B22" i="16"/>
  <c r="B6" i="16" s="1"/>
  <c r="E18" i="16"/>
  <c r="D6" i="16" l="1"/>
  <c r="E6" i="16" s="1"/>
  <c r="I24" i="16"/>
  <c r="I25" i="16" s="1"/>
  <c r="D7" i="16"/>
  <c r="E7" i="16" s="1"/>
  <c r="D9" i="16"/>
  <c r="E9" i="16" s="1"/>
  <c r="B8" i="16"/>
  <c r="D8" i="16"/>
  <c r="B18" i="16"/>
  <c r="B7" i="16"/>
  <c r="B10" i="16"/>
  <c r="C18" i="16"/>
  <c r="D10" i="16"/>
  <c r="F6" i="16" l="1"/>
  <c r="G6" i="16" s="1"/>
  <c r="F7" i="16"/>
  <c r="G7" i="16" s="1"/>
  <c r="F9" i="16"/>
  <c r="G9" i="16" s="1"/>
  <c r="F8" i="16"/>
  <c r="G8" i="16" s="1"/>
  <c r="E8" i="16"/>
  <c r="F10" i="16"/>
  <c r="G10" i="16" s="1"/>
  <c r="E10" i="16"/>
  <c r="D3" i="16"/>
  <c r="I18" i="16"/>
  <c r="I19" i="16" s="1"/>
  <c r="I20" i="16" s="1"/>
  <c r="D4" i="16"/>
  <c r="D5" i="16"/>
  <c r="B5" i="16"/>
  <c r="B3" i="16"/>
  <c r="B4" i="16"/>
  <c r="J2" i="16" l="1"/>
  <c r="J4" i="16" s="1"/>
  <c r="J5" i="16" s="1"/>
  <c r="H30" i="16" s="1"/>
  <c r="E3" i="16"/>
  <c r="F3" i="16"/>
  <c r="F5" i="16"/>
  <c r="G5" i="16" s="1"/>
  <c r="E5" i="16"/>
  <c r="F4" i="16"/>
  <c r="G4" i="16" s="1"/>
  <c r="E4" i="16"/>
  <c r="H23" i="16" l="1"/>
  <c r="H22" i="16"/>
  <c r="H18" i="16"/>
  <c r="J18" i="16" s="1"/>
  <c r="E22" i="16" s="1"/>
  <c r="J22" i="16" s="1"/>
  <c r="F11" i="16"/>
  <c r="G11" i="16" s="1"/>
  <c r="G3" i="16"/>
  <c r="C19" i="13"/>
  <c r="C36" i="15"/>
  <c r="C36" i="14"/>
  <c r="F27" i="15"/>
  <c r="I27" i="15" s="1"/>
  <c r="C23" i="15"/>
  <c r="I23" i="15" s="1"/>
  <c r="B23" i="15"/>
  <c r="B9" i="15" s="1"/>
  <c r="C22" i="15"/>
  <c r="I22" i="15" s="1"/>
  <c r="B22" i="15"/>
  <c r="B6" i="15" s="1"/>
  <c r="E18" i="15"/>
  <c r="C35" i="14"/>
  <c r="C43" i="14"/>
  <c r="C44" i="14" s="1"/>
  <c r="I27" i="14"/>
  <c r="I28" i="14" s="1"/>
  <c r="I29" i="14" s="1"/>
  <c r="B23" i="14"/>
  <c r="B8" i="14" s="1"/>
  <c r="C22" i="14"/>
  <c r="I22" i="14" s="1"/>
  <c r="B22" i="14"/>
  <c r="B6" i="14" s="1"/>
  <c r="E18" i="14"/>
  <c r="E23" i="16" l="1"/>
  <c r="J23" i="16" s="1"/>
  <c r="E27" i="16" s="1"/>
  <c r="J27" i="16" s="1"/>
  <c r="B8" i="15"/>
  <c r="B10" i="15"/>
  <c r="B7" i="15"/>
  <c r="D7" i="15"/>
  <c r="D10" i="15"/>
  <c r="D6" i="15"/>
  <c r="D9" i="15"/>
  <c r="C18" i="15"/>
  <c r="D8" i="15"/>
  <c r="I24" i="15"/>
  <c r="I25" i="15" s="1"/>
  <c r="B18" i="15"/>
  <c r="D6" i="14"/>
  <c r="B10" i="14"/>
  <c r="B18" i="14"/>
  <c r="B9" i="14"/>
  <c r="B7" i="14"/>
  <c r="C23" i="14"/>
  <c r="C36" i="16" l="1"/>
  <c r="C37" i="16" s="1"/>
  <c r="E30" i="16"/>
  <c r="J30" i="16" s="1"/>
  <c r="F6" i="14"/>
  <c r="G6" i="14" s="1"/>
  <c r="E6" i="14"/>
  <c r="F8" i="15"/>
  <c r="G8" i="15" s="1"/>
  <c r="E8" i="15"/>
  <c r="F9" i="15"/>
  <c r="G9" i="15" s="1"/>
  <c r="E9" i="15"/>
  <c r="F6" i="15"/>
  <c r="G6" i="15" s="1"/>
  <c r="E6" i="15"/>
  <c r="F10" i="15"/>
  <c r="G10" i="15" s="1"/>
  <c r="E10" i="15"/>
  <c r="F7" i="15"/>
  <c r="G7" i="15" s="1"/>
  <c r="E7" i="15"/>
  <c r="D3" i="15"/>
  <c r="D4" i="15"/>
  <c r="I18" i="15"/>
  <c r="I19" i="15" s="1"/>
  <c r="I20" i="15" s="1"/>
  <c r="J2" i="15" s="1"/>
  <c r="J4" i="15" s="1"/>
  <c r="J5" i="15" s="1"/>
  <c r="D5" i="15"/>
  <c r="B5" i="15"/>
  <c r="B3" i="15"/>
  <c r="B4" i="15"/>
  <c r="D9" i="14"/>
  <c r="D10" i="14"/>
  <c r="D7" i="14"/>
  <c r="D8" i="14"/>
  <c r="I23" i="14"/>
  <c r="I24" i="14" s="1"/>
  <c r="I25" i="14" s="1"/>
  <c r="B3" i="14"/>
  <c r="B4" i="14"/>
  <c r="B5" i="14"/>
  <c r="C18" i="14"/>
  <c r="H23" i="15" l="1"/>
  <c r="H22" i="15"/>
  <c r="H18" i="15"/>
  <c r="C44" i="16"/>
  <c r="C45" i="16" s="1"/>
  <c r="F9" i="14"/>
  <c r="G9" i="14" s="1"/>
  <c r="E9" i="14"/>
  <c r="F8" i="14"/>
  <c r="G8" i="14" s="1"/>
  <c r="E8" i="14"/>
  <c r="F7" i="14"/>
  <c r="G7" i="14" s="1"/>
  <c r="E7" i="14"/>
  <c r="F10" i="14"/>
  <c r="G10" i="14" s="1"/>
  <c r="E10" i="14"/>
  <c r="J18" i="15"/>
  <c r="F4" i="15"/>
  <c r="G4" i="15" s="1"/>
  <c r="E4" i="15"/>
  <c r="F3" i="15"/>
  <c r="G3" i="15" s="1"/>
  <c r="E3" i="15"/>
  <c r="F5" i="15"/>
  <c r="G5" i="15" s="1"/>
  <c r="E5" i="15"/>
  <c r="D3" i="14"/>
  <c r="D4" i="14"/>
  <c r="I18" i="14"/>
  <c r="I19" i="14" s="1"/>
  <c r="I20" i="14" s="1"/>
  <c r="J2" i="14" s="1"/>
  <c r="J4" i="14" s="1"/>
  <c r="J5" i="14" s="1"/>
  <c r="D5" i="14"/>
  <c r="H18" i="14" l="1"/>
  <c r="J18" i="14" s="1"/>
  <c r="H31" i="14"/>
  <c r="H23" i="14"/>
  <c r="H22" i="14"/>
  <c r="H27" i="14"/>
  <c r="F3" i="14"/>
  <c r="G3" i="14" s="1"/>
  <c r="E3" i="14"/>
  <c r="F5" i="14"/>
  <c r="G5" i="14" s="1"/>
  <c r="E5" i="14"/>
  <c r="F4" i="14"/>
  <c r="G4" i="14" s="1"/>
  <c r="E4" i="14"/>
  <c r="E23" i="15"/>
  <c r="J23" i="15" s="1"/>
  <c r="E22" i="15"/>
  <c r="F11" i="15"/>
  <c r="G11" i="15" s="1"/>
  <c r="B4" i="13"/>
  <c r="B5" i="13"/>
  <c r="B3" i="13"/>
  <c r="C45" i="9"/>
  <c r="B51" i="9"/>
  <c r="B52" i="9"/>
  <c r="B53" i="9"/>
  <c r="B54" i="9"/>
  <c r="B55" i="9"/>
  <c r="C55" i="9" s="1"/>
  <c r="B56" i="9"/>
  <c r="B57" i="9"/>
  <c r="B58" i="9"/>
  <c r="B59" i="9"/>
  <c r="C59" i="9" s="1"/>
  <c r="B60" i="9"/>
  <c r="B50" i="9"/>
  <c r="B28" i="9"/>
  <c r="B32" i="9" s="1"/>
  <c r="B27" i="9"/>
  <c r="B25" i="9" s="1"/>
  <c r="G11" i="14" l="1"/>
  <c r="E22" i="14"/>
  <c r="J22" i="14" s="1"/>
  <c r="E23" i="14"/>
  <c r="J23" i="14" s="1"/>
  <c r="F11" i="14"/>
  <c r="J22" i="15"/>
  <c r="E27" i="15" s="1"/>
  <c r="J27" i="15" s="1"/>
  <c r="C45" i="15" s="1"/>
  <c r="C46" i="15" s="1"/>
  <c r="C51" i="9"/>
  <c r="C58" i="9"/>
  <c r="C54" i="9"/>
  <c r="D55" i="9" s="1"/>
  <c r="D59" i="9"/>
  <c r="C60" i="9"/>
  <c r="D60" i="9" s="1"/>
  <c r="C56" i="9"/>
  <c r="D56" i="9" s="1"/>
  <c r="C52" i="9"/>
  <c r="D52" i="9" s="1"/>
  <c r="C57" i="9"/>
  <c r="C53" i="9"/>
  <c r="B35" i="9"/>
  <c r="B26" i="9"/>
  <c r="B31" i="9"/>
  <c r="B24" i="9"/>
  <c r="E27" i="14" l="1"/>
  <c r="J27" i="14" s="1"/>
  <c r="E31" i="14" s="1"/>
  <c r="J31" i="14" s="1"/>
  <c r="H41" i="15"/>
  <c r="G40" i="15"/>
  <c r="H42" i="15"/>
  <c r="G41" i="15"/>
  <c r="C37" i="15"/>
  <c r="C38" i="15" s="1"/>
  <c r="G39" i="15"/>
  <c r="H38" i="15"/>
  <c r="G38" i="15"/>
  <c r="G42" i="15"/>
  <c r="H40" i="15"/>
  <c r="H39" i="15"/>
  <c r="D5" i="13"/>
  <c r="D3" i="13"/>
  <c r="D53" i="9"/>
  <c r="D57" i="9"/>
  <c r="D54" i="9"/>
  <c r="D58" i="9"/>
  <c r="I38" i="15" l="1"/>
  <c r="I41" i="15"/>
  <c r="C45" i="14"/>
  <c r="C46" i="14" s="1"/>
  <c r="C37" i="14"/>
  <c r="C38" i="14" s="1"/>
  <c r="I40" i="15"/>
  <c r="I39" i="15"/>
  <c r="I42" i="15"/>
  <c r="F3" i="13"/>
  <c r="G3" i="13" s="1"/>
  <c r="E3" i="13"/>
  <c r="F5" i="13"/>
  <c r="G5" i="13" s="1"/>
  <c r="E5" i="13"/>
  <c r="D4" i="13"/>
  <c r="I13" i="13"/>
  <c r="E13" i="13"/>
  <c r="I14" i="13" l="1"/>
  <c r="B30" i="13" s="1"/>
  <c r="F4" i="13"/>
  <c r="E4" i="13"/>
  <c r="K24" i="11"/>
  <c r="K25" i="11"/>
  <c r="K28" i="11"/>
  <c r="K31" i="11"/>
  <c r="K34" i="11"/>
  <c r="K36" i="11"/>
  <c r="J25" i="11"/>
  <c r="J24" i="11"/>
  <c r="J28" i="11"/>
  <c r="J31" i="11"/>
  <c r="J34" i="11"/>
  <c r="K24" i="7"/>
  <c r="K25" i="7"/>
  <c r="K28" i="7"/>
  <c r="K31" i="7"/>
  <c r="K34" i="7"/>
  <c r="K36" i="7"/>
  <c r="J34" i="7"/>
  <c r="J31" i="7"/>
  <c r="J28" i="7"/>
  <c r="J25" i="7"/>
  <c r="J24" i="7"/>
  <c r="K31" i="8"/>
  <c r="K25" i="8"/>
  <c r="K28" i="8"/>
  <c r="K34" i="8"/>
  <c r="K24" i="8"/>
  <c r="K36" i="8"/>
  <c r="J34" i="8"/>
  <c r="J31" i="8"/>
  <c r="J28" i="8"/>
  <c r="J25" i="8"/>
  <c r="J24" i="8"/>
  <c r="I15" i="13" l="1"/>
  <c r="G4" i="13"/>
  <c r="L25" i="9"/>
  <c r="J2" i="13" l="1"/>
  <c r="J4" i="13" s="1"/>
  <c r="J5" i="13" s="1"/>
  <c r="H13" i="13" s="1"/>
  <c r="F6" i="13" s="1"/>
  <c r="G6" i="13" s="1"/>
  <c r="G7" i="13" s="1"/>
  <c r="L31" i="5"/>
  <c r="L35" i="5"/>
  <c r="L38" i="5"/>
  <c r="L27" i="5"/>
  <c r="L35" i="9"/>
  <c r="M33" i="9"/>
  <c r="L32" i="9"/>
  <c r="L31" i="9"/>
  <c r="L26" i="9"/>
  <c r="L24" i="9"/>
  <c r="L28" i="9"/>
  <c r="L27" i="9"/>
  <c r="L38" i="9"/>
  <c r="J30" i="5"/>
  <c r="J29" i="5"/>
  <c r="K31" i="5" s="1"/>
  <c r="K40" i="5" s="1"/>
  <c r="J34" i="5"/>
  <c r="J33" i="5"/>
  <c r="K35" i="5" s="1"/>
  <c r="J25" i="5"/>
  <c r="J24" i="5"/>
  <c r="J26" i="5"/>
  <c r="K38" i="5"/>
  <c r="J37" i="5"/>
  <c r="G52" i="12"/>
  <c r="G51" i="12"/>
  <c r="G50" i="12"/>
  <c r="G47" i="12"/>
  <c r="G46" i="12"/>
  <c r="G43" i="12"/>
  <c r="H43" i="12" s="1"/>
  <c r="D43" i="12"/>
  <c r="G42" i="12"/>
  <c r="D42" i="12"/>
  <c r="H42" i="12" s="1"/>
  <c r="G41" i="12"/>
  <c r="D41" i="12"/>
  <c r="H41" i="12" s="1"/>
  <c r="H40" i="12"/>
  <c r="G40" i="12"/>
  <c r="D40" i="12"/>
  <c r="G39" i="12"/>
  <c r="H39" i="12" s="1"/>
  <c r="D39" i="12"/>
  <c r="G36" i="12"/>
  <c r="G35" i="12"/>
  <c r="D35" i="12"/>
  <c r="H35" i="12" s="1"/>
  <c r="H34" i="12"/>
  <c r="G34" i="12"/>
  <c r="D34" i="12"/>
  <c r="G33" i="12"/>
  <c r="H33" i="12" s="1"/>
  <c r="D36" i="12" s="1"/>
  <c r="H36" i="12" s="1"/>
  <c r="D33" i="12"/>
  <c r="G30" i="12"/>
  <c r="G29" i="12"/>
  <c r="G28" i="12"/>
  <c r="G27" i="12"/>
  <c r="H27" i="12" s="1"/>
  <c r="D27" i="12"/>
  <c r="G26" i="12"/>
  <c r="D26" i="12"/>
  <c r="H26" i="12" s="1"/>
  <c r="G25" i="12"/>
  <c r="D25" i="12"/>
  <c r="H25" i="12" s="1"/>
  <c r="H24" i="12"/>
  <c r="D51" i="12" s="1"/>
  <c r="H51" i="12" s="1"/>
  <c r="G24" i="12"/>
  <c r="D24" i="12"/>
  <c r="F7" i="13" l="1"/>
  <c r="J13" i="13"/>
  <c r="C20" i="13" s="1"/>
  <c r="C21" i="13" s="1"/>
  <c r="M39" i="9"/>
  <c r="M41" i="9" s="1"/>
  <c r="M36" i="9"/>
  <c r="N36" i="9" s="1"/>
  <c r="M29" i="9"/>
  <c r="K27" i="5"/>
  <c r="D30" i="12"/>
  <c r="H30" i="12" s="1"/>
  <c r="D50" i="12"/>
  <c r="H50" i="12" s="1"/>
  <c r="D29" i="12"/>
  <c r="H29" i="12" s="1"/>
  <c r="D47" i="12" s="1"/>
  <c r="H47" i="12" s="1"/>
  <c r="D28" i="12"/>
  <c r="H28" i="12" s="1"/>
  <c r="D46" i="12" s="1"/>
  <c r="H46" i="12" s="1"/>
  <c r="D52" i="12"/>
  <c r="H52" i="12" s="1"/>
  <c r="G34" i="11"/>
  <c r="G31" i="11"/>
  <c r="D31" i="11"/>
  <c r="G28" i="11"/>
  <c r="D28" i="11"/>
  <c r="G25" i="11"/>
  <c r="D25" i="11"/>
  <c r="G24" i="11"/>
  <c r="D24" i="11"/>
  <c r="H24" i="11" s="1"/>
  <c r="H38" i="9"/>
  <c r="H35" i="9"/>
  <c r="E35" i="9"/>
  <c r="H32" i="9"/>
  <c r="E32" i="9"/>
  <c r="H31" i="9"/>
  <c r="E31" i="9"/>
  <c r="H28" i="9"/>
  <c r="H27" i="9"/>
  <c r="H26" i="9"/>
  <c r="E26" i="9"/>
  <c r="H25" i="9"/>
  <c r="E25" i="9"/>
  <c r="H24" i="9"/>
  <c r="E24" i="9"/>
  <c r="G34" i="8"/>
  <c r="G31" i="8"/>
  <c r="D31" i="8"/>
  <c r="G28" i="8"/>
  <c r="D28" i="8"/>
  <c r="G25" i="8"/>
  <c r="D25" i="8"/>
  <c r="G24" i="8"/>
  <c r="D24" i="8"/>
  <c r="G34" i="7"/>
  <c r="G31" i="7"/>
  <c r="D31" i="7"/>
  <c r="H31" i="7" s="1"/>
  <c r="G28" i="7"/>
  <c r="D28" i="7"/>
  <c r="G25" i="7"/>
  <c r="D25" i="7"/>
  <c r="G24" i="7"/>
  <c r="D24" i="7"/>
  <c r="B31" i="13" l="1"/>
  <c r="C18" i="13"/>
  <c r="N25" i="9"/>
  <c r="N38" i="9"/>
  <c r="N28" i="9"/>
  <c r="N26" i="9"/>
  <c r="N27" i="9"/>
  <c r="N32" i="9"/>
  <c r="N24" i="9"/>
  <c r="N31" i="9"/>
  <c r="N35" i="9"/>
  <c r="N29" i="9"/>
  <c r="N33" i="9"/>
  <c r="N39" i="9"/>
  <c r="H28" i="11"/>
  <c r="H25" i="11"/>
  <c r="H31" i="11"/>
  <c r="H28" i="7"/>
  <c r="H25" i="7"/>
  <c r="H24" i="7"/>
  <c r="D34" i="7" s="1"/>
  <c r="H34" i="7" s="1"/>
  <c r="H25" i="8"/>
  <c r="H28" i="8"/>
  <c r="H24" i="8"/>
  <c r="H31" i="8"/>
  <c r="I24" i="9"/>
  <c r="J24" i="9" s="1"/>
  <c r="I25" i="9"/>
  <c r="J25" i="9" s="1"/>
  <c r="I31" i="9"/>
  <c r="J31" i="9" s="1"/>
  <c r="I32" i="9"/>
  <c r="J32" i="9" s="1"/>
  <c r="I35" i="9"/>
  <c r="J35" i="9" s="1"/>
  <c r="I26" i="9"/>
  <c r="J26" i="9" s="1"/>
  <c r="D34" i="5"/>
  <c r="D33" i="5"/>
  <c r="D30" i="5"/>
  <c r="D29" i="5"/>
  <c r="D25" i="5"/>
  <c r="D24" i="5"/>
  <c r="G29" i="5"/>
  <c r="G30" i="5"/>
  <c r="G33" i="5"/>
  <c r="G34" i="5"/>
  <c r="G37" i="5"/>
  <c r="G25" i="5"/>
  <c r="G26" i="5"/>
  <c r="G24" i="5"/>
  <c r="D34" i="11" l="1"/>
  <c r="H34" i="11" s="1"/>
  <c r="D34" i="8"/>
  <c r="H34" i="8" s="1"/>
  <c r="E27" i="9"/>
  <c r="I27" i="9" s="1"/>
  <c r="E28" i="9"/>
  <c r="I28" i="9" s="1"/>
  <c r="H33" i="5"/>
  <c r="H30" i="5"/>
  <c r="H34" i="5"/>
  <c r="H29" i="5"/>
  <c r="H24" i="5"/>
  <c r="H25" i="5"/>
  <c r="E38" i="9" l="1"/>
  <c r="I38" i="9" s="1"/>
  <c r="D26" i="5"/>
  <c r="H26" i="5" s="1"/>
  <c r="D37" i="5" s="1"/>
  <c r="H37" i="5" s="1"/>
</calcChain>
</file>

<file path=xl/sharedStrings.xml><?xml version="1.0" encoding="utf-8"?>
<sst xmlns="http://schemas.openxmlformats.org/spreadsheetml/2006/main" count="573" uniqueCount="161">
  <si>
    <t>Carbon composite</t>
  </si>
  <si>
    <t xml:space="preserve">RAW MATERIAL </t>
  </si>
  <si>
    <t>MARKET PRICE</t>
  </si>
  <si>
    <t xml:space="preserve">AEROSPACE FACTORY </t>
  </si>
  <si>
    <t>REQUIREMENTS</t>
  </si>
  <si>
    <t>Fuselage</t>
  </si>
  <si>
    <t>UNITS PER HOUR</t>
  </si>
  <si>
    <t>UNIT WORKER COST</t>
  </si>
  <si>
    <t>UNIT ADMIN COST</t>
  </si>
  <si>
    <t>ADMIN OVERHEAD</t>
  </si>
  <si>
    <t>Aluminium</t>
  </si>
  <si>
    <t>Wing</t>
  </si>
  <si>
    <t>30*Carbon composite + 5 Aluminium</t>
  </si>
  <si>
    <t>Propellant tank</t>
  </si>
  <si>
    <t>TRANSPORT UNITS</t>
  </si>
  <si>
    <t>40*Carbon composite</t>
  </si>
  <si>
    <t>50 Aluminium + 250 Rocket fuel</t>
  </si>
  <si>
    <t>Rocket fuel</t>
  </si>
  <si>
    <t>Heat shield</t>
  </si>
  <si>
    <t>20 Steel + 30 Silicon</t>
  </si>
  <si>
    <t>Sub orbital  2nd stage</t>
  </si>
  <si>
    <t xml:space="preserve">8 Fuselage + 2 Propellant tank + 2 Flight computer + 4 Ion drive + 2 Attitude control </t>
  </si>
  <si>
    <t xml:space="preserve">40 Fuselage + 16 Propellant tank + 34 Rocket engine </t>
  </si>
  <si>
    <t>Starship</t>
  </si>
  <si>
    <t>Orbital booster</t>
  </si>
  <si>
    <t>2 Cockpit + 10 Heat shield + 4 Attitude control + 6 Propellant tank + 7 Rocket engine</t>
  </si>
  <si>
    <t>AEROSPACE ELECTRONICS</t>
  </si>
  <si>
    <t>Flight computer</t>
  </si>
  <si>
    <t>4 High grade e-comps + 2 On-board computer</t>
  </si>
  <si>
    <t>Cockpit</t>
  </si>
  <si>
    <t>4 High grade e comps + 8 Displays + 1 basic interior</t>
  </si>
  <si>
    <t>Attitude control</t>
  </si>
  <si>
    <t xml:space="preserve">3 Steel + 5 batteries + 3 electric motor </t>
  </si>
  <si>
    <t>Satellite</t>
  </si>
  <si>
    <t xml:space="preserve">8 High grade e-comps + 4 flight computer + 1 ion drive + 2 Attitude control </t>
  </si>
  <si>
    <t>PROPULSION FACTORY</t>
  </si>
  <si>
    <t>Solid fuel booster</t>
  </si>
  <si>
    <t xml:space="preserve">30 Aluminium + 100 Rocket fuel + 50 Chemicals </t>
  </si>
  <si>
    <t>Rocket engine</t>
  </si>
  <si>
    <t>20 Steel + 8 High grade e-comps + 10 Aluminium</t>
  </si>
  <si>
    <t>Ion drive</t>
  </si>
  <si>
    <t xml:space="preserve">8 High grade e-comps + 30 Batteries + 15 Chemicals </t>
  </si>
  <si>
    <t>Jet engine</t>
  </si>
  <si>
    <t>4 High grade e-comps + 5 Aluminium</t>
  </si>
  <si>
    <t>VERTICAL INTEGRATION FACILITY</t>
  </si>
  <si>
    <t>Sub-orbital rocket</t>
  </si>
  <si>
    <t>1 Solid fuel booster + 1 Sub-orbital 2nd stage</t>
  </si>
  <si>
    <t>BFR</t>
  </si>
  <si>
    <t>1 Orbital booster + 1 Starship</t>
  </si>
  <si>
    <t>HANGAR</t>
  </si>
  <si>
    <t>Jumbo jet</t>
  </si>
  <si>
    <t>40 Fuselage + 10 Wing + 2 Cockpit + 140 Basic interior + 4 Jet engine</t>
  </si>
  <si>
    <t>Luxury jet</t>
  </si>
  <si>
    <t xml:space="preserve">14 Fuselage + 2 Wing + 1 Cockpit + 2 Golden bars + 2 Jet engine </t>
  </si>
  <si>
    <t xml:space="preserve">Single engine plane </t>
  </si>
  <si>
    <t xml:space="preserve">TOTAL COST </t>
  </si>
  <si>
    <t>Basic interior</t>
  </si>
  <si>
    <t>Golden bars</t>
  </si>
  <si>
    <t>Steel</t>
  </si>
  <si>
    <t>Silicon</t>
  </si>
  <si>
    <t>High grade e-comps</t>
  </si>
  <si>
    <t>On-board computer</t>
  </si>
  <si>
    <t>Displays</t>
  </si>
  <si>
    <t>Batteries</t>
  </si>
  <si>
    <t>Electric motor</t>
  </si>
  <si>
    <t>Chemicals</t>
  </si>
  <si>
    <t>Combustion engine</t>
  </si>
  <si>
    <t>6 Steel + 5 Chemicals + 5 Electronic components</t>
  </si>
  <si>
    <t>Electronic components</t>
  </si>
  <si>
    <t>8 Fuselage + 2 Wing + 1 Cockpit + 1 Combustion engine</t>
  </si>
  <si>
    <t>In order to become an Aerospacial supplier/ retailer</t>
  </si>
  <si>
    <t xml:space="preserve">required labor hours </t>
  </si>
  <si>
    <t>required hours aerospace factory</t>
  </si>
  <si>
    <t>required vertical integration facilities</t>
  </si>
  <si>
    <t>required hours propulsion</t>
  </si>
  <si>
    <t>required hours aerospace electronics</t>
  </si>
  <si>
    <t>total hours vertical integration</t>
  </si>
  <si>
    <t>total hours propulsion factory</t>
  </si>
  <si>
    <t>total hours aerospace factory</t>
  </si>
  <si>
    <t>total hours aerospace electronics</t>
  </si>
  <si>
    <t xml:space="preserve">total hours </t>
  </si>
  <si>
    <t>labor times in building</t>
  </si>
  <si>
    <t xml:space="preserve">proportional labor times </t>
  </si>
  <si>
    <t>total required hours</t>
  </si>
  <si>
    <t>UNIT RESOURCES COSTS</t>
  </si>
  <si>
    <t>REQUIRED CASH</t>
  </si>
  <si>
    <t>LVL</t>
  </si>
  <si>
    <t>Expected profit</t>
  </si>
  <si>
    <t>Price</t>
  </si>
  <si>
    <t>Quantity</t>
  </si>
  <si>
    <t>Quality</t>
  </si>
  <si>
    <t xml:space="preserve">FOR ASR: </t>
  </si>
  <si>
    <t>First difference</t>
  </si>
  <si>
    <t>Second difference</t>
  </si>
  <si>
    <t>AEROSPACE FACTORY</t>
  </si>
  <si>
    <t xml:space="preserve">Attitude control </t>
  </si>
  <si>
    <t>At this moment we assume that most of the elements will be bought at the market. It is also assumed that we buy q2 at minimum so BFRs are</t>
  </si>
  <si>
    <t>at most q4. This way we do not spend too much in investigation, at the expense of having some idle buildings.</t>
  </si>
  <si>
    <t>REQUIRED HOURS</t>
  </si>
  <si>
    <t>QUALITY</t>
  </si>
  <si>
    <t>BUILDING SLOTS</t>
  </si>
  <si>
    <t>BUILDING REQ. AVG LVL</t>
  </si>
  <si>
    <t>Given any slots, there's a building required level to produce the specified amount of BFR's every hour</t>
  </si>
  <si>
    <t>Level required to produce the specified amount in 1 hour with the defined amount of buildings</t>
  </si>
  <si>
    <t>selling price</t>
  </si>
  <si>
    <t xml:space="preserve">hourly profit </t>
  </si>
  <si>
    <t>daily profit</t>
  </si>
  <si>
    <t>TOTAL BUILDING LVL</t>
  </si>
  <si>
    <t>selling BFR</t>
  </si>
  <si>
    <t xml:space="preserve">selling ASR </t>
  </si>
  <si>
    <t xml:space="preserve">amount per launch </t>
  </si>
  <si>
    <t>probability of failure</t>
  </si>
  <si>
    <t>Expected selling price</t>
  </si>
  <si>
    <t>Expected hourly profit</t>
  </si>
  <si>
    <t>Expected daily profit</t>
  </si>
  <si>
    <t>LAUNCHPAD</t>
  </si>
  <si>
    <t>1 BFR</t>
  </si>
  <si>
    <t>BFR with VIF rent</t>
  </si>
  <si>
    <t>REQUIRED CASH PER HOUR</t>
  </si>
  <si>
    <t>REQUIRED CASH PER DAY</t>
  </si>
  <si>
    <t>PRODUCED UNITS PER HOUR</t>
  </si>
  <si>
    <t>UNITS PER HOUR PER LEVEL</t>
  </si>
  <si>
    <t>daily units</t>
  </si>
  <si>
    <t>Cash</t>
  </si>
  <si>
    <t>REQUIRED DAILY</t>
  </si>
  <si>
    <t>NEEDS PER HOUR</t>
  </si>
  <si>
    <t>NEEDS PER DAY</t>
  </si>
  <si>
    <t>We will produce our own high q BFRs</t>
  </si>
  <si>
    <t>We will pay someone to build our BFRs</t>
  </si>
  <si>
    <t>We will launch our own BFRs</t>
  </si>
  <si>
    <t>BFR costs of launching:</t>
  </si>
  <si>
    <t>AMOUNT RECEIVED AFTER COMMISION</t>
  </si>
  <si>
    <t>(Assuming our partner is SOR06TURK)</t>
  </si>
  <si>
    <t xml:space="preserve">No commision ratio </t>
  </si>
  <si>
    <t>Cost per ASR</t>
  </si>
  <si>
    <t>Real cost if launched by me</t>
  </si>
  <si>
    <t>Cost of launching</t>
  </si>
  <si>
    <t xml:space="preserve">Ratio with commision </t>
  </si>
  <si>
    <t>Real probability of failure</t>
  </si>
  <si>
    <t>Paid probability of failure</t>
  </si>
  <si>
    <t>For this to be profitable we should have a lvl 10 launchpad</t>
  </si>
  <si>
    <t xml:space="preserve">Or we should pay the rent of it. </t>
  </si>
  <si>
    <t>We will also pay someoune to launch our BFRs</t>
  </si>
  <si>
    <t>Propulsion factory building price</t>
  </si>
  <si>
    <t>Total buildings price</t>
  </si>
  <si>
    <t>COO skill</t>
  </si>
  <si>
    <t>Adjusted adm. Overhead</t>
  </si>
  <si>
    <t>COO discount overhead</t>
  </si>
  <si>
    <t>earnings / buildings value</t>
  </si>
  <si>
    <t xml:space="preserve">(only changes through economy situation; recession/normal/boom) </t>
  </si>
  <si>
    <t xml:space="preserve">PRODUCED UNITS per hour </t>
  </si>
  <si>
    <t>Required amount of money required to build the propulsion factories up to the production desired</t>
  </si>
  <si>
    <t>(Launchpad lvl)</t>
  </si>
  <si>
    <t xml:space="preserve">Launchpad </t>
  </si>
  <si>
    <t>PRICE</t>
  </si>
  <si>
    <t xml:space="preserve">color codes: </t>
  </si>
  <si>
    <t>changes constantly, adjusted manually is permited and suggested</t>
  </si>
  <si>
    <t>Is not common to change, but it changes. Does not depend on the person, it is given by the game</t>
  </si>
  <si>
    <t xml:space="preserve">Partial results or final results </t>
  </si>
  <si>
    <t>gross profit</t>
  </si>
  <si>
    <t>Labor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</si>
</sst>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Fill="1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Border="1"/>
    <xf numFmtId="0" fontId="1" fillId="0" borderId="1" xfId="0" applyFont="1" applyBorder="1"/>
    <xf numFmtId="0" fontId="0" fillId="6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6" borderId="0" xfId="0" applyFill="1" applyBorder="1"/>
    <xf numFmtId="0" fontId="0" fillId="2" borderId="0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10" fontId="0" fillId="0" borderId="0" xfId="1" applyNumberFormat="1" applyFont="1"/>
    <xf numFmtId="10" fontId="1" fillId="0" borderId="0" xfId="1" applyNumberFormat="1" applyFont="1"/>
    <xf numFmtId="0" fontId="0" fillId="0" borderId="8" xfId="0" applyBorder="1"/>
    <xf numFmtId="0" fontId="0" fillId="0" borderId="0" xfId="0" applyFill="1" applyBorder="1"/>
    <xf numFmtId="0" fontId="0" fillId="0" borderId="6" xfId="0" applyFill="1" applyBorder="1"/>
    <xf numFmtId="0" fontId="0" fillId="0" borderId="0" xfId="0" quotePrefix="1" applyBorder="1"/>
    <xf numFmtId="0" fontId="0" fillId="0" borderId="0" xfId="0" quotePrefix="1" applyFill="1" applyBorder="1"/>
    <xf numFmtId="0" fontId="1" fillId="0" borderId="0" xfId="0" applyFont="1" applyFill="1" applyBorder="1"/>
    <xf numFmtId="0" fontId="0" fillId="8" borderId="0" xfId="0" applyFill="1" applyBorder="1"/>
    <xf numFmtId="0" fontId="0" fillId="4" borderId="0" xfId="0" applyFill="1" applyBorder="1"/>
    <xf numFmtId="0" fontId="0" fillId="0" borderId="0" xfId="0" applyFont="1" applyFill="1" applyBorder="1"/>
    <xf numFmtId="0" fontId="0" fillId="7" borderId="0" xfId="0" applyFill="1" applyBorder="1"/>
    <xf numFmtId="0" fontId="0" fillId="3" borderId="0" xfId="0" applyFill="1" applyBorder="1"/>
    <xf numFmtId="0" fontId="0" fillId="5" borderId="0" xfId="0" applyFill="1" applyBorder="1"/>
    <xf numFmtId="0" fontId="2" fillId="3" borderId="0" xfId="0" applyFont="1" applyFill="1" applyBorder="1"/>
    <xf numFmtId="0" fontId="1" fillId="4" borderId="0" xfId="0" applyFont="1" applyFill="1" applyBorder="1"/>
    <xf numFmtId="0" fontId="4" fillId="0" borderId="0" xfId="0" applyFont="1" applyFill="1" applyBorder="1"/>
    <xf numFmtId="0" fontId="4" fillId="0" borderId="0" xfId="0" applyFont="1"/>
    <xf numFmtId="0" fontId="4" fillId="2" borderId="0" xfId="0" applyFont="1" applyFill="1" applyBorder="1"/>
    <xf numFmtId="164" fontId="0" fillId="6" borderId="0" xfId="2" applyFont="1" applyFill="1" applyBorder="1"/>
    <xf numFmtId="164" fontId="0" fillId="11" borderId="0" xfId="2" applyFont="1" applyFill="1" applyBorder="1"/>
    <xf numFmtId="164" fontId="0" fillId="11" borderId="0" xfId="2" applyFont="1" applyFill="1"/>
    <xf numFmtId="44" fontId="0" fillId="0" borderId="0" xfId="0" applyNumberFormat="1"/>
    <xf numFmtId="164" fontId="0" fillId="2" borderId="0" xfId="2" applyFont="1" applyFill="1"/>
    <xf numFmtId="164" fontId="0" fillId="0" borderId="0" xfId="0" applyNumberFormat="1"/>
    <xf numFmtId="0" fontId="0" fillId="12" borderId="0" xfId="0" applyFill="1" applyBorder="1"/>
    <xf numFmtId="0" fontId="2" fillId="12" borderId="0" xfId="0" applyFont="1" applyFill="1" applyBorder="1"/>
    <xf numFmtId="0" fontId="2" fillId="0" borderId="0" xfId="0" applyFont="1" applyFill="1" applyBorder="1"/>
    <xf numFmtId="0" fontId="0" fillId="11" borderId="0" xfId="0" applyFill="1"/>
    <xf numFmtId="0" fontId="0" fillId="2" borderId="0" xfId="0" applyFill="1"/>
    <xf numFmtId="0" fontId="0" fillId="12" borderId="0" xfId="0" applyFill="1"/>
    <xf numFmtId="164" fontId="0" fillId="0" borderId="0" xfId="0" applyNumberFormat="1" applyFill="1" applyBorder="1"/>
  </cellXfs>
  <cellStyles count="3">
    <cellStyle name="Moneda" xfId="2" builtinId="4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7"/>
  <sheetViews>
    <sheetView topLeftCell="A6" zoomScale="70" zoomScaleNormal="70" workbookViewId="0">
      <selection activeCell="I31" sqref="I31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t="s">
        <v>0</v>
      </c>
      <c r="B3">
        <v>66</v>
      </c>
    </row>
    <row r="4" spans="1:5" x14ac:dyDescent="0.25">
      <c r="A4" t="s">
        <v>10</v>
      </c>
      <c r="B4">
        <v>19</v>
      </c>
    </row>
    <row r="5" spans="1:5" x14ac:dyDescent="0.25">
      <c r="A5" t="s">
        <v>17</v>
      </c>
      <c r="B5">
        <v>34</v>
      </c>
    </row>
    <row r="6" spans="1:5" x14ac:dyDescent="0.25">
      <c r="A6" t="s">
        <v>56</v>
      </c>
      <c r="B6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t="s">
        <v>60</v>
      </c>
      <c r="B10">
        <v>920</v>
      </c>
    </row>
    <row r="11" spans="1:5" x14ac:dyDescent="0.25">
      <c r="A11" t="s">
        <v>61</v>
      </c>
      <c r="B11">
        <v>458</v>
      </c>
    </row>
    <row r="12" spans="1:5" x14ac:dyDescent="0.25">
      <c r="A12" t="s">
        <v>62</v>
      </c>
      <c r="B12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t="s">
        <v>65</v>
      </c>
      <c r="B15">
        <v>14.6</v>
      </c>
    </row>
    <row r="16" spans="1:5" x14ac:dyDescent="0.25">
      <c r="A16" t="s">
        <v>68</v>
      </c>
      <c r="B16">
        <v>56.5</v>
      </c>
    </row>
    <row r="22" spans="1:9" x14ac:dyDescent="0.25">
      <c r="A22" s="22"/>
      <c r="B22" s="4" t="s">
        <v>14</v>
      </c>
      <c r="C22" s="4" t="s">
        <v>4</v>
      </c>
      <c r="D22" s="4"/>
      <c r="E22" s="4" t="s">
        <v>6</v>
      </c>
      <c r="F22" s="4" t="s">
        <v>7</v>
      </c>
      <c r="G22" s="4" t="s">
        <v>8</v>
      </c>
      <c r="H22" s="22" t="s">
        <v>55</v>
      </c>
      <c r="I22" s="4"/>
    </row>
    <row r="23" spans="1:9" x14ac:dyDescent="0.25">
      <c r="A23" s="26" t="s">
        <v>3</v>
      </c>
      <c r="B23" s="4"/>
      <c r="C23" s="4"/>
      <c r="D23" s="4"/>
      <c r="E23" s="4"/>
      <c r="F23" s="4"/>
      <c r="G23" s="4"/>
      <c r="H23" s="4"/>
      <c r="I23" s="4"/>
    </row>
    <row r="24" spans="1:9" x14ac:dyDescent="0.25">
      <c r="A24" s="22" t="s">
        <v>5</v>
      </c>
      <c r="B24" s="4">
        <v>2</v>
      </c>
      <c r="C24" s="24" t="s">
        <v>15</v>
      </c>
      <c r="D24" s="4">
        <f>40*B3</f>
        <v>2640</v>
      </c>
      <c r="E24" s="4">
        <v>3.67</v>
      </c>
      <c r="F24" s="4">
        <v>159.84</v>
      </c>
      <c r="G24" s="4">
        <f t="shared" ref="G24:G30" si="0">$E$2*F24</f>
        <v>46.065888000000001</v>
      </c>
      <c r="H24" s="4">
        <f>D24+F24+G24</f>
        <v>2845.9058880000002</v>
      </c>
      <c r="I24" s="4"/>
    </row>
    <row r="25" spans="1:9" x14ac:dyDescent="0.25">
      <c r="A25" s="22" t="s">
        <v>11</v>
      </c>
      <c r="B25" s="4">
        <v>2</v>
      </c>
      <c r="C25" s="24" t="s">
        <v>12</v>
      </c>
      <c r="D25" s="4">
        <f>30*B3+5*B4</f>
        <v>2075</v>
      </c>
      <c r="E25" s="4">
        <v>9.01</v>
      </c>
      <c r="F25" s="4">
        <v>65.12</v>
      </c>
      <c r="G25" s="4">
        <f t="shared" si="0"/>
        <v>18.767584000000003</v>
      </c>
      <c r="H25" s="4">
        <f t="shared" ref="H25:H52" si="1">D25+F25+G25</f>
        <v>2158.8875840000001</v>
      </c>
      <c r="I25" s="4"/>
    </row>
    <row r="26" spans="1:9" x14ac:dyDescent="0.25">
      <c r="A26" s="22" t="s">
        <v>13</v>
      </c>
      <c r="B26" s="22">
        <v>1</v>
      </c>
      <c r="C26" s="24" t="s">
        <v>16</v>
      </c>
      <c r="D26" s="4">
        <f>50*B4+250*B5</f>
        <v>9450</v>
      </c>
      <c r="E26" s="4">
        <v>5</v>
      </c>
      <c r="F26" s="4">
        <v>117.22</v>
      </c>
      <c r="G26" s="4">
        <f t="shared" si="0"/>
        <v>33.782803999999999</v>
      </c>
      <c r="H26" s="4">
        <f t="shared" si="1"/>
        <v>9601.0028039999997</v>
      </c>
      <c r="I26" s="4"/>
    </row>
    <row r="27" spans="1:9" x14ac:dyDescent="0.25">
      <c r="A27" s="22" t="s">
        <v>18</v>
      </c>
      <c r="B27" s="4">
        <v>1</v>
      </c>
      <c r="C27" s="24" t="s">
        <v>19</v>
      </c>
      <c r="D27" s="4">
        <f>20*B8+30*B9</f>
        <v>454</v>
      </c>
      <c r="E27" s="4">
        <v>13.34</v>
      </c>
      <c r="F27" s="4">
        <v>43.96</v>
      </c>
      <c r="G27" s="4">
        <f t="shared" si="0"/>
        <v>12.669272000000001</v>
      </c>
      <c r="H27" s="4">
        <f t="shared" si="1"/>
        <v>510.62927199999996</v>
      </c>
      <c r="I27" s="4"/>
    </row>
    <row r="28" spans="1:9" x14ac:dyDescent="0.25">
      <c r="A28" s="22" t="s">
        <v>20</v>
      </c>
      <c r="B28" s="4">
        <v>20</v>
      </c>
      <c r="C28" s="24" t="s">
        <v>21</v>
      </c>
      <c r="D28" s="4">
        <f>8*H24+2*H26+2*H33+4*H41+2*H35</f>
        <v>100316.59010000002</v>
      </c>
      <c r="E28" s="4">
        <v>3.34</v>
      </c>
      <c r="F28" s="4">
        <v>175.82</v>
      </c>
      <c r="G28" s="4">
        <f t="shared" si="0"/>
        <v>50.671323999999998</v>
      </c>
      <c r="H28" s="4">
        <f t="shared" si="1"/>
        <v>100543.08142400002</v>
      </c>
      <c r="I28" s="4"/>
    </row>
    <row r="29" spans="1:9" x14ac:dyDescent="0.25">
      <c r="A29" s="22" t="s">
        <v>24</v>
      </c>
      <c r="B29" s="4">
        <v>100</v>
      </c>
      <c r="C29" s="24" t="s">
        <v>22</v>
      </c>
      <c r="D29" s="4">
        <f>40*H24+16*H26+34*H40</f>
        <v>618766.05109199998</v>
      </c>
      <c r="E29" s="4">
        <v>1.67</v>
      </c>
      <c r="F29" s="4">
        <v>351.65</v>
      </c>
      <c r="G29" s="4">
        <f t="shared" si="0"/>
        <v>101.34553</v>
      </c>
      <c r="H29" s="4">
        <f t="shared" si="1"/>
        <v>619219.04662200005</v>
      </c>
      <c r="I29" s="4"/>
    </row>
    <row r="30" spans="1:9" x14ac:dyDescent="0.25">
      <c r="A30" s="22" t="s">
        <v>23</v>
      </c>
      <c r="B30" s="4">
        <v>100</v>
      </c>
      <c r="C30" s="24" t="s">
        <v>25</v>
      </c>
      <c r="D30" s="4">
        <f>2*H34+10*H27+4*H35+6*H26+7*H40</f>
        <v>151183.570198</v>
      </c>
      <c r="E30" s="4">
        <v>0.33</v>
      </c>
      <c r="F30" s="4">
        <v>1758.23</v>
      </c>
      <c r="G30" s="4">
        <f t="shared" si="0"/>
        <v>506.72188600000004</v>
      </c>
      <c r="H30" s="4">
        <f t="shared" si="1"/>
        <v>153448.52208400003</v>
      </c>
      <c r="I30" s="4"/>
    </row>
    <row r="31" spans="1:9" x14ac:dyDescent="0.25">
      <c r="A31" s="22"/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26" t="s">
        <v>26</v>
      </c>
      <c r="B32" s="4"/>
      <c r="C32" s="4"/>
      <c r="D32" s="4"/>
      <c r="E32" s="4"/>
      <c r="F32" s="4"/>
      <c r="G32" s="4"/>
      <c r="H32" s="4"/>
      <c r="I32" s="4"/>
    </row>
    <row r="33" spans="1:9" x14ac:dyDescent="0.25">
      <c r="A33" s="22" t="s">
        <v>27</v>
      </c>
      <c r="B33" s="4">
        <v>1</v>
      </c>
      <c r="C33" s="24" t="s">
        <v>28</v>
      </c>
      <c r="D33" s="4">
        <f>4*B10+2*B11</f>
        <v>4596</v>
      </c>
      <c r="E33" s="4">
        <v>2.56</v>
      </c>
      <c r="F33" s="4">
        <v>283.24</v>
      </c>
      <c r="G33" s="4">
        <f>$E$2*F33</f>
        <v>81.629768000000013</v>
      </c>
      <c r="H33" s="4">
        <f t="shared" si="1"/>
        <v>4960.8697679999996</v>
      </c>
      <c r="I33" s="4"/>
    </row>
    <row r="34" spans="1:9" x14ac:dyDescent="0.25">
      <c r="A34" s="22" t="s">
        <v>29</v>
      </c>
      <c r="B34" s="4">
        <v>1</v>
      </c>
      <c r="C34" s="24" t="s">
        <v>30</v>
      </c>
      <c r="D34" s="4">
        <f>4*B10+8*B12+B6</f>
        <v>4922</v>
      </c>
      <c r="E34" s="4">
        <v>2.56</v>
      </c>
      <c r="F34" s="4">
        <v>283.24</v>
      </c>
      <c r="G34" s="4">
        <f>$E$2*F34</f>
        <v>81.629768000000013</v>
      </c>
      <c r="H34" s="4">
        <f t="shared" si="1"/>
        <v>5286.8697679999996</v>
      </c>
      <c r="I34" s="4"/>
    </row>
    <row r="35" spans="1:9" x14ac:dyDescent="0.25">
      <c r="A35" s="22" t="s">
        <v>31</v>
      </c>
      <c r="B35" s="4">
        <v>1</v>
      </c>
      <c r="C35" s="24" t="s">
        <v>32</v>
      </c>
      <c r="D35" s="4">
        <f>3*B8+5*B13+3*B14</f>
        <v>1088</v>
      </c>
      <c r="E35" s="4">
        <v>3.07</v>
      </c>
      <c r="F35" s="4">
        <v>236.03</v>
      </c>
      <c r="G35" s="4">
        <f>$E$2*F35</f>
        <v>68.023846000000006</v>
      </c>
      <c r="H35" s="4">
        <f t="shared" si="1"/>
        <v>1392.053846</v>
      </c>
      <c r="I35" s="4"/>
    </row>
    <row r="36" spans="1:9" x14ac:dyDescent="0.25">
      <c r="A36" s="22" t="s">
        <v>33</v>
      </c>
      <c r="B36" s="4">
        <v>10</v>
      </c>
      <c r="C36" s="24" t="s">
        <v>34</v>
      </c>
      <c r="D36" s="4">
        <f>8*B10+4*H33+H41+2*H35</f>
        <v>41397.959303999996</v>
      </c>
      <c r="E36" s="4">
        <v>0.13</v>
      </c>
      <c r="F36" s="4">
        <v>5664.7</v>
      </c>
      <c r="G36" s="4">
        <f>$E$2*F36</f>
        <v>1632.56654</v>
      </c>
      <c r="H36" s="4">
        <f t="shared" si="1"/>
        <v>48695.225843999993</v>
      </c>
      <c r="I36" s="4"/>
    </row>
    <row r="37" spans="1:9" x14ac:dyDescent="0.25">
      <c r="A37" s="22"/>
      <c r="B37" s="4"/>
      <c r="C37" s="4"/>
      <c r="D37" s="4"/>
      <c r="E37" s="4"/>
      <c r="F37" s="4"/>
      <c r="G37" s="4"/>
      <c r="H37" s="4"/>
      <c r="I37" s="4"/>
    </row>
    <row r="38" spans="1:9" x14ac:dyDescent="0.25">
      <c r="A38" s="26" t="s">
        <v>35</v>
      </c>
      <c r="B38" s="4"/>
      <c r="C38" s="4"/>
      <c r="D38" s="4"/>
      <c r="E38" s="4"/>
      <c r="F38" s="4"/>
      <c r="G38" s="4"/>
      <c r="H38" s="4"/>
      <c r="I38" s="4"/>
    </row>
    <row r="39" spans="1:9" x14ac:dyDescent="0.25">
      <c r="A39" s="22" t="s">
        <v>36</v>
      </c>
      <c r="B39" s="4">
        <v>1</v>
      </c>
      <c r="C39" s="24" t="s">
        <v>37</v>
      </c>
      <c r="D39" s="4">
        <f>30*B4+100*B5+50*B15</f>
        <v>4700</v>
      </c>
      <c r="E39" s="4">
        <v>0.31</v>
      </c>
      <c r="F39" s="4">
        <v>1989.41</v>
      </c>
      <c r="G39" s="4">
        <f>$E$2*F39</f>
        <v>573.34796200000005</v>
      </c>
      <c r="H39" s="4">
        <f t="shared" si="1"/>
        <v>7262.7579619999997</v>
      </c>
      <c r="I39" s="4"/>
    </row>
    <row r="40" spans="1:9" x14ac:dyDescent="0.25">
      <c r="A40" s="22" t="s">
        <v>38</v>
      </c>
      <c r="B40" s="4">
        <v>1</v>
      </c>
      <c r="C40" s="24" t="s">
        <v>39</v>
      </c>
      <c r="D40" s="4">
        <f>20*B8+8*B10+10*B4</f>
        <v>7770</v>
      </c>
      <c r="E40" s="4">
        <v>0.28999999999999998</v>
      </c>
      <c r="F40" s="4">
        <v>1989.41</v>
      </c>
      <c r="G40" s="4">
        <f>$E$2*F40</f>
        <v>573.34796200000005</v>
      </c>
      <c r="H40" s="4">
        <f t="shared" si="1"/>
        <v>10332.757962</v>
      </c>
      <c r="I40" s="4"/>
    </row>
    <row r="41" spans="1:9" x14ac:dyDescent="0.25">
      <c r="A41" s="22" t="s">
        <v>40</v>
      </c>
      <c r="B41" s="4">
        <v>1</v>
      </c>
      <c r="C41" s="24" t="s">
        <v>41</v>
      </c>
      <c r="D41" s="4">
        <f>8*B10+30*B13+15*B15</f>
        <v>10129</v>
      </c>
      <c r="E41" s="4">
        <v>0.62</v>
      </c>
      <c r="F41" s="4">
        <v>994.7</v>
      </c>
      <c r="G41" s="4">
        <f>$E$2*F41</f>
        <v>286.67254000000003</v>
      </c>
      <c r="H41" s="4">
        <f t="shared" si="1"/>
        <v>11410.37254</v>
      </c>
      <c r="I41" s="4"/>
    </row>
    <row r="42" spans="1:9" x14ac:dyDescent="0.25">
      <c r="A42" s="22" t="s">
        <v>42</v>
      </c>
      <c r="B42" s="4">
        <v>1</v>
      </c>
      <c r="C42" s="24" t="s">
        <v>43</v>
      </c>
      <c r="D42" s="4">
        <f>4*B10+5*B4</f>
        <v>3775</v>
      </c>
      <c r="E42" s="4">
        <v>0.94</v>
      </c>
      <c r="F42" s="4">
        <v>663.14</v>
      </c>
      <c r="G42" s="4">
        <f>$E$2*F42</f>
        <v>191.11694800000001</v>
      </c>
      <c r="H42" s="4">
        <f t="shared" si="1"/>
        <v>4629.2569480000002</v>
      </c>
      <c r="I42" s="4"/>
    </row>
    <row r="43" spans="1:9" x14ac:dyDescent="0.25">
      <c r="A43" s="22" t="s">
        <v>66</v>
      </c>
      <c r="B43" s="4">
        <v>2</v>
      </c>
      <c r="C43" s="24" t="s">
        <v>67</v>
      </c>
      <c r="D43" s="4">
        <f>6*B8+5*B15+5*B16</f>
        <v>421.5</v>
      </c>
      <c r="E43" s="4">
        <v>6.24</v>
      </c>
      <c r="F43" s="4">
        <v>99.47</v>
      </c>
      <c r="G43" s="4">
        <f>$E$2*F43</f>
        <v>28.667254</v>
      </c>
      <c r="H43" s="4">
        <f t="shared" si="1"/>
        <v>549.63725399999998</v>
      </c>
      <c r="I43" s="4"/>
    </row>
    <row r="44" spans="1:9" x14ac:dyDescent="0.25">
      <c r="A44" s="22"/>
      <c r="B44" s="4"/>
      <c r="C44" s="4"/>
      <c r="D44" s="4"/>
      <c r="E44" s="4"/>
      <c r="F44" s="4"/>
      <c r="G44" s="4"/>
      <c r="H44" s="4"/>
      <c r="I44" s="4"/>
    </row>
    <row r="45" spans="1:9" x14ac:dyDescent="0.25">
      <c r="A45" s="26" t="s">
        <v>44</v>
      </c>
      <c r="B45" s="4"/>
      <c r="C45" s="4"/>
      <c r="D45" s="4"/>
      <c r="E45" s="4"/>
      <c r="F45" s="4"/>
      <c r="G45" s="4"/>
      <c r="H45" s="4"/>
      <c r="I45" s="4"/>
    </row>
    <row r="46" spans="1:9" x14ac:dyDescent="0.25">
      <c r="A46" s="22" t="s">
        <v>45</v>
      </c>
      <c r="B46" s="4">
        <v>20</v>
      </c>
      <c r="C46" s="24" t="s">
        <v>46</v>
      </c>
      <c r="D46" s="4">
        <f>H39+H28</f>
        <v>107805.83938600002</v>
      </c>
      <c r="E46" s="4">
        <v>0.72</v>
      </c>
      <c r="F46" s="4">
        <v>1056.95</v>
      </c>
      <c r="G46" s="4">
        <f>$E$2*F46</f>
        <v>304.61299000000002</v>
      </c>
      <c r="H46" s="4">
        <f t="shared" si="1"/>
        <v>109167.40237600001</v>
      </c>
      <c r="I46" s="4"/>
    </row>
    <row r="47" spans="1:9" x14ac:dyDescent="0.25">
      <c r="A47" s="22" t="s">
        <v>47</v>
      </c>
      <c r="B47" s="4">
        <v>2000</v>
      </c>
      <c r="C47" s="24" t="s">
        <v>48</v>
      </c>
      <c r="D47" s="4">
        <f>H29+H30</f>
        <v>772667.56870600011</v>
      </c>
      <c r="E47" s="4">
        <v>0.24</v>
      </c>
      <c r="F47" s="4">
        <v>3170.85</v>
      </c>
      <c r="G47" s="4">
        <f>$E$2*F47</f>
        <v>913.83897000000002</v>
      </c>
      <c r="H47" s="4">
        <f t="shared" si="1"/>
        <v>776752.25767600012</v>
      </c>
      <c r="I47" s="4"/>
    </row>
    <row r="48" spans="1:9" x14ac:dyDescent="0.25">
      <c r="A48" s="22"/>
      <c r="B48" s="4"/>
      <c r="C48" s="4"/>
      <c r="D48" s="4"/>
      <c r="E48" s="4"/>
      <c r="F48" s="4"/>
      <c r="G48" s="4"/>
      <c r="H48" s="4"/>
      <c r="I48" s="4"/>
    </row>
    <row r="49" spans="1:9" x14ac:dyDescent="0.25">
      <c r="A49" s="26" t="s">
        <v>49</v>
      </c>
      <c r="B49" s="4"/>
      <c r="C49" s="4"/>
      <c r="D49" s="4"/>
      <c r="E49" s="4"/>
      <c r="F49" s="4"/>
      <c r="G49" s="4"/>
      <c r="H49" s="4"/>
      <c r="I49" s="4"/>
    </row>
    <row r="50" spans="1:9" x14ac:dyDescent="0.25">
      <c r="A50" s="22" t="s">
        <v>50</v>
      </c>
      <c r="B50" s="4">
        <v>2000</v>
      </c>
      <c r="C50" s="24" t="s">
        <v>51</v>
      </c>
      <c r="D50" s="4">
        <f>40*H24+10*H25+2*H34+140*B6+4*H42</f>
        <v>207355.87868800003</v>
      </c>
      <c r="E50" s="4">
        <v>7.0000000000000007E-2</v>
      </c>
      <c r="F50" s="4">
        <v>10569.51</v>
      </c>
      <c r="G50" s="4">
        <f>$E$2*F50</f>
        <v>3046.1327820000001</v>
      </c>
      <c r="H50" s="4">
        <f t="shared" si="1"/>
        <v>220971.52147000004</v>
      </c>
      <c r="I50" s="4"/>
    </row>
    <row r="51" spans="1:9" x14ac:dyDescent="0.25">
      <c r="A51" s="22" t="s">
        <v>52</v>
      </c>
      <c r="B51" s="4">
        <v>1000</v>
      </c>
      <c r="C51" s="24" t="s">
        <v>53</v>
      </c>
      <c r="D51" s="4">
        <f>14*H24+2*H25+H34+2*B7+2*H42</f>
        <v>70705.841264000002</v>
      </c>
      <c r="E51" s="4">
        <v>0.19</v>
      </c>
      <c r="F51" s="4">
        <v>3963.57</v>
      </c>
      <c r="G51" s="4">
        <f>$E$2*F51</f>
        <v>1142.300874</v>
      </c>
      <c r="H51" s="4">
        <f t="shared" si="1"/>
        <v>75811.712138000003</v>
      </c>
      <c r="I51" s="4"/>
    </row>
    <row r="52" spans="1:9" x14ac:dyDescent="0.25">
      <c r="A52" s="22" t="s">
        <v>54</v>
      </c>
      <c r="B52" s="22">
        <v>100</v>
      </c>
      <c r="C52" s="24" t="s">
        <v>69</v>
      </c>
      <c r="D52" s="4">
        <f>8*H24+2*H25+H34+H43</f>
        <v>32921.529294</v>
      </c>
      <c r="E52" s="4">
        <v>1.68</v>
      </c>
      <c r="F52" s="4">
        <v>452.98</v>
      </c>
      <c r="G52" s="4">
        <f>$E$2*F52</f>
        <v>130.54883600000002</v>
      </c>
      <c r="H52" s="4">
        <f t="shared" si="1"/>
        <v>33505.058130000005</v>
      </c>
      <c r="I52" s="4"/>
    </row>
    <row r="53" spans="1:9" x14ac:dyDescent="0.25">
      <c r="A53" s="22"/>
      <c r="B53" s="4"/>
      <c r="C53" s="4"/>
      <c r="D53" s="4"/>
      <c r="E53" s="4"/>
      <c r="F53" s="4"/>
      <c r="G53" s="4"/>
      <c r="H53" s="4"/>
      <c r="I53" s="4"/>
    </row>
    <row r="54" spans="1:9" x14ac:dyDescent="0.25">
      <c r="A54" s="1"/>
    </row>
    <row r="55" spans="1:9" x14ac:dyDescent="0.25">
      <c r="A55" s="1"/>
    </row>
    <row r="56" spans="1:9" x14ac:dyDescent="0.25">
      <c r="A56" s="1"/>
    </row>
    <row r="57" spans="1:9" x14ac:dyDescent="0.25">
      <c r="A57" s="1"/>
    </row>
  </sheetData>
  <conditionalFormatting sqref="H24:H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opLeftCell="A10" zoomScale="55" zoomScaleNormal="55" workbookViewId="0">
      <selection activeCell="G19" sqref="G19"/>
    </sheetView>
  </sheetViews>
  <sheetFormatPr baseColWidth="10" defaultRowHeight="15" x14ac:dyDescent="0.25"/>
  <cols>
    <col min="1" max="1" width="30.42578125" bestFit="1" customWidth="1"/>
    <col min="2" max="2" width="23.85546875" customWidth="1"/>
    <col min="3" max="3" width="24.140625" customWidth="1"/>
    <col min="4" max="4" width="75.140625" bestFit="1" customWidth="1"/>
    <col min="5" max="5" width="28.85546875" bestFit="1" customWidth="1"/>
    <col min="6" max="6" width="23.28515625" bestFit="1" customWidth="1"/>
    <col min="7" max="7" width="17.7109375" customWidth="1"/>
    <col min="8" max="8" width="34.28515625" customWidth="1"/>
    <col min="9" max="9" width="15.28515625" customWidth="1"/>
    <col min="10" max="10" width="17.7109375" customWidth="1"/>
    <col min="11" max="11" width="40.5703125" bestFit="1" customWidth="1"/>
  </cols>
  <sheetData>
    <row r="1" spans="1:13" x14ac:dyDescent="0.25">
      <c r="A1" s="4"/>
      <c r="B1" s="4"/>
      <c r="C1" s="4"/>
      <c r="D1" s="4"/>
      <c r="E1" s="4"/>
      <c r="F1" s="4"/>
      <c r="G1" s="4"/>
    </row>
    <row r="2" spans="1:13" x14ac:dyDescent="0.25">
      <c r="A2" s="4" t="s">
        <v>1</v>
      </c>
      <c r="B2" s="22" t="s">
        <v>99</v>
      </c>
      <c r="C2" s="4" t="s">
        <v>154</v>
      </c>
      <c r="D2" s="4" t="s">
        <v>125</v>
      </c>
      <c r="E2" s="4" t="s">
        <v>126</v>
      </c>
      <c r="F2" s="4" t="s">
        <v>118</v>
      </c>
      <c r="G2" s="4" t="s">
        <v>119</v>
      </c>
      <c r="H2" s="4"/>
      <c r="I2" s="22" t="s">
        <v>9</v>
      </c>
      <c r="J2" s="4">
        <f>(I20+I25+I29+B31)/170</f>
        <v>0.49757377187354962</v>
      </c>
    </row>
    <row r="3" spans="1:13" x14ac:dyDescent="0.25">
      <c r="A3" s="4" t="s">
        <v>58</v>
      </c>
      <c r="B3" s="4">
        <f>IF(B18&gt;0,B18-1,0)</f>
        <v>1</v>
      </c>
      <c r="C3" s="12">
        <v>10.9</v>
      </c>
      <c r="D3" s="4">
        <f>20*C18</f>
        <v>410</v>
      </c>
      <c r="E3">
        <f>D3*24</f>
        <v>9840</v>
      </c>
      <c r="F3" s="38">
        <f t="shared" ref="F3:F10" si="0">D3*C3</f>
        <v>4469</v>
      </c>
      <c r="G3" s="38">
        <f>F3*24</f>
        <v>107256</v>
      </c>
      <c r="H3" s="4"/>
      <c r="I3" s="4" t="s">
        <v>145</v>
      </c>
      <c r="J3" s="12">
        <v>26.75</v>
      </c>
    </row>
    <row r="4" spans="1:13" x14ac:dyDescent="0.25">
      <c r="A4" s="4" t="s">
        <v>60</v>
      </c>
      <c r="B4" s="4">
        <f>IF(B18&gt;0,B18-1,0)</f>
        <v>1</v>
      </c>
      <c r="C4" s="12">
        <v>890</v>
      </c>
      <c r="D4" s="4">
        <f>8*C18</f>
        <v>164</v>
      </c>
      <c r="E4">
        <f t="shared" ref="E4:E10" si="1">D4*24</f>
        <v>3936</v>
      </c>
      <c r="F4" s="38">
        <f t="shared" si="0"/>
        <v>145960</v>
      </c>
      <c r="G4" s="38">
        <f t="shared" ref="G4:G10" si="2">F4*24</f>
        <v>3503040</v>
      </c>
      <c r="H4" s="4"/>
      <c r="I4" t="s">
        <v>147</v>
      </c>
      <c r="J4">
        <f>J3*J2/100</f>
        <v>0.13310098397617451</v>
      </c>
      <c r="L4" t="s">
        <v>96</v>
      </c>
    </row>
    <row r="5" spans="1:13" x14ac:dyDescent="0.25">
      <c r="A5" s="4" t="s">
        <v>10</v>
      </c>
      <c r="B5" s="4">
        <f>IF(B18&gt;0,B18-1,0)</f>
        <v>1</v>
      </c>
      <c r="C5" s="12">
        <v>18</v>
      </c>
      <c r="D5" s="4">
        <f>10*C18</f>
        <v>205</v>
      </c>
      <c r="E5">
        <f t="shared" si="1"/>
        <v>4920</v>
      </c>
      <c r="F5" s="38">
        <f t="shared" si="0"/>
        <v>3690</v>
      </c>
      <c r="G5" s="38">
        <f t="shared" si="2"/>
        <v>88560</v>
      </c>
      <c r="H5" s="4"/>
      <c r="I5" s="4" t="s">
        <v>146</v>
      </c>
      <c r="J5" s="4">
        <f>J2-J4</f>
        <v>0.36447278789737514</v>
      </c>
      <c r="L5" t="s">
        <v>97</v>
      </c>
    </row>
    <row r="6" spans="1:13" x14ac:dyDescent="0.25">
      <c r="A6" s="22" t="s">
        <v>5</v>
      </c>
      <c r="B6" s="22">
        <f>IF(B22&gt;0,B22-1,0)</f>
        <v>2</v>
      </c>
      <c r="C6" s="12">
        <v>2700</v>
      </c>
      <c r="D6" s="4">
        <f>40*C22</f>
        <v>20</v>
      </c>
      <c r="E6">
        <f t="shared" si="1"/>
        <v>480</v>
      </c>
      <c r="F6" s="38">
        <f t="shared" si="0"/>
        <v>54000</v>
      </c>
      <c r="G6" s="38">
        <f t="shared" si="2"/>
        <v>1296000</v>
      </c>
      <c r="H6" s="4"/>
    </row>
    <row r="7" spans="1:13" x14ac:dyDescent="0.25">
      <c r="A7" s="22" t="s">
        <v>13</v>
      </c>
      <c r="B7" s="22">
        <f>IF(B23&gt;0,B23-1,0)</f>
        <v>2</v>
      </c>
      <c r="C7" s="12">
        <v>8800</v>
      </c>
      <c r="D7" s="4">
        <f>16*C22+C23*6</f>
        <v>11</v>
      </c>
      <c r="E7">
        <f t="shared" si="1"/>
        <v>264</v>
      </c>
      <c r="F7" s="38">
        <f t="shared" si="0"/>
        <v>96800</v>
      </c>
      <c r="G7" s="38">
        <f t="shared" si="2"/>
        <v>2323200</v>
      </c>
      <c r="H7" s="4"/>
    </row>
    <row r="8" spans="1:13" x14ac:dyDescent="0.25">
      <c r="A8" s="22" t="s">
        <v>29</v>
      </c>
      <c r="B8" s="22">
        <f>IF(B23&gt;0,B23-1,0)</f>
        <v>2</v>
      </c>
      <c r="C8" s="12">
        <v>5570</v>
      </c>
      <c r="D8" s="4">
        <f>2*C23</f>
        <v>1</v>
      </c>
      <c r="E8">
        <f t="shared" si="1"/>
        <v>24</v>
      </c>
      <c r="F8" s="38">
        <f t="shared" si="0"/>
        <v>5570</v>
      </c>
      <c r="G8" s="38">
        <f t="shared" si="2"/>
        <v>133680</v>
      </c>
      <c r="H8" s="4"/>
      <c r="L8" s="36" t="s">
        <v>101</v>
      </c>
      <c r="M8" t="s">
        <v>102</v>
      </c>
    </row>
    <row r="9" spans="1:13" x14ac:dyDescent="0.25">
      <c r="A9" s="22" t="s">
        <v>18</v>
      </c>
      <c r="B9" s="22">
        <f>IF(B23&gt;0,B23-1,0)</f>
        <v>2</v>
      </c>
      <c r="C9" s="12">
        <v>545</v>
      </c>
      <c r="D9" s="4">
        <f>10*C23</f>
        <v>5</v>
      </c>
      <c r="E9">
        <f t="shared" si="1"/>
        <v>120</v>
      </c>
      <c r="F9" s="38">
        <f t="shared" si="0"/>
        <v>2725</v>
      </c>
      <c r="G9" s="38">
        <f t="shared" si="2"/>
        <v>65400</v>
      </c>
      <c r="H9" s="4"/>
    </row>
    <row r="10" spans="1:13" x14ac:dyDescent="0.25">
      <c r="A10" s="22" t="s">
        <v>95</v>
      </c>
      <c r="B10" s="22">
        <f>IF(B23&gt;0,B23-1,0)</f>
        <v>2</v>
      </c>
      <c r="C10" s="12">
        <v>1730</v>
      </c>
      <c r="D10" s="4">
        <f>4*C23</f>
        <v>2</v>
      </c>
      <c r="E10">
        <f t="shared" si="1"/>
        <v>48</v>
      </c>
      <c r="F10" s="38">
        <f t="shared" si="0"/>
        <v>3460</v>
      </c>
      <c r="G10" s="38">
        <f t="shared" si="2"/>
        <v>83040</v>
      </c>
      <c r="H10" s="4"/>
    </row>
    <row r="11" spans="1:13" x14ac:dyDescent="0.25">
      <c r="A11" s="4"/>
      <c r="B11" s="4"/>
      <c r="C11" s="4"/>
      <c r="D11" s="4"/>
      <c r="F11" s="39">
        <f>SUM(F3:F10)</f>
        <v>316674</v>
      </c>
      <c r="G11" s="39">
        <f>SUM(G3:G10)</f>
        <v>7600176</v>
      </c>
      <c r="H11" s="4"/>
    </row>
    <row r="12" spans="1:13" x14ac:dyDescent="0.25">
      <c r="A12" s="4"/>
      <c r="B12" s="4"/>
      <c r="C12" s="4"/>
      <c r="D12" s="4"/>
      <c r="E12" s="4"/>
      <c r="G12" s="4"/>
    </row>
    <row r="13" spans="1:13" x14ac:dyDescent="0.25">
      <c r="A13" s="4"/>
      <c r="B13" s="4"/>
      <c r="C13" s="4"/>
      <c r="D13" s="4"/>
      <c r="E13" s="4"/>
      <c r="G13" s="4"/>
    </row>
    <row r="14" spans="1:13" x14ac:dyDescent="0.25">
      <c r="A14" s="4"/>
      <c r="B14" s="4"/>
      <c r="C14" s="4"/>
      <c r="D14" s="4"/>
      <c r="E14" s="4"/>
      <c r="G14" s="4"/>
    </row>
    <row r="15" spans="1:13" x14ac:dyDescent="0.25">
      <c r="A15" s="4"/>
      <c r="B15" s="4"/>
      <c r="C15" s="4"/>
      <c r="D15" s="4"/>
      <c r="E15" s="4"/>
      <c r="F15" s="4"/>
      <c r="G15" s="4"/>
      <c r="H15" s="4"/>
      <c r="I15" s="4"/>
    </row>
    <row r="16" spans="1:13" x14ac:dyDescent="0.25">
      <c r="A16" s="22"/>
      <c r="B16" s="22" t="s">
        <v>99</v>
      </c>
      <c r="C16" s="22" t="s">
        <v>120</v>
      </c>
      <c r="D16" s="22" t="s">
        <v>4</v>
      </c>
      <c r="E16" s="22" t="s">
        <v>84</v>
      </c>
      <c r="F16" s="22" t="s">
        <v>121</v>
      </c>
      <c r="G16" s="22" t="s">
        <v>7</v>
      </c>
      <c r="H16" s="22" t="s">
        <v>8</v>
      </c>
      <c r="I16" s="22" t="s">
        <v>98</v>
      </c>
      <c r="J16" s="22" t="s">
        <v>55</v>
      </c>
      <c r="K16" s="22"/>
      <c r="L16" s="4"/>
      <c r="M16" s="4"/>
    </row>
    <row r="17" spans="1:13" x14ac:dyDescent="0.25">
      <c r="A17" s="26" t="s">
        <v>35</v>
      </c>
      <c r="B17" s="26"/>
      <c r="C17" s="22"/>
      <c r="D17" s="22"/>
      <c r="E17" s="22"/>
      <c r="F17" s="22"/>
      <c r="G17" s="22"/>
      <c r="H17" s="22"/>
      <c r="J17" s="22"/>
      <c r="K17" s="22"/>
      <c r="L17" s="5"/>
      <c r="M17" s="4"/>
    </row>
    <row r="18" spans="1:13" x14ac:dyDescent="0.25">
      <c r="A18" s="22" t="s">
        <v>38</v>
      </c>
      <c r="B18" s="22">
        <f>IF(B22&gt;0,B22-1,0)</f>
        <v>2</v>
      </c>
      <c r="C18" s="22">
        <f>34*C22+7*C23</f>
        <v>20.5</v>
      </c>
      <c r="D18" s="25" t="s">
        <v>39</v>
      </c>
      <c r="E18" s="22">
        <f>20*C3+8*C4+10*C5</f>
        <v>7518</v>
      </c>
      <c r="F18" s="22">
        <v>0.28999999999999998</v>
      </c>
      <c r="G18" s="45">
        <v>1989.41</v>
      </c>
      <c r="H18" s="22">
        <f>$J$5*G18</f>
        <v>725.08580897091713</v>
      </c>
      <c r="I18">
        <f>C18/F18</f>
        <v>70.689655172413794</v>
      </c>
      <c r="J18" s="39">
        <f>E18+G18+H18</f>
        <v>10232.495808970916</v>
      </c>
      <c r="K18" s="22"/>
      <c r="L18" s="4"/>
      <c r="M18" s="4"/>
    </row>
    <row r="19" spans="1:13" x14ac:dyDescent="0.25">
      <c r="A19" s="22"/>
      <c r="B19" s="22"/>
      <c r="C19" s="22"/>
      <c r="D19" s="25"/>
      <c r="E19" s="22"/>
      <c r="F19" s="35" t="s">
        <v>100</v>
      </c>
      <c r="G19" s="37">
        <v>11</v>
      </c>
      <c r="H19" s="36" t="s">
        <v>101</v>
      </c>
      <c r="I19" s="36">
        <f>I18/G19</f>
        <v>6.4263322884012544</v>
      </c>
      <c r="J19" s="22"/>
      <c r="K19" s="22"/>
      <c r="L19" s="4"/>
      <c r="M19" s="4"/>
    </row>
    <row r="20" spans="1:13" x14ac:dyDescent="0.25">
      <c r="A20" s="22"/>
      <c r="B20" s="22"/>
      <c r="C20" s="22"/>
      <c r="D20" s="25"/>
      <c r="E20" s="22"/>
      <c r="F20" s="35"/>
      <c r="G20" s="35"/>
      <c r="H20" s="36" t="s">
        <v>107</v>
      </c>
      <c r="I20" s="36">
        <f>I19*G19</f>
        <v>70.689655172413794</v>
      </c>
      <c r="J20" s="22"/>
      <c r="K20" s="22"/>
      <c r="L20" s="4"/>
      <c r="M20" s="4"/>
    </row>
    <row r="21" spans="1:13" x14ac:dyDescent="0.25">
      <c r="A21" s="26" t="s">
        <v>94</v>
      </c>
      <c r="B21" s="26"/>
      <c r="C21" s="22"/>
      <c r="D21" s="22"/>
      <c r="E21" s="22"/>
      <c r="F21" s="22"/>
      <c r="G21" s="22"/>
      <c r="H21" s="22"/>
      <c r="J21" s="22"/>
      <c r="K21" s="22"/>
      <c r="L21" s="4"/>
      <c r="M21" s="4"/>
    </row>
    <row r="22" spans="1:13" x14ac:dyDescent="0.25">
      <c r="A22" s="22" t="s">
        <v>24</v>
      </c>
      <c r="B22" s="22">
        <f>IF(B27&gt;0,B27-1,0)</f>
        <v>3</v>
      </c>
      <c r="C22" s="4">
        <f>C27</f>
        <v>0.5</v>
      </c>
      <c r="D22" s="24" t="s">
        <v>22</v>
      </c>
      <c r="E22" s="4">
        <f>40*C6+16*C7+34*J18</f>
        <v>596704.85750501114</v>
      </c>
      <c r="F22" s="4">
        <v>1.67</v>
      </c>
      <c r="G22" s="45">
        <v>351.65</v>
      </c>
      <c r="H22" s="4">
        <f>$J$5*G22</f>
        <v>128.16685586411197</v>
      </c>
      <c r="I22">
        <f>C22/F22</f>
        <v>0.29940119760479045</v>
      </c>
      <c r="J22" s="39">
        <f>E22+G22+H22</f>
        <v>597184.67436087527</v>
      </c>
      <c r="K22" s="22"/>
      <c r="L22" s="4"/>
      <c r="M22" s="4"/>
    </row>
    <row r="23" spans="1:13" x14ac:dyDescent="0.25">
      <c r="A23" s="22" t="s">
        <v>23</v>
      </c>
      <c r="B23" s="22">
        <f>IF(B27&gt;0,B27-1,0)</f>
        <v>3</v>
      </c>
      <c r="C23" s="4">
        <f>C27</f>
        <v>0.5</v>
      </c>
      <c r="D23" s="24" t="s">
        <v>25</v>
      </c>
      <c r="E23" s="4">
        <f>2*C8+10*C9+4*C10+6*C7+7*J18</f>
        <v>147937.4706627964</v>
      </c>
      <c r="F23" s="4">
        <v>0.33</v>
      </c>
      <c r="G23" s="45">
        <v>1758.23</v>
      </c>
      <c r="H23" s="4">
        <f>$J$5*G23</f>
        <v>640.82698986480193</v>
      </c>
      <c r="I23">
        <f>C23/F23</f>
        <v>1.5151515151515151</v>
      </c>
      <c r="J23" s="39">
        <f>E23+G23+H23</f>
        <v>150336.52765266123</v>
      </c>
      <c r="K23" s="22"/>
      <c r="L23" s="4"/>
      <c r="M23" s="4"/>
    </row>
    <row r="24" spans="1:13" x14ac:dyDescent="0.25">
      <c r="A24" s="22"/>
      <c r="B24" s="22"/>
      <c r="C24" s="22"/>
      <c r="D24" s="25"/>
      <c r="E24" s="22"/>
      <c r="F24" s="35" t="s">
        <v>100</v>
      </c>
      <c r="G24" s="37">
        <v>1</v>
      </c>
      <c r="H24" s="36" t="s">
        <v>101</v>
      </c>
      <c r="I24" s="36">
        <f>(I22+I23)/G24</f>
        <v>1.8145527127563055</v>
      </c>
      <c r="J24" s="22"/>
      <c r="K24" s="22"/>
      <c r="L24" s="4"/>
      <c r="M24" s="4"/>
    </row>
    <row r="25" spans="1:13" x14ac:dyDescent="0.25">
      <c r="A25" s="22"/>
      <c r="B25" s="22"/>
      <c r="C25" s="22"/>
      <c r="D25" s="25"/>
      <c r="E25" s="22"/>
      <c r="F25" s="35"/>
      <c r="G25" s="35"/>
      <c r="H25" s="36" t="s">
        <v>107</v>
      </c>
      <c r="I25" s="36">
        <f>I24*G24</f>
        <v>1.8145527127563055</v>
      </c>
      <c r="J25" s="22"/>
      <c r="K25" s="22"/>
      <c r="L25" s="4"/>
      <c r="M25" s="4"/>
    </row>
    <row r="26" spans="1:13" x14ac:dyDescent="0.25">
      <c r="A26" s="26" t="s">
        <v>44</v>
      </c>
      <c r="B26" s="26"/>
      <c r="C26" s="26"/>
      <c r="D26" s="22"/>
      <c r="E26" s="22"/>
      <c r="F26" s="22"/>
      <c r="G26" s="22"/>
      <c r="H26" s="22"/>
      <c r="J26" s="22"/>
      <c r="K26" s="22"/>
      <c r="L26" s="4"/>
      <c r="M26" s="4"/>
    </row>
    <row r="27" spans="1:13" x14ac:dyDescent="0.25">
      <c r="A27" s="22" t="s">
        <v>47</v>
      </c>
      <c r="B27" s="12">
        <v>4</v>
      </c>
      <c r="C27" s="12">
        <v>0.5</v>
      </c>
      <c r="D27" s="25" t="s">
        <v>48</v>
      </c>
      <c r="E27" s="22">
        <f>J22+J23</f>
        <v>747521.20201353647</v>
      </c>
      <c r="F27" s="22">
        <v>0.24</v>
      </c>
      <c r="G27" s="45">
        <v>3170.85</v>
      </c>
      <c r="H27" s="22">
        <f>$J$5*G27</f>
        <v>1155.6885395043919</v>
      </c>
      <c r="I27">
        <f>C27/F27</f>
        <v>2.0833333333333335</v>
      </c>
      <c r="J27" s="39">
        <f>E27+G27+H27</f>
        <v>751847.74055304087</v>
      </c>
      <c r="L27" s="4"/>
      <c r="M27" s="4"/>
    </row>
    <row r="28" spans="1:13" x14ac:dyDescent="0.25">
      <c r="A28" s="22"/>
      <c r="B28" s="22"/>
      <c r="C28" s="22"/>
      <c r="D28" s="24"/>
      <c r="E28" s="4"/>
      <c r="F28" s="35" t="s">
        <v>100</v>
      </c>
      <c r="G28" s="37">
        <v>1</v>
      </c>
      <c r="H28" s="36" t="s">
        <v>101</v>
      </c>
      <c r="I28" s="36">
        <f>I27/G28</f>
        <v>2.0833333333333335</v>
      </c>
      <c r="K28" t="s">
        <v>127</v>
      </c>
      <c r="L28" s="4"/>
      <c r="M28" s="4"/>
    </row>
    <row r="29" spans="1:13" x14ac:dyDescent="0.25">
      <c r="A29" s="22"/>
      <c r="B29" s="22"/>
      <c r="C29" s="22"/>
      <c r="D29" s="24"/>
      <c r="E29" s="4"/>
      <c r="F29" s="4"/>
      <c r="G29" s="4"/>
      <c r="H29" s="36" t="s">
        <v>107</v>
      </c>
      <c r="I29" s="36">
        <f>I28*G28</f>
        <v>2.0833333333333335</v>
      </c>
      <c r="K29" s="4"/>
      <c r="L29" s="4"/>
      <c r="M29" s="4"/>
    </row>
    <row r="30" spans="1:13" x14ac:dyDescent="0.25">
      <c r="A30" s="26" t="s">
        <v>115</v>
      </c>
      <c r="B30" s="29" t="s">
        <v>152</v>
      </c>
      <c r="C30" s="26"/>
      <c r="D30" s="22"/>
      <c r="E30" s="22"/>
      <c r="F30" s="22"/>
      <c r="G30" s="22"/>
      <c r="H30" s="22"/>
      <c r="J30" s="22"/>
      <c r="K30" s="4"/>
      <c r="L30" s="4"/>
      <c r="M30" s="4"/>
    </row>
    <row r="31" spans="1:13" x14ac:dyDescent="0.25">
      <c r="A31" s="22" t="s">
        <v>153</v>
      </c>
      <c r="B31" s="12">
        <v>10</v>
      </c>
      <c r="C31" s="22"/>
      <c r="D31" s="25" t="s">
        <v>116</v>
      </c>
      <c r="E31" s="50">
        <f>J27</f>
        <v>751847.74055304087</v>
      </c>
      <c r="F31" s="22">
        <f>1/(128/(2^(B31-1)))</f>
        <v>4</v>
      </c>
      <c r="G31" s="45">
        <v>518</v>
      </c>
      <c r="H31" s="46">
        <f>G31*J5</f>
        <v>188.79690413084032</v>
      </c>
      <c r="I31">
        <f>C28/F31</f>
        <v>0</v>
      </c>
      <c r="J31" s="39">
        <f>E31+(H31+G31)/F31</f>
        <v>752024.43977907358</v>
      </c>
      <c r="K31" t="s">
        <v>129</v>
      </c>
    </row>
    <row r="32" spans="1:13" x14ac:dyDescent="0.25">
      <c r="A32" s="22"/>
      <c r="B32" s="22"/>
      <c r="C32" s="22"/>
      <c r="D32" s="24"/>
      <c r="E32" s="4"/>
      <c r="F32" s="35" t="s">
        <v>100</v>
      </c>
      <c r="G32" s="37">
        <v>1</v>
      </c>
      <c r="H32" s="36"/>
      <c r="I32" s="36"/>
    </row>
    <row r="33" spans="1:11" x14ac:dyDescent="0.25">
      <c r="A33" s="22"/>
      <c r="B33" s="22"/>
      <c r="C33" s="22"/>
      <c r="D33" s="24"/>
      <c r="E33" s="4"/>
      <c r="G33" s="4"/>
      <c r="H33" s="36"/>
      <c r="I33" s="36"/>
    </row>
    <row r="34" spans="1:11" x14ac:dyDescent="0.25">
      <c r="A34" s="22"/>
      <c r="B34" s="22" t="s">
        <v>108</v>
      </c>
      <c r="C34" s="22"/>
      <c r="D34" s="24"/>
      <c r="E34" s="4"/>
      <c r="F34" s="4"/>
      <c r="G34" s="4"/>
      <c r="H34" s="4"/>
      <c r="I34" s="22"/>
    </row>
    <row r="35" spans="1:11" x14ac:dyDescent="0.25">
      <c r="A35" s="22"/>
      <c r="B35" s="22" t="s">
        <v>104</v>
      </c>
      <c r="C35" s="12">
        <f>790000+15000*B27</f>
        <v>850000</v>
      </c>
      <c r="D35" s="22"/>
      <c r="E35" s="22"/>
      <c r="I35" s="1"/>
    </row>
    <row r="36" spans="1:11" x14ac:dyDescent="0.25">
      <c r="A36" s="22"/>
      <c r="B36" s="22" t="s">
        <v>122</v>
      </c>
      <c r="C36" s="22">
        <f>24*C27</f>
        <v>12</v>
      </c>
      <c r="D36" s="22"/>
      <c r="E36" s="22"/>
      <c r="I36" s="1"/>
    </row>
    <row r="37" spans="1:11" x14ac:dyDescent="0.25">
      <c r="A37" s="22"/>
      <c r="B37" s="22" t="s">
        <v>105</v>
      </c>
      <c r="C37" s="39">
        <f>(C35-J27)*C27</f>
        <v>49076.129723479564</v>
      </c>
      <c r="D37" s="22"/>
      <c r="E37" s="22"/>
      <c r="I37" s="1"/>
    </row>
    <row r="38" spans="1:11" x14ac:dyDescent="0.25">
      <c r="A38" s="22"/>
      <c r="B38" s="22" t="s">
        <v>106</v>
      </c>
      <c r="C38" s="39">
        <f>C37*24</f>
        <v>1177827.1133635095</v>
      </c>
      <c r="D38" s="22"/>
      <c r="E38" s="22"/>
    </row>
    <row r="39" spans="1:11" x14ac:dyDescent="0.25">
      <c r="A39" s="22"/>
      <c r="B39" s="22"/>
      <c r="C39" s="22"/>
      <c r="D39" s="22"/>
      <c r="E39" s="22"/>
    </row>
    <row r="40" spans="1:11" x14ac:dyDescent="0.25">
      <c r="A40" s="22"/>
      <c r="B40" s="22" t="s">
        <v>109</v>
      </c>
      <c r="C40" s="22"/>
      <c r="D40" s="22"/>
      <c r="E40" s="22"/>
      <c r="K40" t="s">
        <v>155</v>
      </c>
    </row>
    <row r="41" spans="1:11" x14ac:dyDescent="0.25">
      <c r="A41" s="22"/>
      <c r="B41" s="22" t="s">
        <v>104</v>
      </c>
      <c r="C41" s="12">
        <v>316</v>
      </c>
      <c r="D41" s="22"/>
      <c r="E41" s="22"/>
      <c r="K41" s="48" t="s">
        <v>156</v>
      </c>
    </row>
    <row r="42" spans="1:11" x14ac:dyDescent="0.25">
      <c r="A42" s="22"/>
      <c r="B42" s="22" t="s">
        <v>110</v>
      </c>
      <c r="C42" s="22">
        <v>2800</v>
      </c>
      <c r="D42" s="22"/>
      <c r="E42" s="22"/>
      <c r="K42" s="49" t="s">
        <v>157</v>
      </c>
    </row>
    <row r="43" spans="1:11" x14ac:dyDescent="0.25">
      <c r="A43" s="22"/>
      <c r="B43" s="22" t="s">
        <v>111</v>
      </c>
      <c r="C43" s="22">
        <f>(0.5)^(B27+1)</f>
        <v>3.125E-2</v>
      </c>
      <c r="D43" s="22"/>
      <c r="E43" s="22"/>
      <c r="K43" s="47" t="s">
        <v>158</v>
      </c>
    </row>
    <row r="44" spans="1:11" x14ac:dyDescent="0.25">
      <c r="B44" s="22" t="s">
        <v>112</v>
      </c>
      <c r="C44" s="1">
        <f>C41*C42*(1-C43)</f>
        <v>857150</v>
      </c>
    </row>
    <row r="45" spans="1:11" x14ac:dyDescent="0.25">
      <c r="B45" s="22" t="s">
        <v>113</v>
      </c>
      <c r="C45" s="40">
        <f>(C44-J31)*C27</f>
        <v>52562.780110463209</v>
      </c>
    </row>
    <row r="46" spans="1:11" x14ac:dyDescent="0.25">
      <c r="B46" s="22" t="s">
        <v>114</v>
      </c>
      <c r="C46" s="40">
        <f>C45*24</f>
        <v>1261506.722651117</v>
      </c>
    </row>
  </sheetData>
  <conditionalFormatting sqref="M16:M1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{7B01C992-87E0-4469-A5D5-96D18C7DB011}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01C992-87E0-4469-A5D5-96D18C7DB0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M16:M17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1"/>
  <sheetViews>
    <sheetView topLeftCell="A13" zoomScale="70" zoomScaleNormal="70" workbookViewId="0">
      <selection activeCell="A18" sqref="A18:I41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s="10" t="s">
        <v>0</v>
      </c>
      <c r="B3" s="10">
        <v>66</v>
      </c>
    </row>
    <row r="4" spans="1:5" x14ac:dyDescent="0.25">
      <c r="A4" s="10" t="s">
        <v>10</v>
      </c>
      <c r="B4" s="10">
        <v>19</v>
      </c>
    </row>
    <row r="5" spans="1:5" x14ac:dyDescent="0.25">
      <c r="A5" t="s">
        <v>17</v>
      </c>
      <c r="B5">
        <v>34</v>
      </c>
    </row>
    <row r="6" spans="1:5" x14ac:dyDescent="0.25">
      <c r="A6" s="8" t="s">
        <v>56</v>
      </c>
      <c r="B6" s="8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s="10" t="s">
        <v>60</v>
      </c>
      <c r="B10" s="10">
        <v>920</v>
      </c>
    </row>
    <row r="11" spans="1:5" x14ac:dyDescent="0.25">
      <c r="A11" t="s">
        <v>61</v>
      </c>
      <c r="B11">
        <v>458</v>
      </c>
    </row>
    <row r="12" spans="1:5" x14ac:dyDescent="0.25">
      <c r="A12" s="10" t="s">
        <v>62</v>
      </c>
      <c r="B12" s="10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t="s">
        <v>65</v>
      </c>
      <c r="B15">
        <v>14.6</v>
      </c>
    </row>
    <row r="16" spans="1:5" x14ac:dyDescent="0.25">
      <c r="A16" t="s">
        <v>68</v>
      </c>
      <c r="B16">
        <v>56.5</v>
      </c>
    </row>
    <row r="18" spans="1:11" x14ac:dyDescent="0.25">
      <c r="A18" s="4"/>
      <c r="B18" s="4"/>
      <c r="C18" s="4"/>
      <c r="D18" s="4"/>
      <c r="E18" s="4"/>
      <c r="F18" s="4"/>
      <c r="G18" s="4"/>
      <c r="H18" s="4"/>
      <c r="I18" s="4"/>
    </row>
    <row r="19" spans="1:11" x14ac:dyDescent="0.25">
      <c r="A19" s="4"/>
      <c r="B19" s="4"/>
      <c r="C19" s="4"/>
      <c r="D19" s="4"/>
      <c r="E19" s="4"/>
      <c r="F19" s="4"/>
      <c r="G19" s="4"/>
      <c r="H19" s="4"/>
      <c r="I19" s="4"/>
    </row>
    <row r="20" spans="1:11" x14ac:dyDescent="0.25">
      <c r="A20" s="4"/>
      <c r="B20" s="4"/>
      <c r="C20" s="4"/>
      <c r="D20" s="4"/>
      <c r="E20" s="4"/>
      <c r="F20" s="4"/>
      <c r="G20" s="4"/>
      <c r="H20" s="4"/>
      <c r="I20" s="4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</row>
    <row r="22" spans="1:11" x14ac:dyDescent="0.25">
      <c r="A22" s="4"/>
      <c r="B22" s="4" t="s">
        <v>14</v>
      </c>
      <c r="C22" s="4" t="s">
        <v>4</v>
      </c>
      <c r="D22" s="4"/>
      <c r="E22" s="4" t="s">
        <v>6</v>
      </c>
      <c r="F22" s="4" t="s">
        <v>7</v>
      </c>
      <c r="G22" s="4" t="s">
        <v>8</v>
      </c>
      <c r="H22" s="22" t="s">
        <v>55</v>
      </c>
      <c r="I22" s="4"/>
    </row>
    <row r="23" spans="1:11" x14ac:dyDescent="0.25">
      <c r="A23" s="12" t="s">
        <v>3</v>
      </c>
      <c r="B23" s="4"/>
      <c r="C23" s="4"/>
      <c r="D23" s="4"/>
      <c r="E23" s="4"/>
      <c r="F23" s="4"/>
      <c r="G23" s="4"/>
      <c r="H23" s="4"/>
      <c r="I23" s="4"/>
    </row>
    <row r="24" spans="1:11" x14ac:dyDescent="0.25">
      <c r="A24" s="27" t="s">
        <v>5</v>
      </c>
      <c r="B24" s="4">
        <v>2</v>
      </c>
      <c r="C24" s="24" t="s">
        <v>15</v>
      </c>
      <c r="D24" s="4">
        <f>40*B3</f>
        <v>2640</v>
      </c>
      <c r="E24" s="4">
        <v>3.67</v>
      </c>
      <c r="F24" s="4">
        <v>159.84</v>
      </c>
      <c r="G24" s="4">
        <f t="shared" ref="G24:G25" si="0">$E$2*F24</f>
        <v>46.065888000000001</v>
      </c>
      <c r="H24" s="4">
        <f>D24+F24+G24</f>
        <v>2845.9058880000002</v>
      </c>
      <c r="I24" s="4"/>
      <c r="J24">
        <f>40/E24</f>
        <v>10.899182561307903</v>
      </c>
      <c r="K24">
        <f>J24/$K$36</f>
        <v>0.3478683389014206</v>
      </c>
    </row>
    <row r="25" spans="1:11" x14ac:dyDescent="0.25">
      <c r="A25" s="27" t="s">
        <v>11</v>
      </c>
      <c r="B25" s="4">
        <v>2</v>
      </c>
      <c r="C25" s="24" t="s">
        <v>12</v>
      </c>
      <c r="D25" s="4">
        <f>30*B3+5*B4</f>
        <v>2075</v>
      </c>
      <c r="E25" s="4">
        <v>9.01</v>
      </c>
      <c r="F25" s="4">
        <v>65.12</v>
      </c>
      <c r="G25" s="4">
        <f t="shared" si="0"/>
        <v>18.767584000000003</v>
      </c>
      <c r="H25" s="4">
        <f t="shared" ref="H25:H34" si="1">D25+F25+G25</f>
        <v>2158.8875840000001</v>
      </c>
      <c r="I25" s="4"/>
      <c r="J25">
        <f>10/E25</f>
        <v>1.1098779134295227</v>
      </c>
      <c r="K25">
        <f t="shared" ref="K25:K34" si="2">J25/$K$36</f>
        <v>3.5423884677253423E-2</v>
      </c>
    </row>
    <row r="26" spans="1:11" x14ac:dyDescent="0.25">
      <c r="A26" s="4"/>
      <c r="B26" s="4"/>
      <c r="C26" s="4"/>
      <c r="D26" s="4"/>
      <c r="E26" s="4"/>
      <c r="F26" s="4"/>
      <c r="G26" s="4"/>
      <c r="H26" s="4"/>
      <c r="I26" s="4"/>
    </row>
    <row r="27" spans="1:11" x14ac:dyDescent="0.25">
      <c r="A27" s="12" t="s">
        <v>26</v>
      </c>
      <c r="B27" s="4"/>
      <c r="C27" s="4"/>
      <c r="D27" s="4"/>
      <c r="E27" s="4"/>
      <c r="F27" s="4"/>
      <c r="G27" s="4"/>
      <c r="H27" s="4"/>
      <c r="I27" s="4"/>
    </row>
    <row r="28" spans="1:11" x14ac:dyDescent="0.25">
      <c r="A28" s="27" t="s">
        <v>29</v>
      </c>
      <c r="B28" s="4">
        <v>1</v>
      </c>
      <c r="C28" s="24" t="s">
        <v>30</v>
      </c>
      <c r="D28" s="4">
        <f>4*B10+8*B12+B6</f>
        <v>4922</v>
      </c>
      <c r="E28" s="4">
        <v>2.56</v>
      </c>
      <c r="F28" s="4">
        <v>283.24</v>
      </c>
      <c r="G28" s="4">
        <f>$E$2*F28</f>
        <v>81.629768000000013</v>
      </c>
      <c r="H28" s="4">
        <f t="shared" si="1"/>
        <v>5286.8697679999996</v>
      </c>
      <c r="I28" s="4"/>
      <c r="J28">
        <f>2/E28</f>
        <v>0.78125</v>
      </c>
      <c r="K28">
        <f t="shared" si="2"/>
        <v>2.4935093823597921E-2</v>
      </c>
    </row>
    <row r="29" spans="1:11" x14ac:dyDescent="0.25">
      <c r="A29" s="4"/>
      <c r="B29" s="4"/>
      <c r="C29" s="4"/>
      <c r="D29" s="4"/>
      <c r="E29" s="4"/>
      <c r="F29" s="4"/>
      <c r="G29" s="4"/>
      <c r="H29" s="4"/>
      <c r="I29" s="4"/>
    </row>
    <row r="30" spans="1:11" x14ac:dyDescent="0.25">
      <c r="A30" s="12" t="s">
        <v>35</v>
      </c>
      <c r="B30" s="4"/>
      <c r="C30" s="4"/>
      <c r="D30" s="4"/>
      <c r="E30" s="4"/>
      <c r="F30" s="4"/>
      <c r="G30" s="4"/>
      <c r="H30" s="4"/>
      <c r="I30" s="4"/>
    </row>
    <row r="31" spans="1:11" x14ac:dyDescent="0.25">
      <c r="A31" s="27" t="s">
        <v>42</v>
      </c>
      <c r="B31" s="4">
        <v>1</v>
      </c>
      <c r="C31" s="24" t="s">
        <v>43</v>
      </c>
      <c r="D31" s="4">
        <f>4*B10+5*B4</f>
        <v>3775</v>
      </c>
      <c r="E31" s="4">
        <v>0.94</v>
      </c>
      <c r="F31" s="4">
        <v>663.14</v>
      </c>
      <c r="G31" s="4">
        <f>$E$2*F31</f>
        <v>191.11694800000001</v>
      </c>
      <c r="H31" s="4">
        <f t="shared" si="1"/>
        <v>4629.2569480000002</v>
      </c>
      <c r="I31" s="4"/>
      <c r="J31">
        <f>4/E31</f>
        <v>4.2553191489361701</v>
      </c>
      <c r="K31">
        <f t="shared" si="2"/>
        <v>0.1358166812519376</v>
      </c>
    </row>
    <row r="32" spans="1:11" x14ac:dyDescent="0.25">
      <c r="A32" s="4"/>
      <c r="B32" s="4"/>
      <c r="C32" s="4"/>
      <c r="D32" s="4"/>
      <c r="E32" s="4"/>
      <c r="F32" s="4"/>
      <c r="G32" s="4"/>
      <c r="H32" s="4"/>
      <c r="I32" s="4"/>
    </row>
    <row r="33" spans="1:11" x14ac:dyDescent="0.25">
      <c r="A33" s="12" t="s">
        <v>49</v>
      </c>
      <c r="B33" s="4"/>
      <c r="C33" s="4"/>
      <c r="D33" s="4"/>
      <c r="E33" s="4"/>
      <c r="F33" s="4"/>
      <c r="G33" s="4"/>
      <c r="H33" s="4"/>
      <c r="I33" s="4"/>
    </row>
    <row r="34" spans="1:11" x14ac:dyDescent="0.25">
      <c r="A34" s="28" t="s">
        <v>50</v>
      </c>
      <c r="B34" s="4">
        <v>2000</v>
      </c>
      <c r="C34" s="24" t="s">
        <v>51</v>
      </c>
      <c r="D34" s="4">
        <f>40*H24+10*H25+2*H28+140*B6+4*H31</f>
        <v>207355.87868800003</v>
      </c>
      <c r="E34" s="4">
        <v>7.0000000000000007E-2</v>
      </c>
      <c r="F34" s="4">
        <v>10569.51</v>
      </c>
      <c r="G34" s="4">
        <f>$E$2*F34</f>
        <v>3046.1327820000001</v>
      </c>
      <c r="H34" s="4">
        <f t="shared" si="1"/>
        <v>220971.52147000004</v>
      </c>
      <c r="I34" s="4"/>
      <c r="J34">
        <f>1/E34</f>
        <v>14.285714285714285</v>
      </c>
      <c r="K34">
        <f t="shared" si="2"/>
        <v>0.45595600134579051</v>
      </c>
    </row>
    <row r="35" spans="1:11" x14ac:dyDescent="0.25">
      <c r="A35" s="4"/>
      <c r="B35" s="4"/>
      <c r="C35" s="4"/>
      <c r="D35" s="4"/>
      <c r="E35" s="4"/>
      <c r="F35" s="4"/>
      <c r="G35" s="4"/>
      <c r="H35" s="4"/>
      <c r="I35" s="4"/>
    </row>
    <row r="36" spans="1:11" x14ac:dyDescent="0.25">
      <c r="A36" s="4"/>
      <c r="B36" s="4"/>
      <c r="C36" s="4"/>
      <c r="D36" s="4"/>
      <c r="E36" s="4"/>
      <c r="F36" s="4"/>
      <c r="G36" s="4"/>
      <c r="H36" s="4"/>
      <c r="I36" s="4"/>
      <c r="J36" t="s">
        <v>83</v>
      </c>
      <c r="K36">
        <f>SUM(J34,J31,J28,J24,J25)</f>
        <v>31.331343909387879</v>
      </c>
    </row>
    <row r="37" spans="1:11" x14ac:dyDescent="0.25">
      <c r="A37" s="4"/>
      <c r="B37" s="4"/>
      <c r="C37" s="4"/>
      <c r="D37" s="4"/>
      <c r="E37" s="4"/>
      <c r="F37" s="4"/>
      <c r="G37" s="4"/>
      <c r="H37" s="4"/>
      <c r="I37" s="4"/>
    </row>
    <row r="38" spans="1:11" x14ac:dyDescent="0.25">
      <c r="A38" s="4"/>
      <c r="B38" s="4"/>
      <c r="C38" s="4"/>
      <c r="D38" s="4"/>
      <c r="E38" s="4"/>
      <c r="F38" s="4"/>
      <c r="G38" s="4"/>
      <c r="H38" s="4"/>
      <c r="I38" s="4"/>
    </row>
    <row r="39" spans="1:11" x14ac:dyDescent="0.25">
      <c r="A39" s="4"/>
      <c r="B39" s="4"/>
      <c r="C39" s="4"/>
      <c r="D39" s="4"/>
      <c r="E39" s="4"/>
      <c r="F39" s="4"/>
      <c r="G39" s="4"/>
      <c r="H39" s="4"/>
      <c r="I39" s="4"/>
    </row>
    <row r="40" spans="1:11" x14ac:dyDescent="0.25">
      <c r="A40" s="4"/>
      <c r="B40" s="4"/>
      <c r="C40" s="4"/>
      <c r="D40" s="4"/>
      <c r="E40" s="4"/>
      <c r="F40" s="4"/>
      <c r="G40" s="4"/>
      <c r="H40" s="4"/>
      <c r="I40" s="4"/>
    </row>
    <row r="41" spans="1:11" x14ac:dyDescent="0.25">
      <c r="A41" s="4"/>
      <c r="B41" s="4"/>
      <c r="C41" s="4"/>
      <c r="D41" s="4"/>
      <c r="E41" s="4"/>
      <c r="F41" s="4"/>
      <c r="G41" s="4"/>
      <c r="H41" s="4"/>
      <c r="I41" s="4"/>
    </row>
  </sheetData>
  <conditionalFormatting sqref="H24:H3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:K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{D2C358B2-F5A8-46A3-9023-69603AEC16D0}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C358B2-F5A8-46A3-9023-69603AEC16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K24:K34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8"/>
  <sheetViews>
    <sheetView topLeftCell="A21" zoomScale="70" zoomScaleNormal="70" workbookViewId="0">
      <selection activeCell="A21" sqref="A21:I38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s="9" t="s">
        <v>0</v>
      </c>
      <c r="B3" s="9">
        <v>66</v>
      </c>
    </row>
    <row r="4" spans="1:5" x14ac:dyDescent="0.25">
      <c r="A4" s="9" t="s">
        <v>10</v>
      </c>
      <c r="B4" s="9">
        <v>19</v>
      </c>
    </row>
    <row r="5" spans="1:5" x14ac:dyDescent="0.25">
      <c r="A5" t="s">
        <v>17</v>
      </c>
      <c r="B5">
        <v>34</v>
      </c>
    </row>
    <row r="6" spans="1:5" x14ac:dyDescent="0.25">
      <c r="A6" s="9" t="s">
        <v>56</v>
      </c>
      <c r="B6" s="9">
        <v>306</v>
      </c>
      <c r="D6" t="s">
        <v>70</v>
      </c>
    </row>
    <row r="7" spans="1:5" x14ac:dyDescent="0.25">
      <c r="A7" s="8" t="s">
        <v>57</v>
      </c>
      <c r="B7" s="8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s="9" t="s">
        <v>60</v>
      </c>
      <c r="B10" s="9">
        <v>920</v>
      </c>
    </row>
    <row r="11" spans="1:5" x14ac:dyDescent="0.25">
      <c r="A11" t="s">
        <v>61</v>
      </c>
      <c r="B11">
        <v>458</v>
      </c>
    </row>
    <row r="12" spans="1:5" x14ac:dyDescent="0.25">
      <c r="A12" s="9" t="s">
        <v>62</v>
      </c>
      <c r="B12" s="9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t="s">
        <v>65</v>
      </c>
      <c r="B15">
        <v>14.6</v>
      </c>
    </row>
    <row r="16" spans="1:5" x14ac:dyDescent="0.25">
      <c r="A16" t="s">
        <v>68</v>
      </c>
      <c r="B16">
        <v>56.5</v>
      </c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</row>
    <row r="22" spans="1:11" x14ac:dyDescent="0.25">
      <c r="A22" s="4"/>
      <c r="B22" s="4" t="s">
        <v>14</v>
      </c>
      <c r="C22" s="4" t="s">
        <v>4</v>
      </c>
      <c r="D22" s="4"/>
      <c r="E22" s="4" t="s">
        <v>6</v>
      </c>
      <c r="F22" s="4" t="s">
        <v>7</v>
      </c>
      <c r="G22" s="4" t="s">
        <v>8</v>
      </c>
      <c r="H22" s="22" t="s">
        <v>55</v>
      </c>
      <c r="I22" s="4"/>
    </row>
    <row r="23" spans="1:11" x14ac:dyDescent="0.25">
      <c r="A23" s="12" t="s">
        <v>3</v>
      </c>
      <c r="B23" s="4"/>
      <c r="C23" s="4"/>
      <c r="D23" s="4"/>
      <c r="E23" s="4"/>
      <c r="F23" s="4"/>
      <c r="G23" s="4"/>
      <c r="H23" s="4"/>
      <c r="I23" s="4"/>
    </row>
    <row r="24" spans="1:11" x14ac:dyDescent="0.25">
      <c r="A24" s="27" t="s">
        <v>5</v>
      </c>
      <c r="B24" s="4">
        <v>2</v>
      </c>
      <c r="C24" s="24" t="s">
        <v>15</v>
      </c>
      <c r="D24" s="4">
        <f>40*B3</f>
        <v>2640</v>
      </c>
      <c r="E24" s="4">
        <v>3.67</v>
      </c>
      <c r="F24" s="4">
        <v>159.84</v>
      </c>
      <c r="G24" s="4">
        <f t="shared" ref="G24:G25" si="0">$E$2*F24</f>
        <v>46.065888000000001</v>
      </c>
      <c r="H24" s="4">
        <f>D24+F24+G24</f>
        <v>2845.9058880000002</v>
      </c>
      <c r="I24" s="4"/>
      <c r="J24">
        <f>14/E24</f>
        <v>3.8147138964577656</v>
      </c>
      <c r="K24">
        <f t="shared" ref="K24:K31" si="1">J24/$K$36</f>
        <v>0.32278484561943088</v>
      </c>
    </row>
    <row r="25" spans="1:11" x14ac:dyDescent="0.25">
      <c r="A25" s="27" t="s">
        <v>11</v>
      </c>
      <c r="B25" s="4">
        <v>2</v>
      </c>
      <c r="C25" s="24" t="s">
        <v>12</v>
      </c>
      <c r="D25" s="4">
        <f>30*B3+5*B4</f>
        <v>2075</v>
      </c>
      <c r="E25" s="4">
        <v>9.01</v>
      </c>
      <c r="F25" s="4">
        <v>65.12</v>
      </c>
      <c r="G25" s="4">
        <f t="shared" si="0"/>
        <v>18.767584000000003</v>
      </c>
      <c r="H25" s="4">
        <f t="shared" ref="H25:H34" si="2">D25+F25+G25</f>
        <v>2158.8875840000001</v>
      </c>
      <c r="I25" s="4"/>
      <c r="J25">
        <f>2/E25</f>
        <v>0.22197558268590456</v>
      </c>
      <c r="K25">
        <f t="shared" si="1"/>
        <v>1.8782628562284943E-2</v>
      </c>
    </row>
    <row r="26" spans="1:11" x14ac:dyDescent="0.25">
      <c r="A26" s="4"/>
      <c r="B26" s="4"/>
      <c r="C26" s="4"/>
      <c r="D26" s="4"/>
      <c r="E26" s="4"/>
      <c r="F26" s="4"/>
      <c r="G26" s="4"/>
      <c r="H26" s="4"/>
      <c r="I26" s="4"/>
    </row>
    <row r="27" spans="1:11" x14ac:dyDescent="0.25">
      <c r="A27" s="12" t="s">
        <v>26</v>
      </c>
      <c r="B27" s="4"/>
      <c r="C27" s="4"/>
      <c r="D27" s="4"/>
      <c r="E27" s="4"/>
      <c r="F27" s="4"/>
      <c r="G27" s="4"/>
      <c r="H27" s="4"/>
      <c r="I27" s="4"/>
    </row>
    <row r="28" spans="1:11" x14ac:dyDescent="0.25">
      <c r="A28" s="27" t="s">
        <v>29</v>
      </c>
      <c r="B28" s="4">
        <v>1</v>
      </c>
      <c r="C28" s="24" t="s">
        <v>30</v>
      </c>
      <c r="D28" s="4">
        <f>4*B10+8*B12+B6</f>
        <v>4922</v>
      </c>
      <c r="E28" s="4">
        <v>2.56</v>
      </c>
      <c r="F28" s="4">
        <v>283.24</v>
      </c>
      <c r="G28" s="4">
        <f>$E$2*F28</f>
        <v>81.629768000000013</v>
      </c>
      <c r="H28" s="4">
        <f t="shared" si="2"/>
        <v>5286.8697679999996</v>
      </c>
      <c r="I28" s="4"/>
      <c r="J28">
        <f>1/E28</f>
        <v>0.390625</v>
      </c>
      <c r="K28">
        <f t="shared" si="1"/>
        <v>3.3053024091052215E-2</v>
      </c>
    </row>
    <row r="29" spans="1:11" x14ac:dyDescent="0.25">
      <c r="A29" s="4"/>
      <c r="B29" s="4"/>
      <c r="C29" s="4"/>
      <c r="D29" s="4"/>
      <c r="E29" s="4"/>
      <c r="F29" s="4"/>
      <c r="G29" s="4"/>
      <c r="H29" s="4"/>
      <c r="I29" s="4"/>
    </row>
    <row r="30" spans="1:11" x14ac:dyDescent="0.25">
      <c r="A30" s="12" t="s">
        <v>35</v>
      </c>
      <c r="B30" s="4"/>
      <c r="C30" s="4"/>
      <c r="D30" s="4"/>
      <c r="E30" s="4"/>
      <c r="F30" s="4"/>
      <c r="G30" s="4"/>
      <c r="H30" s="4"/>
      <c r="I30" s="4"/>
    </row>
    <row r="31" spans="1:11" x14ac:dyDescent="0.25">
      <c r="A31" s="27" t="s">
        <v>42</v>
      </c>
      <c r="B31" s="4">
        <v>1</v>
      </c>
      <c r="C31" s="24" t="s">
        <v>43</v>
      </c>
      <c r="D31" s="4">
        <f>4*B10+5*B4</f>
        <v>3775</v>
      </c>
      <c r="E31" s="4">
        <v>0.94</v>
      </c>
      <c r="F31" s="4">
        <v>663.14</v>
      </c>
      <c r="G31" s="4">
        <f>$E$2*F31</f>
        <v>191.11694800000001</v>
      </c>
      <c r="H31" s="4">
        <f t="shared" si="2"/>
        <v>4629.2569480000002</v>
      </c>
      <c r="I31" s="4"/>
      <c r="J31">
        <f>2/E31</f>
        <v>2.1276595744680851</v>
      </c>
      <c r="K31">
        <f t="shared" si="1"/>
        <v>0.18003349292147589</v>
      </c>
    </row>
    <row r="32" spans="1:11" x14ac:dyDescent="0.25">
      <c r="A32" s="4"/>
      <c r="B32" s="4"/>
      <c r="C32" s="4"/>
      <c r="D32" s="4"/>
      <c r="E32" s="4"/>
      <c r="F32" s="4"/>
      <c r="G32" s="4"/>
      <c r="H32" s="4"/>
      <c r="I32" s="4"/>
    </row>
    <row r="33" spans="1:11" x14ac:dyDescent="0.25">
      <c r="A33" s="12" t="s">
        <v>49</v>
      </c>
      <c r="B33" s="4"/>
      <c r="C33" s="4"/>
      <c r="D33" s="4"/>
      <c r="E33" s="4"/>
      <c r="F33" s="4"/>
      <c r="G33" s="4"/>
      <c r="H33" s="4"/>
      <c r="I33" s="4"/>
    </row>
    <row r="34" spans="1:11" x14ac:dyDescent="0.25">
      <c r="A34" s="28" t="s">
        <v>52</v>
      </c>
      <c r="B34" s="4">
        <v>1000</v>
      </c>
      <c r="C34" s="24" t="s">
        <v>53</v>
      </c>
      <c r="D34" s="4">
        <f>14*H24+2*H25+H28+2*B7+2*H31</f>
        <v>70705.841264000002</v>
      </c>
      <c r="E34" s="4">
        <v>0.19</v>
      </c>
      <c r="F34" s="4">
        <v>3963.57</v>
      </c>
      <c r="G34" s="4">
        <f>$E$2*F34</f>
        <v>1142.300874</v>
      </c>
      <c r="H34" s="4">
        <f t="shared" si="2"/>
        <v>75811.712138000003</v>
      </c>
      <c r="I34" s="4"/>
      <c r="J34">
        <f>1/E34</f>
        <v>5.2631578947368425</v>
      </c>
      <c r="K34">
        <f>J34/$K$36</f>
        <v>0.44534600880575614</v>
      </c>
    </row>
    <row r="35" spans="1:11" x14ac:dyDescent="0.25">
      <c r="A35" s="4"/>
      <c r="B35" s="4"/>
      <c r="C35" s="4"/>
      <c r="D35" s="4"/>
      <c r="E35" s="4"/>
      <c r="F35" s="4"/>
      <c r="G35" s="4"/>
      <c r="H35" s="4"/>
      <c r="I35" s="4"/>
    </row>
    <row r="36" spans="1:11" x14ac:dyDescent="0.25">
      <c r="A36" s="4"/>
      <c r="B36" s="4"/>
      <c r="C36" s="4"/>
      <c r="D36" s="4"/>
      <c r="E36" s="4"/>
      <c r="F36" s="4"/>
      <c r="G36" s="4"/>
      <c r="H36" s="4"/>
      <c r="I36" s="4"/>
      <c r="J36" t="s">
        <v>83</v>
      </c>
      <c r="K36">
        <f>SUM(J24:J34)</f>
        <v>11.818131948348597</v>
      </c>
    </row>
    <row r="37" spans="1:11" x14ac:dyDescent="0.25">
      <c r="A37" s="4"/>
      <c r="B37" s="4"/>
      <c r="C37" s="4"/>
      <c r="D37" s="4"/>
      <c r="E37" s="4"/>
      <c r="F37" s="4"/>
      <c r="G37" s="4"/>
      <c r="H37" s="4"/>
      <c r="I37" s="4"/>
    </row>
    <row r="38" spans="1:11" x14ac:dyDescent="0.25">
      <c r="A38" s="4"/>
      <c r="B38" s="4"/>
      <c r="C38" s="4"/>
      <c r="D38" s="4"/>
      <c r="E38" s="4"/>
      <c r="F38" s="4"/>
      <c r="G38" s="4"/>
      <c r="H38" s="4"/>
      <c r="I38" s="4"/>
    </row>
  </sheetData>
  <conditionalFormatting sqref="H24:H3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:K3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{0378624B-AEF5-4105-A7B1-2A5211CACD1F}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78624B-AEF5-4105-A7B1-2A5211CACD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K24:K35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9"/>
  <sheetViews>
    <sheetView topLeftCell="A13" zoomScale="70" zoomScaleNormal="70" workbookViewId="0">
      <selection activeCell="C28" sqref="C28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s="9" t="s">
        <v>0</v>
      </c>
      <c r="B3">
        <v>66</v>
      </c>
    </row>
    <row r="4" spans="1:5" x14ac:dyDescent="0.25">
      <c r="A4" s="9" t="s">
        <v>10</v>
      </c>
      <c r="B4">
        <v>19</v>
      </c>
    </row>
    <row r="5" spans="1:5" x14ac:dyDescent="0.25">
      <c r="A5" t="s">
        <v>17</v>
      </c>
      <c r="B5">
        <v>34</v>
      </c>
    </row>
    <row r="6" spans="1:5" x14ac:dyDescent="0.25">
      <c r="A6" s="9" t="s">
        <v>56</v>
      </c>
      <c r="B6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s="9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s="9" t="s">
        <v>60</v>
      </c>
      <c r="B10">
        <v>920</v>
      </c>
    </row>
    <row r="11" spans="1:5" x14ac:dyDescent="0.25">
      <c r="A11" t="s">
        <v>61</v>
      </c>
      <c r="B11">
        <v>458</v>
      </c>
    </row>
    <row r="12" spans="1:5" x14ac:dyDescent="0.25">
      <c r="A12" s="9" t="s">
        <v>62</v>
      </c>
      <c r="B12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s="9" t="s">
        <v>65</v>
      </c>
      <c r="B15">
        <v>14.6</v>
      </c>
    </row>
    <row r="16" spans="1:5" x14ac:dyDescent="0.25">
      <c r="A16" s="9" t="s">
        <v>68</v>
      </c>
      <c r="B16">
        <v>56.5</v>
      </c>
    </row>
    <row r="19" spans="1:11" x14ac:dyDescent="0.25">
      <c r="A19" s="4"/>
      <c r="B19" s="4"/>
      <c r="C19" s="4"/>
      <c r="D19" s="4"/>
      <c r="E19" s="4"/>
      <c r="F19" s="4"/>
      <c r="G19" s="4"/>
      <c r="H19" s="4"/>
    </row>
    <row r="20" spans="1:11" x14ac:dyDescent="0.25">
      <c r="A20" s="4"/>
      <c r="B20" s="4"/>
      <c r="C20" s="4"/>
      <c r="D20" s="4"/>
      <c r="E20" s="4"/>
      <c r="F20" s="4"/>
      <c r="G20" s="4"/>
      <c r="H20" s="4"/>
    </row>
    <row r="21" spans="1:11" x14ac:dyDescent="0.25">
      <c r="A21" s="4"/>
      <c r="B21" s="4"/>
      <c r="C21" s="4"/>
      <c r="D21" s="4"/>
      <c r="E21" s="4"/>
      <c r="F21" s="4"/>
      <c r="G21" s="4"/>
      <c r="H21" s="4"/>
    </row>
    <row r="22" spans="1:11" x14ac:dyDescent="0.25">
      <c r="A22" s="4"/>
      <c r="B22" s="4" t="s">
        <v>14</v>
      </c>
      <c r="C22" s="4" t="s">
        <v>4</v>
      </c>
      <c r="D22" s="4"/>
      <c r="E22" s="4" t="s">
        <v>6</v>
      </c>
      <c r="F22" s="4" t="s">
        <v>7</v>
      </c>
      <c r="G22" s="4" t="s">
        <v>8</v>
      </c>
      <c r="H22" s="22" t="s">
        <v>55</v>
      </c>
    </row>
    <row r="23" spans="1:11" x14ac:dyDescent="0.25">
      <c r="A23" s="12" t="s">
        <v>3</v>
      </c>
      <c r="B23" s="4"/>
      <c r="C23" s="4"/>
      <c r="D23" s="4"/>
      <c r="E23" s="4"/>
      <c r="F23" s="4"/>
      <c r="G23" s="4"/>
      <c r="H23" s="4"/>
    </row>
    <row r="24" spans="1:11" x14ac:dyDescent="0.25">
      <c r="A24" s="27" t="s">
        <v>5</v>
      </c>
      <c r="B24" s="4">
        <v>2</v>
      </c>
      <c r="C24" s="24" t="s">
        <v>15</v>
      </c>
      <c r="D24" s="4">
        <f>40*B3</f>
        <v>2640</v>
      </c>
      <c r="E24" s="4">
        <v>3.67</v>
      </c>
      <c r="F24" s="4">
        <v>159.84</v>
      </c>
      <c r="G24" s="4">
        <f t="shared" ref="G24:G25" si="0">$E$2*F24</f>
        <v>46.065888000000001</v>
      </c>
      <c r="H24" s="4">
        <f>D24+F24+G24</f>
        <v>2845.9058880000002</v>
      </c>
      <c r="J24">
        <f>8/E24</f>
        <v>2.1798365122615806</v>
      </c>
      <c r="K24">
        <f t="shared" ref="K24:K31" si="1">J24/$K$36</f>
        <v>0.46680175492536063</v>
      </c>
    </row>
    <row r="25" spans="1:11" x14ac:dyDescent="0.25">
      <c r="A25" s="27" t="s">
        <v>11</v>
      </c>
      <c r="B25" s="4">
        <v>2</v>
      </c>
      <c r="C25" s="24" t="s">
        <v>12</v>
      </c>
      <c r="D25" s="4">
        <f>30*B3+5*B4</f>
        <v>2075</v>
      </c>
      <c r="E25" s="4">
        <v>9.01</v>
      </c>
      <c r="F25" s="4">
        <v>65.12</v>
      </c>
      <c r="G25" s="4">
        <f t="shared" si="0"/>
        <v>18.767584000000003</v>
      </c>
      <c r="H25" s="4">
        <f t="shared" ref="H25:H34" si="2">D25+F25+G25</f>
        <v>2158.8875840000001</v>
      </c>
      <c r="J25">
        <f>2/E25</f>
        <v>0.22197558268590456</v>
      </c>
      <c r="K25">
        <f t="shared" si="1"/>
        <v>4.7535028872810033E-2</v>
      </c>
    </row>
    <row r="26" spans="1:11" x14ac:dyDescent="0.25">
      <c r="A26" s="4"/>
      <c r="B26" s="4"/>
      <c r="C26" s="4"/>
      <c r="D26" s="4"/>
      <c r="E26" s="4"/>
      <c r="F26" s="4"/>
      <c r="G26" s="4"/>
      <c r="H26" s="4"/>
    </row>
    <row r="27" spans="1:11" x14ac:dyDescent="0.25">
      <c r="A27" s="12" t="s">
        <v>26</v>
      </c>
      <c r="B27" s="4"/>
      <c r="C27" s="4"/>
      <c r="D27" s="4"/>
      <c r="E27" s="4"/>
      <c r="F27" s="4"/>
      <c r="G27" s="4"/>
      <c r="H27" s="4"/>
    </row>
    <row r="28" spans="1:11" x14ac:dyDescent="0.25">
      <c r="A28" s="27" t="s">
        <v>29</v>
      </c>
      <c r="B28" s="4">
        <v>1</v>
      </c>
      <c r="C28" s="24" t="s">
        <v>30</v>
      </c>
      <c r="D28" s="4">
        <f>4*B10+8*B12+B6</f>
        <v>4922</v>
      </c>
      <c r="E28" s="4">
        <v>2.56</v>
      </c>
      <c r="F28" s="4">
        <v>283.24</v>
      </c>
      <c r="G28" s="4">
        <f>$E$2*F28</f>
        <v>81.629768000000013</v>
      </c>
      <c r="H28" s="4">
        <f t="shared" si="2"/>
        <v>5286.8697679999996</v>
      </c>
      <c r="J28">
        <f>1/E28</f>
        <v>0.390625</v>
      </c>
      <c r="K28">
        <f t="shared" si="1"/>
        <v>8.3650509793753589E-2</v>
      </c>
    </row>
    <row r="29" spans="1:11" x14ac:dyDescent="0.25">
      <c r="A29" s="4"/>
      <c r="B29" s="4"/>
      <c r="C29" s="4"/>
      <c r="D29" s="4"/>
      <c r="E29" s="4"/>
      <c r="F29" s="4"/>
      <c r="G29" s="4"/>
      <c r="H29" s="4"/>
    </row>
    <row r="30" spans="1:11" x14ac:dyDescent="0.25">
      <c r="A30" s="12" t="s">
        <v>35</v>
      </c>
      <c r="B30" s="4"/>
      <c r="C30" s="4"/>
      <c r="D30" s="4"/>
      <c r="E30" s="4"/>
      <c r="F30" s="4"/>
      <c r="G30" s="4"/>
      <c r="H30" s="4"/>
    </row>
    <row r="31" spans="1:11" x14ac:dyDescent="0.25">
      <c r="A31" s="27" t="s">
        <v>66</v>
      </c>
      <c r="B31" s="4">
        <v>2</v>
      </c>
      <c r="C31" s="24" t="s">
        <v>67</v>
      </c>
      <c r="D31" s="4">
        <f>6*B8+5*B15+5*B16</f>
        <v>421.5</v>
      </c>
      <c r="E31" s="4">
        <v>6.24</v>
      </c>
      <c r="F31" s="4">
        <v>99.47</v>
      </c>
      <c r="G31" s="4">
        <f>$E$2*F31</f>
        <v>28.667254</v>
      </c>
      <c r="H31" s="4">
        <f t="shared" si="2"/>
        <v>549.63725399999998</v>
      </c>
      <c r="J31">
        <f>8/E31</f>
        <v>1.2820512820512819</v>
      </c>
      <c r="K31">
        <f t="shared" si="1"/>
        <v>0.27454526291283227</v>
      </c>
    </row>
    <row r="32" spans="1:11" x14ac:dyDescent="0.25">
      <c r="A32" s="4"/>
      <c r="B32" s="4"/>
      <c r="C32" s="4"/>
      <c r="D32" s="4"/>
      <c r="E32" s="4"/>
      <c r="F32" s="4"/>
      <c r="G32" s="4"/>
      <c r="H32" s="4"/>
    </row>
    <row r="33" spans="1:11" x14ac:dyDescent="0.25">
      <c r="A33" s="12" t="s">
        <v>49</v>
      </c>
      <c r="B33" s="4"/>
      <c r="C33" s="4"/>
      <c r="D33" s="4"/>
      <c r="E33" s="4"/>
      <c r="F33" s="4"/>
      <c r="G33" s="4"/>
      <c r="H33" s="4"/>
    </row>
    <row r="34" spans="1:11" x14ac:dyDescent="0.25">
      <c r="A34" s="28" t="s">
        <v>54</v>
      </c>
      <c r="B34" s="22">
        <v>100</v>
      </c>
      <c r="C34" s="24" t="s">
        <v>69</v>
      </c>
      <c r="D34" s="4">
        <f>8*H24+2*H25+H28+H31</f>
        <v>32921.529294</v>
      </c>
      <c r="E34" s="4">
        <v>1.68</v>
      </c>
      <c r="F34" s="4">
        <v>452.98</v>
      </c>
      <c r="G34" s="4">
        <f>$E$2*F34</f>
        <v>130.54883600000002</v>
      </c>
      <c r="H34" s="4">
        <f t="shared" si="2"/>
        <v>33505.058130000005</v>
      </c>
      <c r="J34">
        <f>1/E34</f>
        <v>0.59523809523809523</v>
      </c>
      <c r="K34">
        <f>J34/$K$36</f>
        <v>0.12746744349524355</v>
      </c>
    </row>
    <row r="35" spans="1:11" x14ac:dyDescent="0.25">
      <c r="A35" s="4"/>
      <c r="B35" s="4"/>
      <c r="C35" s="4"/>
      <c r="D35" s="4"/>
      <c r="E35" s="4"/>
      <c r="F35" s="4"/>
      <c r="G35" s="4"/>
      <c r="H35" s="4"/>
    </row>
    <row r="36" spans="1:11" x14ac:dyDescent="0.25">
      <c r="A36" s="4"/>
      <c r="B36" s="4"/>
      <c r="C36" s="4"/>
      <c r="D36" s="4"/>
      <c r="E36" s="4"/>
      <c r="F36" s="4"/>
      <c r="G36" s="4"/>
      <c r="H36" s="4"/>
      <c r="J36" t="s">
        <v>83</v>
      </c>
      <c r="K36">
        <f>SUM(J24:J34)</f>
        <v>4.6697264722368619</v>
      </c>
    </row>
    <row r="37" spans="1:11" x14ac:dyDescent="0.25">
      <c r="A37" s="4"/>
      <c r="B37" s="4"/>
      <c r="C37" s="4"/>
      <c r="D37" s="4"/>
      <c r="E37" s="4"/>
      <c r="F37" s="4"/>
      <c r="G37" s="4"/>
      <c r="H37" s="4"/>
    </row>
    <row r="38" spans="1:11" x14ac:dyDescent="0.25">
      <c r="A38" s="4"/>
      <c r="B38" s="4"/>
      <c r="C38" s="4"/>
      <c r="D38" s="4"/>
      <c r="E38" s="4"/>
      <c r="F38" s="4"/>
      <c r="G38" s="4"/>
      <c r="H38" s="4"/>
    </row>
    <row r="39" spans="1:11" x14ac:dyDescent="0.25">
      <c r="A39" s="4"/>
      <c r="B39" s="4"/>
      <c r="C39" s="4"/>
      <c r="D39" s="4"/>
      <c r="E39" s="4"/>
      <c r="F39" s="4"/>
      <c r="G39" s="4"/>
      <c r="H39" s="4"/>
    </row>
  </sheetData>
  <conditionalFormatting sqref="H24:H3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:K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{3023A3B1-1E3A-4261-8A5F-8D1DC20D5A93}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23A3B1-1E3A-4261-8A5F-8D1DC20D5A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K24:K34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3"/>
  <sheetViews>
    <sheetView topLeftCell="A39" zoomScale="70" zoomScaleNormal="70" workbookViewId="0">
      <selection activeCell="C40" sqref="C40"/>
    </sheetView>
  </sheetViews>
  <sheetFormatPr baseColWidth="10" defaultRowHeight="15" x14ac:dyDescent="0.25"/>
  <cols>
    <col min="1" max="1" width="23.85546875" bestFit="1" customWidth="1"/>
    <col min="2" max="2" width="23.85546875" customWidth="1"/>
    <col min="3" max="3" width="17.140625" customWidth="1"/>
    <col min="4" max="4" width="75.140625" bestFit="1" customWidth="1"/>
    <col min="5" max="5" width="19.5703125" customWidth="1"/>
    <col min="9" max="9" width="14.85546875" bestFit="1" customWidth="1"/>
    <col min="10" max="10" width="14.85546875" customWidth="1"/>
    <col min="12" max="12" width="40.5703125" bestFit="1" customWidth="1"/>
  </cols>
  <sheetData>
    <row r="2" spans="1:6" x14ac:dyDescent="0.25">
      <c r="A2" t="s">
        <v>1</v>
      </c>
      <c r="B2" t="s">
        <v>2</v>
      </c>
      <c r="E2" t="s">
        <v>9</v>
      </c>
      <c r="F2">
        <v>0.28820000000000001</v>
      </c>
    </row>
    <row r="3" spans="1:6" x14ac:dyDescent="0.25">
      <c r="A3" t="s">
        <v>0</v>
      </c>
      <c r="B3">
        <v>66</v>
      </c>
    </row>
    <row r="4" spans="1:6" x14ac:dyDescent="0.25">
      <c r="A4" t="s">
        <v>10</v>
      </c>
      <c r="B4">
        <v>18.5</v>
      </c>
    </row>
    <row r="5" spans="1:6" x14ac:dyDescent="0.25">
      <c r="A5" t="s">
        <v>17</v>
      </c>
      <c r="B5">
        <v>34</v>
      </c>
    </row>
    <row r="6" spans="1:6" x14ac:dyDescent="0.25">
      <c r="A6" t="s">
        <v>56</v>
      </c>
      <c r="B6">
        <v>306</v>
      </c>
      <c r="E6" t="s">
        <v>70</v>
      </c>
    </row>
    <row r="7" spans="1:6" x14ac:dyDescent="0.25">
      <c r="A7" t="s">
        <v>57</v>
      </c>
      <c r="B7">
        <v>6000</v>
      </c>
    </row>
    <row r="8" spans="1:6" x14ac:dyDescent="0.25">
      <c r="A8" t="s">
        <v>58</v>
      </c>
      <c r="B8">
        <v>10.5</v>
      </c>
    </row>
    <row r="9" spans="1:6" x14ac:dyDescent="0.25">
      <c r="A9" t="s">
        <v>59</v>
      </c>
      <c r="B9">
        <v>7.8</v>
      </c>
    </row>
    <row r="10" spans="1:6" x14ac:dyDescent="0.25">
      <c r="A10" t="s">
        <v>60</v>
      </c>
      <c r="B10">
        <v>830</v>
      </c>
    </row>
    <row r="11" spans="1:6" x14ac:dyDescent="0.25">
      <c r="A11" t="s">
        <v>61</v>
      </c>
      <c r="B11">
        <v>458</v>
      </c>
    </row>
    <row r="12" spans="1:6" x14ac:dyDescent="0.25">
      <c r="A12" t="s">
        <v>62</v>
      </c>
      <c r="B12">
        <v>117</v>
      </c>
    </row>
    <row r="13" spans="1:6" x14ac:dyDescent="0.25">
      <c r="A13" t="s">
        <v>63</v>
      </c>
      <c r="B13">
        <v>85</v>
      </c>
    </row>
    <row r="14" spans="1:6" x14ac:dyDescent="0.25">
      <c r="A14" t="s">
        <v>64</v>
      </c>
      <c r="B14">
        <v>210</v>
      </c>
    </row>
    <row r="15" spans="1:6" x14ac:dyDescent="0.25">
      <c r="A15" t="s">
        <v>65</v>
      </c>
      <c r="B15">
        <v>14.6</v>
      </c>
    </row>
    <row r="16" spans="1:6" x14ac:dyDescent="0.25">
      <c r="A16" t="s">
        <v>68</v>
      </c>
      <c r="B16">
        <v>56.5</v>
      </c>
    </row>
    <row r="21" spans="1:14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</row>
    <row r="22" spans="1:14" x14ac:dyDescent="0.25">
      <c r="A22" s="22"/>
      <c r="B22" s="22" t="s">
        <v>86</v>
      </c>
      <c r="C22" s="4" t="s">
        <v>14</v>
      </c>
      <c r="D22" s="4" t="s">
        <v>4</v>
      </c>
      <c r="E22" s="4"/>
      <c r="F22" s="4" t="s">
        <v>6</v>
      </c>
      <c r="G22" s="4" t="s">
        <v>7</v>
      </c>
      <c r="H22" s="4" t="s">
        <v>8</v>
      </c>
      <c r="I22" s="22" t="s">
        <v>55</v>
      </c>
      <c r="J22" s="22" t="s">
        <v>85</v>
      </c>
    </row>
    <row r="23" spans="1:14" x14ac:dyDescent="0.25">
      <c r="A23" s="26" t="s">
        <v>3</v>
      </c>
      <c r="B23" s="26"/>
      <c r="C23" s="4"/>
      <c r="D23" s="4"/>
      <c r="E23" s="4"/>
      <c r="F23" s="4"/>
      <c r="G23" s="4"/>
      <c r="H23" s="4"/>
      <c r="I23" s="4"/>
      <c r="J23" s="4"/>
    </row>
    <row r="24" spans="1:14" x14ac:dyDescent="0.25">
      <c r="A24" s="11" t="s">
        <v>5</v>
      </c>
      <c r="B24" s="29">
        <f>IF(B27&gt;0,B27-1,0)</f>
        <v>3</v>
      </c>
      <c r="C24" s="4">
        <v>2</v>
      </c>
      <c r="D24" s="24" t="s">
        <v>15</v>
      </c>
      <c r="E24" s="4">
        <f>40*B3</f>
        <v>2640</v>
      </c>
      <c r="F24" s="4">
        <v>3.67</v>
      </c>
      <c r="G24" s="4">
        <v>159.84</v>
      </c>
      <c r="H24" s="4">
        <f t="shared" ref="H24:H28" si="0">$F$2*G24</f>
        <v>46.065888000000001</v>
      </c>
      <c r="I24" s="4">
        <f>E24+G24+H24</f>
        <v>2845.9058880000002</v>
      </c>
      <c r="J24" s="4">
        <f>I24*40</f>
        <v>113836.23552000002</v>
      </c>
      <c r="L24">
        <f>1/F24*40</f>
        <v>10.899182561307903</v>
      </c>
      <c r="N24" s="19">
        <f t="shared" ref="N24:N27" si="1">L24/$M$41</f>
        <v>6.5144391691523473E-2</v>
      </c>
    </row>
    <row r="25" spans="1:14" x14ac:dyDescent="0.25">
      <c r="A25" s="11" t="s">
        <v>13</v>
      </c>
      <c r="B25" s="29">
        <f>IF(B27&gt;0,B27-1,0)</f>
        <v>3</v>
      </c>
      <c r="C25" s="22">
        <v>1</v>
      </c>
      <c r="D25" s="24" t="s">
        <v>16</v>
      </c>
      <c r="E25" s="4">
        <f>50*B4+250*B5</f>
        <v>9425</v>
      </c>
      <c r="F25" s="4">
        <v>5</v>
      </c>
      <c r="G25" s="4">
        <v>117.22</v>
      </c>
      <c r="H25" s="4">
        <f t="shared" si="0"/>
        <v>33.782803999999999</v>
      </c>
      <c r="I25" s="4">
        <f t="shared" ref="I25:I38" si="2">E25+G25+H25</f>
        <v>9576.0028039999997</v>
      </c>
      <c r="J25" s="4">
        <f>I25*(16+6)</f>
        <v>210672.06168799999</v>
      </c>
      <c r="L25">
        <f>1/F25*(16+6)</f>
        <v>4.4000000000000004</v>
      </c>
      <c r="N25" s="19">
        <f t="shared" si="1"/>
        <v>2.6298790925868024E-2</v>
      </c>
    </row>
    <row r="26" spans="1:14" x14ac:dyDescent="0.25">
      <c r="A26" s="30" t="s">
        <v>18</v>
      </c>
      <c r="B26" s="29">
        <f>IF(B28&gt;0,B28-1,0)</f>
        <v>3</v>
      </c>
      <c r="C26" s="4">
        <v>1</v>
      </c>
      <c r="D26" s="24" t="s">
        <v>19</v>
      </c>
      <c r="E26" s="4">
        <f>20*B8+30*B9</f>
        <v>444</v>
      </c>
      <c r="F26" s="4">
        <v>13.34</v>
      </c>
      <c r="G26" s="4">
        <v>43.96</v>
      </c>
      <c r="H26" s="4">
        <f t="shared" si="0"/>
        <v>12.669272000000001</v>
      </c>
      <c r="I26" s="4">
        <f t="shared" si="2"/>
        <v>500.62927199999996</v>
      </c>
      <c r="J26" s="4">
        <f>I26*10</f>
        <v>5006.2927199999995</v>
      </c>
      <c r="L26">
        <f>1/F26*10</f>
        <v>0.74962518740629691</v>
      </c>
      <c r="N26" s="19">
        <f t="shared" si="1"/>
        <v>4.4805081991733725E-3</v>
      </c>
    </row>
    <row r="27" spans="1:14" x14ac:dyDescent="0.25">
      <c r="A27" s="31" t="s">
        <v>24</v>
      </c>
      <c r="B27" s="29">
        <f>IF(B38&gt;0,B38-1,0)</f>
        <v>4</v>
      </c>
      <c r="C27" s="4">
        <v>100</v>
      </c>
      <c r="D27" s="24" t="s">
        <v>22</v>
      </c>
      <c r="E27" s="4">
        <f>40*I24+16*I25+34*I35</f>
        <v>593376.05109199998</v>
      </c>
      <c r="F27" s="4">
        <v>1.67</v>
      </c>
      <c r="G27" s="4">
        <v>351.65</v>
      </c>
      <c r="H27" s="4">
        <f t="shared" si="0"/>
        <v>101.34553</v>
      </c>
      <c r="I27" s="4">
        <f t="shared" si="2"/>
        <v>593829.04662200005</v>
      </c>
      <c r="J27" s="4"/>
      <c r="L27">
        <f>1/F27</f>
        <v>0.5988023952095809</v>
      </c>
      <c r="N27" s="19">
        <f t="shared" si="1"/>
        <v>3.5790406812558555E-3</v>
      </c>
    </row>
    <row r="28" spans="1:14" x14ac:dyDescent="0.25">
      <c r="A28" s="32" t="s">
        <v>23</v>
      </c>
      <c r="B28" s="29">
        <f>IF(B38&gt;0,B38-1,0)</f>
        <v>4</v>
      </c>
      <c r="C28" s="4">
        <v>100</v>
      </c>
      <c r="D28" s="24" t="s">
        <v>25</v>
      </c>
      <c r="E28" s="4">
        <f>2*I31+10*I26+4*I32+6*I25+7*I35</f>
        <v>145062.570198</v>
      </c>
      <c r="F28" s="4">
        <v>0.33</v>
      </c>
      <c r="G28" s="4">
        <v>1758.23</v>
      </c>
      <c r="H28" s="4">
        <f t="shared" si="0"/>
        <v>506.72188600000004</v>
      </c>
      <c r="I28" s="4">
        <f t="shared" si="2"/>
        <v>147327.52208400003</v>
      </c>
      <c r="J28" s="4"/>
      <c r="L28" s="3">
        <f>1/F28</f>
        <v>3.0303030303030303</v>
      </c>
      <c r="M28" s="3"/>
      <c r="N28" s="19">
        <f>L28/$M$41</f>
        <v>1.8112114962719025E-2</v>
      </c>
    </row>
    <row r="29" spans="1:14" x14ac:dyDescent="0.25">
      <c r="A29" s="22"/>
      <c r="B29" s="29"/>
      <c r="C29" s="4"/>
      <c r="D29" s="4"/>
      <c r="E29" s="4"/>
      <c r="F29" s="4"/>
      <c r="G29" s="4"/>
      <c r="H29" s="4"/>
      <c r="I29" s="4"/>
      <c r="J29" s="4"/>
      <c r="L29" s="2" t="s">
        <v>78</v>
      </c>
      <c r="M29" s="5">
        <f>SUM(L24:L28)</f>
        <v>19.677913174226813</v>
      </c>
      <c r="N29" s="20">
        <f>M29/$M$41</f>
        <v>0.11761484646053975</v>
      </c>
    </row>
    <row r="30" spans="1:14" x14ac:dyDescent="0.25">
      <c r="A30" s="26" t="s">
        <v>26</v>
      </c>
      <c r="B30" s="26"/>
      <c r="C30" s="4"/>
      <c r="D30" s="4"/>
      <c r="E30" s="4"/>
      <c r="F30" s="4"/>
      <c r="G30" s="4"/>
      <c r="H30" s="4"/>
      <c r="I30" s="4"/>
      <c r="J30" s="4"/>
      <c r="M30" s="5"/>
      <c r="N30" s="19"/>
    </row>
    <row r="31" spans="1:14" x14ac:dyDescent="0.25">
      <c r="A31" s="30" t="s">
        <v>29</v>
      </c>
      <c r="B31" s="29">
        <f>IF(B28&gt;0,B28-1,0)</f>
        <v>3</v>
      </c>
      <c r="C31" s="4">
        <v>1</v>
      </c>
      <c r="D31" s="24" t="s">
        <v>30</v>
      </c>
      <c r="E31" s="4">
        <f>4*B10+8*B12+B6</f>
        <v>4562</v>
      </c>
      <c r="F31" s="4">
        <v>2.56</v>
      </c>
      <c r="G31" s="4">
        <v>283.24</v>
      </c>
      <c r="H31" s="4">
        <f>$F$2*G31</f>
        <v>81.629768000000013</v>
      </c>
      <c r="I31" s="4">
        <f t="shared" si="2"/>
        <v>4926.8697679999996</v>
      </c>
      <c r="J31" s="4">
        <f>I31*2</f>
        <v>9853.7395359999991</v>
      </c>
      <c r="L31">
        <f>1/F31*2</f>
        <v>0.78125</v>
      </c>
      <c r="M31" s="4"/>
      <c r="N31" s="19">
        <f t="shared" ref="N31:N32" si="3">L31/$M$41</f>
        <v>4.6695296388259986E-3</v>
      </c>
    </row>
    <row r="32" spans="1:14" x14ac:dyDescent="0.25">
      <c r="A32" s="30" t="s">
        <v>31</v>
      </c>
      <c r="B32" s="29">
        <f>IF(B28&gt;0,B28-1,0)</f>
        <v>3</v>
      </c>
      <c r="C32" s="4">
        <v>1</v>
      </c>
      <c r="D32" s="24" t="s">
        <v>32</v>
      </c>
      <c r="E32" s="4">
        <f>3*B8+5*B13+3*B14</f>
        <v>1086.5</v>
      </c>
      <c r="F32" s="4">
        <v>3.07</v>
      </c>
      <c r="G32" s="4">
        <v>236.03</v>
      </c>
      <c r="H32" s="4">
        <f>$F$2*G32</f>
        <v>68.023846000000006</v>
      </c>
      <c r="I32" s="4">
        <f t="shared" si="2"/>
        <v>1390.553846</v>
      </c>
      <c r="J32" s="4">
        <f>I32*4</f>
        <v>5562.2153840000001</v>
      </c>
      <c r="L32" s="3">
        <f>1/F32*4</f>
        <v>1.3029315960912053</v>
      </c>
      <c r="M32" s="3"/>
      <c r="N32" s="19">
        <f t="shared" si="3"/>
        <v>7.7876194627977567E-3</v>
      </c>
    </row>
    <row r="33" spans="1:14" x14ac:dyDescent="0.25">
      <c r="A33" s="22"/>
      <c r="B33" s="29"/>
      <c r="C33" s="4"/>
      <c r="D33" s="4"/>
      <c r="E33" s="4"/>
      <c r="F33" s="4"/>
      <c r="G33" s="4"/>
      <c r="H33" s="4"/>
      <c r="I33" s="4"/>
      <c r="J33" s="4"/>
      <c r="L33" s="2" t="s">
        <v>79</v>
      </c>
      <c r="M33" s="5">
        <f>SUM(L31:L32)</f>
        <v>2.0841815960912053</v>
      </c>
      <c r="N33" s="20">
        <f t="shared" ref="N33:N39" si="4">M33/$M$41</f>
        <v>1.2457149101623755E-2</v>
      </c>
    </row>
    <row r="34" spans="1:14" x14ac:dyDescent="0.25">
      <c r="A34" s="26" t="s">
        <v>35</v>
      </c>
      <c r="B34" s="26"/>
      <c r="C34" s="4"/>
      <c r="D34" s="4"/>
      <c r="E34" s="4"/>
      <c r="F34" s="4"/>
      <c r="G34" s="4"/>
      <c r="H34" s="4"/>
      <c r="I34" s="4"/>
      <c r="J34" s="4"/>
      <c r="M34" s="4"/>
      <c r="N34" s="19"/>
    </row>
    <row r="35" spans="1:14" x14ac:dyDescent="0.25">
      <c r="A35" s="11" t="s">
        <v>38</v>
      </c>
      <c r="B35" s="29">
        <f>IF(B27&gt;0,B27-1,0)</f>
        <v>3</v>
      </c>
      <c r="C35" s="22">
        <v>1</v>
      </c>
      <c r="D35" s="24" t="s">
        <v>39</v>
      </c>
      <c r="E35" s="4">
        <f>20*B8+8*B10+10*B4</f>
        <v>7035</v>
      </c>
      <c r="F35" s="4">
        <v>0.28999999999999998</v>
      </c>
      <c r="G35" s="4">
        <v>1989.41</v>
      </c>
      <c r="H35" s="4">
        <f>$F$2*G35</f>
        <v>573.34796200000005</v>
      </c>
      <c r="I35" s="4">
        <f t="shared" si="2"/>
        <v>9597.7579619999997</v>
      </c>
      <c r="J35" s="4">
        <f>I35*(34+7)</f>
        <v>393508.07644199999</v>
      </c>
      <c r="L35" s="3">
        <f>1/F35*(34+7)</f>
        <v>141.37931034482759</v>
      </c>
      <c r="M35" s="6"/>
      <c r="N35" s="19">
        <f t="shared" ref="N35" si="5">L35/$M$41</f>
        <v>0.84502384636409789</v>
      </c>
    </row>
    <row r="36" spans="1:14" x14ac:dyDescent="0.25">
      <c r="A36" s="22"/>
      <c r="B36" s="29"/>
      <c r="C36" s="4"/>
      <c r="D36" s="4"/>
      <c r="E36" s="4"/>
      <c r="F36" s="4"/>
      <c r="G36" s="4"/>
      <c r="H36" s="4"/>
      <c r="I36" s="4"/>
      <c r="J36" s="4"/>
      <c r="L36" s="2" t="s">
        <v>77</v>
      </c>
      <c r="M36" s="2">
        <f>SUM(L35)</f>
        <v>141.37931034482759</v>
      </c>
      <c r="N36" s="20">
        <f t="shared" si="4"/>
        <v>0.84502384636409789</v>
      </c>
    </row>
    <row r="37" spans="1:14" x14ac:dyDescent="0.25">
      <c r="A37" s="26" t="s">
        <v>44</v>
      </c>
      <c r="B37" s="26"/>
      <c r="C37" s="4"/>
      <c r="D37" s="4"/>
      <c r="E37" s="4"/>
      <c r="F37" s="4"/>
      <c r="G37" s="4"/>
      <c r="H37" s="4"/>
      <c r="I37" s="4"/>
      <c r="J37" s="4"/>
      <c r="N37" s="19"/>
    </row>
    <row r="38" spans="1:14" x14ac:dyDescent="0.25">
      <c r="A38" s="28" t="s">
        <v>47</v>
      </c>
      <c r="B38" s="12">
        <v>5</v>
      </c>
      <c r="C38" s="4">
        <v>2000</v>
      </c>
      <c r="D38" s="24" t="s">
        <v>48</v>
      </c>
      <c r="E38" s="4">
        <f>I27+I28</f>
        <v>741156.56870600011</v>
      </c>
      <c r="F38" s="4">
        <v>0.24</v>
      </c>
      <c r="G38" s="4">
        <v>3170.85</v>
      </c>
      <c r="H38" s="4">
        <f>$F$2*G38</f>
        <v>913.83897000000002</v>
      </c>
      <c r="I38" s="4">
        <f t="shared" si="2"/>
        <v>745241.25767600012</v>
      </c>
      <c r="J38" s="4"/>
      <c r="L38" s="3">
        <f>1/F38</f>
        <v>4.166666666666667</v>
      </c>
      <c r="M38" s="3"/>
      <c r="N38" s="19">
        <f t="shared" ref="N38" si="6">L38/$M$41</f>
        <v>2.490415807373866E-2</v>
      </c>
    </row>
    <row r="39" spans="1:14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L39" s="2" t="s">
        <v>76</v>
      </c>
      <c r="M39" s="2">
        <f>SUM(L38)</f>
        <v>4.166666666666667</v>
      </c>
      <c r="N39" s="20">
        <f t="shared" si="4"/>
        <v>2.490415807373866E-2</v>
      </c>
    </row>
    <row r="40" spans="1:14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N40" s="4"/>
    </row>
    <row r="41" spans="1:14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L41" s="2" t="s">
        <v>80</v>
      </c>
      <c r="M41">
        <f>SUM(M29:M39)</f>
        <v>167.30807178181226</v>
      </c>
    </row>
    <row r="42" spans="1:14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4" x14ac:dyDescent="0.25">
      <c r="A43" s="4"/>
      <c r="B43" s="4"/>
      <c r="C43" s="4"/>
      <c r="D43" s="4"/>
    </row>
    <row r="44" spans="1:14" x14ac:dyDescent="0.25">
      <c r="A44" s="13" t="s">
        <v>91</v>
      </c>
      <c r="B44" s="14"/>
      <c r="C44" s="14"/>
      <c r="D44" s="15"/>
    </row>
    <row r="45" spans="1:14" x14ac:dyDescent="0.25">
      <c r="A45" s="16"/>
      <c r="B45" s="4" t="s">
        <v>88</v>
      </c>
      <c r="C45" s="4">
        <f>346*0.985</f>
        <v>340.81</v>
      </c>
      <c r="D45" s="18"/>
    </row>
    <row r="46" spans="1:14" x14ac:dyDescent="0.25">
      <c r="A46" s="16"/>
      <c r="B46" s="4" t="s">
        <v>89</v>
      </c>
      <c r="C46" s="4">
        <v>2800</v>
      </c>
      <c r="D46" s="18"/>
    </row>
    <row r="47" spans="1:14" x14ac:dyDescent="0.25">
      <c r="A47" s="16"/>
      <c r="B47" s="4"/>
      <c r="C47" s="4"/>
      <c r="D47" s="18"/>
    </row>
    <row r="48" spans="1:14" x14ac:dyDescent="0.25">
      <c r="A48" s="16"/>
      <c r="B48" s="4"/>
      <c r="C48" s="4"/>
      <c r="D48" s="18"/>
    </row>
    <row r="49" spans="1:4" x14ac:dyDescent="0.25">
      <c r="A49" s="16" t="s">
        <v>90</v>
      </c>
      <c r="B49" s="4" t="s">
        <v>87</v>
      </c>
      <c r="C49" s="4" t="s">
        <v>92</v>
      </c>
      <c r="D49" s="23" t="s">
        <v>93</v>
      </c>
    </row>
    <row r="50" spans="1:4" x14ac:dyDescent="0.25">
      <c r="A50" s="16">
        <v>0</v>
      </c>
      <c r="B50" s="4">
        <f>$C$45*$C$46*(1-1/2^(A50+1))</f>
        <v>477134</v>
      </c>
      <c r="C50" s="4"/>
      <c r="D50" s="18"/>
    </row>
    <row r="51" spans="1:4" x14ac:dyDescent="0.25">
      <c r="A51" s="16">
        <v>1</v>
      </c>
      <c r="B51" s="4">
        <f t="shared" ref="B51:B60" si="7">$C$45*$C$46*(1-1/2^(A51+1))</f>
        <v>715701</v>
      </c>
      <c r="C51" s="4">
        <f>B51-B50</f>
        <v>238567</v>
      </c>
      <c r="D51" s="18"/>
    </row>
    <row r="52" spans="1:4" x14ac:dyDescent="0.25">
      <c r="A52" s="16">
        <v>2</v>
      </c>
      <c r="B52" s="4">
        <f t="shared" si="7"/>
        <v>834984.5</v>
      </c>
      <c r="C52" s="4">
        <f t="shared" ref="C52:D60" si="8">B52-B51</f>
        <v>119283.5</v>
      </c>
      <c r="D52" s="18">
        <f>C52-C51</f>
        <v>-119283.5</v>
      </c>
    </row>
    <row r="53" spans="1:4" x14ac:dyDescent="0.25">
      <c r="A53" s="16">
        <v>3</v>
      </c>
      <c r="B53" s="4">
        <f t="shared" si="7"/>
        <v>894626.25</v>
      </c>
      <c r="C53" s="4">
        <f t="shared" si="8"/>
        <v>59641.75</v>
      </c>
      <c r="D53" s="18">
        <f t="shared" si="8"/>
        <v>-59641.75</v>
      </c>
    </row>
    <row r="54" spans="1:4" x14ac:dyDescent="0.25">
      <c r="A54" s="16">
        <v>4</v>
      </c>
      <c r="B54" s="4">
        <f t="shared" si="7"/>
        <v>924447.125</v>
      </c>
      <c r="C54" s="4">
        <f t="shared" si="8"/>
        <v>29820.875</v>
      </c>
      <c r="D54" s="18">
        <f t="shared" si="8"/>
        <v>-29820.875</v>
      </c>
    </row>
    <row r="55" spans="1:4" x14ac:dyDescent="0.25">
      <c r="A55" s="16">
        <v>5</v>
      </c>
      <c r="B55" s="4">
        <f t="shared" si="7"/>
        <v>939357.5625</v>
      </c>
      <c r="C55" s="4">
        <f t="shared" si="8"/>
        <v>14910.4375</v>
      </c>
      <c r="D55" s="18">
        <f t="shared" si="8"/>
        <v>-14910.4375</v>
      </c>
    </row>
    <row r="56" spans="1:4" x14ac:dyDescent="0.25">
      <c r="A56" s="16">
        <v>6</v>
      </c>
      <c r="B56" s="4">
        <f t="shared" si="7"/>
        <v>946812.78125</v>
      </c>
      <c r="C56" s="4">
        <f t="shared" si="8"/>
        <v>7455.21875</v>
      </c>
      <c r="D56" s="18">
        <f t="shared" si="8"/>
        <v>-7455.21875</v>
      </c>
    </row>
    <row r="57" spans="1:4" x14ac:dyDescent="0.25">
      <c r="A57" s="16">
        <v>7</v>
      </c>
      <c r="B57" s="4">
        <f t="shared" si="7"/>
        <v>950540.390625</v>
      </c>
      <c r="C57" s="4">
        <f t="shared" si="8"/>
        <v>3727.609375</v>
      </c>
      <c r="D57" s="18">
        <f t="shared" si="8"/>
        <v>-3727.609375</v>
      </c>
    </row>
    <row r="58" spans="1:4" x14ac:dyDescent="0.25">
      <c r="A58" s="16">
        <v>8</v>
      </c>
      <c r="B58" s="4">
        <f t="shared" si="7"/>
        <v>952404.1953125</v>
      </c>
      <c r="C58" s="4">
        <f t="shared" si="8"/>
        <v>1863.8046875</v>
      </c>
      <c r="D58" s="18">
        <f t="shared" si="8"/>
        <v>-1863.8046875</v>
      </c>
    </row>
    <row r="59" spans="1:4" x14ac:dyDescent="0.25">
      <c r="A59" s="16">
        <v>9</v>
      </c>
      <c r="B59" s="4">
        <f t="shared" si="7"/>
        <v>953336.09765625</v>
      </c>
      <c r="C59" s="4">
        <f t="shared" si="8"/>
        <v>931.90234375</v>
      </c>
      <c r="D59" s="18">
        <f t="shared" si="8"/>
        <v>-931.90234375</v>
      </c>
    </row>
    <row r="60" spans="1:4" x14ac:dyDescent="0.25">
      <c r="A60" s="17">
        <v>10</v>
      </c>
      <c r="B60" s="3">
        <f t="shared" si="7"/>
        <v>953802.048828125</v>
      </c>
      <c r="C60" s="3">
        <f t="shared" si="8"/>
        <v>465.951171875</v>
      </c>
      <c r="D60" s="21">
        <f t="shared" si="8"/>
        <v>-465.951171875</v>
      </c>
    </row>
    <row r="61" spans="1:4" x14ac:dyDescent="0.25">
      <c r="A61" s="4"/>
      <c r="B61" s="4"/>
      <c r="C61" s="4"/>
      <c r="D61" s="4"/>
    </row>
    <row r="62" spans="1:4" x14ac:dyDescent="0.25">
      <c r="D62" s="4"/>
    </row>
    <row r="63" spans="1:4" x14ac:dyDescent="0.25">
      <c r="A63" s="4"/>
      <c r="B63" s="4"/>
      <c r="C63" s="4"/>
      <c r="D63" s="4"/>
    </row>
  </sheetData>
  <conditionalFormatting sqref="M3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:J4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:N39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{BDF16AA2-396F-4E5D-AEC7-EB8761326BA0}</x14:id>
        </ext>
      </extLst>
    </cfRule>
  </conditionalFormatting>
  <conditionalFormatting sqref="L24:L2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{395963F4-3B66-4324-8957-914DA4852A0F}</x14:id>
        </ext>
      </extLst>
    </cfRule>
  </conditionalFormatting>
  <conditionalFormatting sqref="L31:L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{07F4C7B8-9D97-44FB-A34F-7919208335C4}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F16AA2-396F-4E5D-AEC7-EB8761326B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N24:N39</xm:sqref>
        </x14:conditionalFormatting>
        <x14:conditionalFormatting xmlns:xm="http://schemas.microsoft.com/office/excel/2006/main">
          <x14:cfRule type="dataBar" id="{395963F4-3B66-4324-8957-914DA4852A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L24:L28</xm:sqref>
        </x14:conditionalFormatting>
        <x14:conditionalFormatting xmlns:xm="http://schemas.microsoft.com/office/excel/2006/main">
          <x14:cfRule type="dataBar" id="{07F4C7B8-9D97-44FB-A34F-7919208335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L31:L32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BFRs!B50:B60</xm:f>
              <xm:sqref>B61</xm:sqref>
            </x14:sparkline>
            <x14:sparkline>
              <xm:f>BFRs!C50:C60</xm:f>
              <xm:sqref>C61</xm:sqref>
            </x14:sparkline>
            <x14:sparkline>
              <xm:f>BFRs!D50:D60</xm:f>
              <xm:sqref>D61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0"/>
  <sheetViews>
    <sheetView zoomScale="70" zoomScaleNormal="70" workbookViewId="0">
      <selection activeCell="E56" sqref="E56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  <col min="5" max="5" width="18.140625" bestFit="1" customWidth="1"/>
    <col min="10" max="10" width="44" bestFit="1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t="s">
        <v>0</v>
      </c>
      <c r="B3">
        <v>66</v>
      </c>
    </row>
    <row r="4" spans="1:5" x14ac:dyDescent="0.25">
      <c r="A4" s="7" t="s">
        <v>10</v>
      </c>
      <c r="B4">
        <v>19</v>
      </c>
    </row>
    <row r="5" spans="1:5" x14ac:dyDescent="0.25">
      <c r="A5" s="7" t="s">
        <v>17</v>
      </c>
      <c r="B5">
        <v>34</v>
      </c>
    </row>
    <row r="6" spans="1:5" x14ac:dyDescent="0.25">
      <c r="A6" t="s">
        <v>56</v>
      </c>
      <c r="B6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t="s">
        <v>60</v>
      </c>
      <c r="B10">
        <v>920</v>
      </c>
    </row>
    <row r="11" spans="1:5" x14ac:dyDescent="0.25">
      <c r="A11" t="s">
        <v>61</v>
      </c>
      <c r="B11">
        <v>458</v>
      </c>
    </row>
    <row r="12" spans="1:5" x14ac:dyDescent="0.25">
      <c r="A12" t="s">
        <v>62</v>
      </c>
      <c r="B12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s="7" t="s">
        <v>65</v>
      </c>
      <c r="B15">
        <v>14.6</v>
      </c>
    </row>
    <row r="16" spans="1:5" x14ac:dyDescent="0.25">
      <c r="A16" t="s">
        <v>68</v>
      </c>
      <c r="B16">
        <v>56.5</v>
      </c>
    </row>
    <row r="17" spans="1:12" x14ac:dyDescent="0.25">
      <c r="A17" s="22"/>
      <c r="B17" s="4"/>
      <c r="C17" s="4"/>
      <c r="D17" s="4"/>
      <c r="E17" s="4"/>
      <c r="F17" s="4"/>
      <c r="G17" s="4"/>
      <c r="H17" s="4"/>
    </row>
    <row r="18" spans="1:12" x14ac:dyDescent="0.25">
      <c r="A18" s="4"/>
      <c r="B18" s="4"/>
      <c r="C18" s="4"/>
      <c r="D18" s="4"/>
      <c r="E18" s="4"/>
      <c r="F18" s="4"/>
      <c r="G18" s="4"/>
      <c r="H18" s="4"/>
    </row>
    <row r="19" spans="1:12" x14ac:dyDescent="0.25">
      <c r="A19" s="4"/>
      <c r="B19" s="4"/>
      <c r="C19" s="4"/>
      <c r="D19" s="4"/>
      <c r="E19" s="4"/>
      <c r="F19" s="4"/>
      <c r="G19" s="4"/>
      <c r="H19" s="4"/>
    </row>
    <row r="20" spans="1:12" x14ac:dyDescent="0.25">
      <c r="A20" s="4"/>
      <c r="B20" s="4"/>
      <c r="C20" s="4"/>
      <c r="D20" s="4"/>
      <c r="E20" s="4"/>
      <c r="F20" s="4"/>
      <c r="G20" s="4"/>
      <c r="H20" s="4"/>
    </row>
    <row r="21" spans="1:12" x14ac:dyDescent="0.25">
      <c r="A21" s="4"/>
      <c r="B21" s="4"/>
      <c r="C21" s="4"/>
      <c r="D21" s="4"/>
      <c r="E21" s="4"/>
      <c r="F21" s="4"/>
      <c r="G21" s="4"/>
      <c r="H21" s="4"/>
    </row>
    <row r="22" spans="1:12" x14ac:dyDescent="0.25">
      <c r="A22" s="4"/>
      <c r="B22" s="4" t="s">
        <v>14</v>
      </c>
      <c r="C22" s="4" t="s">
        <v>4</v>
      </c>
      <c r="D22" s="4"/>
      <c r="E22" s="4" t="s">
        <v>6</v>
      </c>
      <c r="F22" s="4" t="s">
        <v>7</v>
      </c>
      <c r="G22" s="4" t="s">
        <v>8</v>
      </c>
      <c r="H22" s="22" t="s">
        <v>55</v>
      </c>
      <c r="K22" t="s">
        <v>81</v>
      </c>
      <c r="L22" t="s">
        <v>82</v>
      </c>
    </row>
    <row r="23" spans="1:12" x14ac:dyDescent="0.25">
      <c r="A23" s="26" t="s">
        <v>3</v>
      </c>
      <c r="B23" s="4"/>
      <c r="C23" s="4"/>
      <c r="D23" s="4"/>
      <c r="E23" s="4"/>
      <c r="F23" s="4"/>
      <c r="G23" s="4"/>
      <c r="H23" s="4"/>
    </row>
    <row r="24" spans="1:12" x14ac:dyDescent="0.25">
      <c r="A24" s="30" t="s">
        <v>5</v>
      </c>
      <c r="B24" s="4">
        <v>2</v>
      </c>
      <c r="C24" s="24" t="s">
        <v>15</v>
      </c>
      <c r="D24" s="4">
        <f>40*B3</f>
        <v>2640</v>
      </c>
      <c r="E24" s="4">
        <v>3.67</v>
      </c>
      <c r="F24" s="4">
        <v>159.84</v>
      </c>
      <c r="G24" s="4">
        <f t="shared" ref="G24:G26" si="0">$E$2*F24</f>
        <v>46.065888000000001</v>
      </c>
      <c r="H24" s="4">
        <f>D24+F24+G24</f>
        <v>2845.9058880000002</v>
      </c>
      <c r="J24">
        <f>1/E24*8</f>
        <v>2.1798365122615806</v>
      </c>
    </row>
    <row r="25" spans="1:12" x14ac:dyDescent="0.25">
      <c r="A25" s="30" t="s">
        <v>13</v>
      </c>
      <c r="B25" s="4">
        <v>1</v>
      </c>
      <c r="C25" s="24" t="s">
        <v>16</v>
      </c>
      <c r="D25" s="4">
        <f>50*B4+250*B5</f>
        <v>9450</v>
      </c>
      <c r="E25" s="4">
        <v>5</v>
      </c>
      <c r="F25" s="4">
        <v>117.22</v>
      </c>
      <c r="G25" s="4">
        <f t="shared" si="0"/>
        <v>33.782803999999999</v>
      </c>
      <c r="H25" s="4">
        <f t="shared" ref="H25:H37" si="1">D25+F25+G25</f>
        <v>9601.0028039999997</v>
      </c>
      <c r="J25">
        <f>1/E25*2</f>
        <v>0.4</v>
      </c>
    </row>
    <row r="26" spans="1:12" x14ac:dyDescent="0.25">
      <c r="A26" s="32" t="s">
        <v>20</v>
      </c>
      <c r="B26" s="4">
        <v>20</v>
      </c>
      <c r="C26" s="24" t="s">
        <v>21</v>
      </c>
      <c r="D26" s="4">
        <f>8*H24+2*H25+2*H29+4*H34+2*H30</f>
        <v>100316.59010000002</v>
      </c>
      <c r="E26" s="4">
        <v>3.34</v>
      </c>
      <c r="F26" s="4">
        <v>175.82</v>
      </c>
      <c r="G26" s="4">
        <f t="shared" si="0"/>
        <v>50.671323999999998</v>
      </c>
      <c r="H26" s="4">
        <f t="shared" si="1"/>
        <v>100543.08142400002</v>
      </c>
      <c r="J26" s="3">
        <f>1/E26</f>
        <v>0.29940119760479045</v>
      </c>
      <c r="K26" s="3"/>
    </row>
    <row r="27" spans="1:12" x14ac:dyDescent="0.25">
      <c r="A27" s="4"/>
      <c r="B27" s="4"/>
      <c r="C27" s="4"/>
      <c r="D27" s="4"/>
      <c r="E27" s="4"/>
      <c r="F27" s="4"/>
      <c r="G27" s="4"/>
      <c r="H27" s="4"/>
      <c r="J27" s="2" t="s">
        <v>72</v>
      </c>
      <c r="K27">
        <f>SUM(J24:J26)</f>
        <v>2.8792377098663708</v>
      </c>
      <c r="L27">
        <f>K27/$K$40</f>
        <v>0.20581606753315429</v>
      </c>
    </row>
    <row r="28" spans="1:12" x14ac:dyDescent="0.25">
      <c r="A28" s="26" t="s">
        <v>26</v>
      </c>
      <c r="B28" s="4"/>
      <c r="C28" s="4"/>
      <c r="D28" s="4"/>
      <c r="E28" s="4"/>
      <c r="F28" s="4"/>
      <c r="G28" s="4"/>
      <c r="H28" s="4"/>
    </row>
    <row r="29" spans="1:12" x14ac:dyDescent="0.25">
      <c r="A29" s="30" t="s">
        <v>27</v>
      </c>
      <c r="B29" s="4">
        <v>1</v>
      </c>
      <c r="C29" s="24" t="s">
        <v>28</v>
      </c>
      <c r="D29" s="4">
        <f>4*B10+2*B11</f>
        <v>4596</v>
      </c>
      <c r="E29" s="4">
        <v>2.56</v>
      </c>
      <c r="F29" s="4">
        <v>283.24</v>
      </c>
      <c r="G29" s="4">
        <f>$E$2*F29</f>
        <v>81.629768000000013</v>
      </c>
      <c r="H29" s="4">
        <f t="shared" si="1"/>
        <v>4960.8697679999996</v>
      </c>
      <c r="J29">
        <f>1/E29*2</f>
        <v>0.78125</v>
      </c>
    </row>
    <row r="30" spans="1:12" x14ac:dyDescent="0.25">
      <c r="A30" s="30" t="s">
        <v>31</v>
      </c>
      <c r="B30" s="4">
        <v>1</v>
      </c>
      <c r="C30" s="24" t="s">
        <v>32</v>
      </c>
      <c r="D30" s="4">
        <f>3*B8+5*B13+3*B14</f>
        <v>1088</v>
      </c>
      <c r="E30" s="4">
        <v>3.07</v>
      </c>
      <c r="F30" s="4">
        <v>236.03</v>
      </c>
      <c r="G30" s="4">
        <f>$E$2*F30</f>
        <v>68.023846000000006</v>
      </c>
      <c r="H30" s="4">
        <f t="shared" si="1"/>
        <v>1392.053846</v>
      </c>
      <c r="J30" s="3">
        <f>1/E30*2</f>
        <v>0.65146579804560267</v>
      </c>
      <c r="K30" s="3"/>
    </row>
    <row r="31" spans="1:12" x14ac:dyDescent="0.25">
      <c r="A31" s="22"/>
      <c r="B31" s="4"/>
      <c r="C31" s="4"/>
      <c r="D31" s="4"/>
      <c r="E31" s="4"/>
      <c r="F31" s="4"/>
      <c r="G31" s="4"/>
      <c r="H31" s="4"/>
      <c r="J31" s="2" t="s">
        <v>75</v>
      </c>
      <c r="K31">
        <f>SUM(J29:J30)</f>
        <v>1.4327157980456027</v>
      </c>
      <c r="L31">
        <f t="shared" ref="L31:L38" si="2">K31/$K$40</f>
        <v>0.10241458370592693</v>
      </c>
    </row>
    <row r="32" spans="1:12" x14ac:dyDescent="0.25">
      <c r="A32" s="26" t="s">
        <v>35</v>
      </c>
      <c r="B32" s="4"/>
      <c r="C32" s="4"/>
      <c r="D32" s="4"/>
      <c r="E32" s="4"/>
      <c r="F32" s="4"/>
      <c r="G32" s="4"/>
      <c r="H32" s="4"/>
    </row>
    <row r="33" spans="1:12" x14ac:dyDescent="0.25">
      <c r="A33" s="33" t="s">
        <v>36</v>
      </c>
      <c r="B33" s="4">
        <v>1</v>
      </c>
      <c r="C33" s="24" t="s">
        <v>37</v>
      </c>
      <c r="D33" s="4">
        <f>30*B4+100*B5+50*B15</f>
        <v>4700</v>
      </c>
      <c r="E33" s="4">
        <v>0.31</v>
      </c>
      <c r="F33" s="4">
        <v>1989.41</v>
      </c>
      <c r="G33" s="4">
        <f>$E$2*F33</f>
        <v>573.34796200000005</v>
      </c>
      <c r="H33" s="4">
        <f t="shared" si="1"/>
        <v>7262.7579619999997</v>
      </c>
      <c r="J33">
        <f>1/E33</f>
        <v>3.2258064516129035</v>
      </c>
    </row>
    <row r="34" spans="1:12" x14ac:dyDescent="0.25">
      <c r="A34" s="30" t="s">
        <v>40</v>
      </c>
      <c r="B34" s="4">
        <v>1</v>
      </c>
      <c r="C34" s="24" t="s">
        <v>41</v>
      </c>
      <c r="D34" s="4">
        <f>8*B10+30*B13+15*B15</f>
        <v>10129</v>
      </c>
      <c r="E34" s="4">
        <v>0.62</v>
      </c>
      <c r="F34" s="4">
        <v>994.7</v>
      </c>
      <c r="G34" s="4">
        <f>$E$2*F34</f>
        <v>286.67254000000003</v>
      </c>
      <c r="H34" s="4">
        <f t="shared" si="1"/>
        <v>11410.37254</v>
      </c>
      <c r="J34" s="3">
        <f>1/E34*4</f>
        <v>6.4516129032258069</v>
      </c>
      <c r="K34" s="3"/>
    </row>
    <row r="35" spans="1:12" x14ac:dyDescent="0.25">
      <c r="A35" s="4"/>
      <c r="B35" s="4"/>
      <c r="C35" s="4"/>
      <c r="D35" s="4"/>
      <c r="E35" s="4"/>
      <c r="F35" s="4"/>
      <c r="G35" s="4"/>
      <c r="H35" s="4"/>
      <c r="J35" s="2" t="s">
        <v>74</v>
      </c>
      <c r="K35">
        <f>SUM(J33:J34)</f>
        <v>9.67741935483871</v>
      </c>
      <c r="L35">
        <f t="shared" si="2"/>
        <v>0.69176934876091867</v>
      </c>
    </row>
    <row r="36" spans="1:12" x14ac:dyDescent="0.25">
      <c r="A36" s="26" t="s">
        <v>44</v>
      </c>
      <c r="B36" s="4"/>
      <c r="C36" s="4"/>
      <c r="D36" s="4"/>
      <c r="E36" s="4"/>
      <c r="F36" s="4"/>
      <c r="G36" s="4"/>
      <c r="H36" s="4"/>
    </row>
    <row r="37" spans="1:12" x14ac:dyDescent="0.25">
      <c r="A37" s="34" t="s">
        <v>45</v>
      </c>
      <c r="B37" s="4">
        <v>20</v>
      </c>
      <c r="C37" s="24" t="s">
        <v>46</v>
      </c>
      <c r="D37" s="4">
        <f>H33+H26</f>
        <v>107805.83938600002</v>
      </c>
      <c r="E37" s="4">
        <v>0.72</v>
      </c>
      <c r="F37" s="4">
        <v>1056.95</v>
      </c>
      <c r="G37" s="4">
        <f>$E$2*F37</f>
        <v>304.61299000000002</v>
      </c>
      <c r="H37" s="4">
        <f t="shared" si="1"/>
        <v>109167.40237600001</v>
      </c>
      <c r="J37" s="3">
        <f>1/E37</f>
        <v>1.3888888888888888</v>
      </c>
      <c r="K37" s="3"/>
    </row>
    <row r="38" spans="1:12" x14ac:dyDescent="0.25">
      <c r="A38" s="4"/>
      <c r="B38" s="4"/>
      <c r="C38" s="4"/>
      <c r="D38" s="4"/>
      <c r="E38" s="4"/>
      <c r="F38" s="4"/>
      <c r="G38" s="4"/>
      <c r="H38" s="4"/>
      <c r="J38" s="2" t="s">
        <v>73</v>
      </c>
      <c r="K38">
        <f>SUM(J37)</f>
        <v>1.3888888888888888</v>
      </c>
      <c r="L38">
        <f t="shared" si="2"/>
        <v>9.9281712090687396E-2</v>
      </c>
    </row>
    <row r="39" spans="1:12" x14ac:dyDescent="0.25">
      <c r="A39" s="4"/>
      <c r="B39" s="4"/>
      <c r="C39" s="4"/>
      <c r="D39" s="4"/>
      <c r="E39" s="4"/>
      <c r="F39" s="4"/>
      <c r="G39" s="4"/>
      <c r="H39" s="4"/>
    </row>
    <row r="40" spans="1:12" x14ac:dyDescent="0.25">
      <c r="A40" s="4"/>
      <c r="B40" s="4"/>
      <c r="C40" s="4"/>
      <c r="D40" s="4"/>
      <c r="E40" s="4"/>
      <c r="F40" s="4"/>
      <c r="G40" s="4"/>
      <c r="H40" s="4"/>
      <c r="J40" t="s">
        <v>71</v>
      </c>
      <c r="K40">
        <f>SUM(K23:K37)</f>
        <v>13.989372862750685</v>
      </c>
    </row>
  </sheetData>
  <conditionalFormatting sqref="H24:H38 J40 H40:H4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:L38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{9BAE95EA-14E8-4362-9C45-851007743641}</x14:id>
        </ext>
      </extLst>
    </cfRule>
  </conditionalFormatting>
  <conditionalFormatting sqref="J24:J2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{E33AF4C7-0A01-495A-A581-93B8264FCEF6}</x14:id>
        </ext>
      </extLst>
    </cfRule>
  </conditionalFormatting>
  <conditionalFormatting sqref="J29:J3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{16857896-B1BA-4502-B546-1A8C3AC24EEF}</x14:id>
        </ext>
      </extLst>
    </cfRule>
  </conditionalFormatting>
  <conditionalFormatting sqref="J33:J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{0E8D3099-D8D3-4D8F-9E07-3AEDEFCD3D0A}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BAE95EA-14E8-4362-9C45-8510077436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L27:L38</xm:sqref>
        </x14:conditionalFormatting>
        <x14:conditionalFormatting xmlns:xm="http://schemas.microsoft.com/office/excel/2006/main">
          <x14:cfRule type="dataBar" id="{E33AF4C7-0A01-495A-A581-93B8264FCE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J24:J26</xm:sqref>
        </x14:conditionalFormatting>
        <x14:conditionalFormatting xmlns:xm="http://schemas.microsoft.com/office/excel/2006/main">
          <x14:cfRule type="dataBar" id="{16857896-B1BA-4502-B546-1A8C3AC24E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J29:J30</xm:sqref>
        </x14:conditionalFormatting>
        <x14:conditionalFormatting xmlns:xm="http://schemas.microsoft.com/office/excel/2006/main">
          <x14:cfRule type="dataBar" id="{0E8D3099-D8D3-4D8F-9E07-3AEDEFCD3D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J33:J34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zoomScale="60" zoomScaleNormal="60" workbookViewId="0">
      <selection activeCell="F14" sqref="F14"/>
    </sheetView>
  </sheetViews>
  <sheetFormatPr baseColWidth="10" defaultRowHeight="15" x14ac:dyDescent="0.25"/>
  <cols>
    <col min="1" max="1" width="30.42578125" bestFit="1" customWidth="1"/>
    <col min="2" max="2" width="23.85546875" customWidth="1"/>
    <col min="3" max="3" width="27" customWidth="1"/>
    <col min="4" max="4" width="47.140625" bestFit="1" customWidth="1"/>
    <col min="5" max="5" width="26.7109375" bestFit="1" customWidth="1"/>
    <col min="6" max="6" width="23.28515625" bestFit="1" customWidth="1"/>
    <col min="7" max="7" width="21.5703125" bestFit="1" customWidth="1"/>
    <col min="8" max="8" width="32.42578125" bestFit="1" customWidth="1"/>
    <col min="9" max="9" width="25.42578125" customWidth="1"/>
    <col min="10" max="10" width="14.85546875" bestFit="1" customWidth="1"/>
    <col min="11" max="11" width="40.5703125" bestFit="1" customWidth="1"/>
  </cols>
  <sheetData>
    <row r="1" spans="1:13" x14ac:dyDescent="0.25">
      <c r="A1" s="4"/>
      <c r="B1" s="4"/>
      <c r="C1" s="4"/>
      <c r="D1" s="4"/>
      <c r="E1" s="4"/>
      <c r="F1" s="4"/>
      <c r="G1" s="4"/>
    </row>
    <row r="2" spans="1:13" x14ac:dyDescent="0.25">
      <c r="A2" s="4" t="s">
        <v>1</v>
      </c>
      <c r="B2" s="22" t="s">
        <v>99</v>
      </c>
      <c r="C2" s="4" t="s">
        <v>154</v>
      </c>
      <c r="D2" s="4" t="s">
        <v>125</v>
      </c>
      <c r="E2" s="22" t="s">
        <v>124</v>
      </c>
      <c r="F2" s="4" t="s">
        <v>118</v>
      </c>
      <c r="G2" s="4" t="s">
        <v>119</v>
      </c>
      <c r="H2" s="4"/>
      <c r="I2" s="22" t="s">
        <v>9</v>
      </c>
      <c r="J2" s="4">
        <f>I15/170</f>
        <v>0.29511804721888751</v>
      </c>
    </row>
    <row r="3" spans="1:13" x14ac:dyDescent="0.25">
      <c r="A3" s="4" t="s">
        <v>58</v>
      </c>
      <c r="B3" s="4">
        <f>IF(B13&gt;0,B13-1,0)</f>
        <v>2</v>
      </c>
      <c r="C3" s="12">
        <v>10.9</v>
      </c>
      <c r="D3" s="4">
        <f>20*C13</f>
        <v>295</v>
      </c>
      <c r="E3">
        <f>D3*24</f>
        <v>7080</v>
      </c>
      <c r="F3" s="38">
        <f>D3*C3</f>
        <v>3215.5</v>
      </c>
      <c r="G3" s="38">
        <f>F3*24</f>
        <v>77172</v>
      </c>
      <c r="H3" s="4"/>
      <c r="I3" s="4" t="s">
        <v>145</v>
      </c>
      <c r="J3" s="12">
        <v>35</v>
      </c>
      <c r="K3">
        <f>18+(16+7+12)/4</f>
        <v>26.75</v>
      </c>
    </row>
    <row r="4" spans="1:13" x14ac:dyDescent="0.25">
      <c r="A4" s="4" t="s">
        <v>60</v>
      </c>
      <c r="B4" s="4">
        <f>IF(B13&gt;0,B13-1,0)</f>
        <v>2</v>
      </c>
      <c r="C4" s="12">
        <v>890</v>
      </c>
      <c r="D4" s="4">
        <f>8*C13</f>
        <v>118</v>
      </c>
      <c r="E4">
        <f t="shared" ref="E4:E5" si="0">D4*24</f>
        <v>2832</v>
      </c>
      <c r="F4" s="38">
        <f>D4*C4</f>
        <v>105020</v>
      </c>
      <c r="G4" s="38">
        <f t="shared" ref="G4:G5" si="1">F4*24</f>
        <v>2520480</v>
      </c>
      <c r="H4" s="4"/>
      <c r="I4" t="s">
        <v>147</v>
      </c>
      <c r="J4">
        <f>J3*J2/100</f>
        <v>0.10329131652661064</v>
      </c>
      <c r="L4" t="s">
        <v>96</v>
      </c>
    </row>
    <row r="5" spans="1:13" x14ac:dyDescent="0.25">
      <c r="A5" s="4" t="s">
        <v>10</v>
      </c>
      <c r="B5" s="4">
        <f>IF(B13&gt;0,B13-1,0)</f>
        <v>2</v>
      </c>
      <c r="C5" s="12">
        <v>18</v>
      </c>
      <c r="D5" s="4">
        <f>10*C13</f>
        <v>147.5</v>
      </c>
      <c r="E5">
        <f t="shared" si="0"/>
        <v>3540</v>
      </c>
      <c r="F5" s="38">
        <f>D5*C5</f>
        <v>2655</v>
      </c>
      <c r="G5" s="38">
        <f t="shared" si="1"/>
        <v>63720</v>
      </c>
      <c r="H5" s="4"/>
      <c r="I5" s="4" t="s">
        <v>146</v>
      </c>
      <c r="J5" s="4">
        <f>J2-J4</f>
        <v>0.19182673069227688</v>
      </c>
      <c r="L5" t="s">
        <v>97</v>
      </c>
    </row>
    <row r="6" spans="1:13" x14ac:dyDescent="0.25">
      <c r="A6" s="22" t="s">
        <v>160</v>
      </c>
      <c r="B6" s="4"/>
      <c r="C6" s="4"/>
      <c r="D6" s="4"/>
      <c r="F6" s="38">
        <f>(G13+H13)*C13</f>
        <v>39008.786852240897</v>
      </c>
      <c r="G6" s="38">
        <f>F6*24</f>
        <v>936210.88445378153</v>
      </c>
      <c r="H6" s="4"/>
    </row>
    <row r="7" spans="1:13" x14ac:dyDescent="0.25">
      <c r="A7" s="22" t="s">
        <v>123</v>
      </c>
      <c r="B7" s="4"/>
      <c r="C7" s="4"/>
      <c r="D7" s="4"/>
      <c r="F7" s="39">
        <f>SUM(F3:F6)</f>
        <v>149899.28685224091</v>
      </c>
      <c r="G7" s="39">
        <f>SUM(G3:G6)</f>
        <v>3597582.8844537814</v>
      </c>
      <c r="H7" s="4"/>
    </row>
    <row r="8" spans="1:13" x14ac:dyDescent="0.25">
      <c r="A8" s="4"/>
      <c r="B8" s="4"/>
      <c r="C8" s="4"/>
      <c r="D8" s="4"/>
      <c r="E8" s="4"/>
      <c r="G8" s="4"/>
    </row>
    <row r="9" spans="1:13" x14ac:dyDescent="0.25">
      <c r="A9" s="4"/>
      <c r="B9" s="4"/>
      <c r="C9" s="4"/>
      <c r="D9" s="4"/>
      <c r="E9" s="4"/>
      <c r="G9" s="4"/>
    </row>
    <row r="10" spans="1:13" x14ac:dyDescent="0.25">
      <c r="A10" s="4"/>
      <c r="B10" s="4"/>
      <c r="C10" s="4"/>
      <c r="D10" s="4"/>
      <c r="E10" s="4"/>
      <c r="F10" s="4"/>
      <c r="G10" s="4"/>
      <c r="H10" s="4"/>
      <c r="I10" s="4"/>
    </row>
    <row r="11" spans="1:13" x14ac:dyDescent="0.25">
      <c r="A11" s="22"/>
      <c r="B11" s="22" t="s">
        <v>99</v>
      </c>
      <c r="C11" s="22" t="s">
        <v>150</v>
      </c>
      <c r="D11" s="22" t="s">
        <v>4</v>
      </c>
      <c r="E11" s="22" t="s">
        <v>84</v>
      </c>
      <c r="F11" s="22" t="s">
        <v>6</v>
      </c>
      <c r="G11" s="22" t="s">
        <v>7</v>
      </c>
      <c r="H11" s="22" t="s">
        <v>8</v>
      </c>
      <c r="I11" s="22" t="s">
        <v>98</v>
      </c>
      <c r="J11" s="22" t="s">
        <v>55</v>
      </c>
      <c r="K11" s="22"/>
      <c r="L11" s="4"/>
      <c r="M11" s="4"/>
    </row>
    <row r="12" spans="1:13" x14ac:dyDescent="0.25">
      <c r="A12" s="26" t="s">
        <v>35</v>
      </c>
      <c r="B12" s="26"/>
      <c r="C12" s="22"/>
      <c r="D12" s="22"/>
      <c r="E12" s="22"/>
      <c r="F12" s="22"/>
      <c r="G12" s="22" t="s">
        <v>149</v>
      </c>
      <c r="H12" s="22"/>
      <c r="J12" s="22"/>
      <c r="K12" s="22"/>
      <c r="L12" s="5"/>
      <c r="M12" s="4"/>
    </row>
    <row r="13" spans="1:13" x14ac:dyDescent="0.25">
      <c r="A13" s="22" t="s">
        <v>38</v>
      </c>
      <c r="B13" s="12">
        <v>3</v>
      </c>
      <c r="C13" s="12">
        <f>0.295*50</f>
        <v>14.75</v>
      </c>
      <c r="D13" s="25" t="s">
        <v>39</v>
      </c>
      <c r="E13" s="22">
        <f>20*C3+8*C4+10*C5</f>
        <v>7518</v>
      </c>
      <c r="F13" s="22">
        <f>0.28*1.05</f>
        <v>0.29400000000000004</v>
      </c>
      <c r="G13" s="44">
        <v>2219</v>
      </c>
      <c r="H13" s="22">
        <f>$J$5*G13</f>
        <v>425.66351540616239</v>
      </c>
      <c r="I13">
        <f>C13/F13</f>
        <v>50.170068027210881</v>
      </c>
      <c r="J13" s="39">
        <f>E13+G13+H13</f>
        <v>10162.663515406162</v>
      </c>
      <c r="K13" s="22"/>
      <c r="L13" s="4"/>
      <c r="M13" s="4"/>
    </row>
    <row r="14" spans="1:13" x14ac:dyDescent="0.25">
      <c r="A14" s="22"/>
      <c r="B14" s="22"/>
      <c r="C14" s="22"/>
      <c r="D14" s="25"/>
      <c r="E14" s="22"/>
      <c r="F14" s="35" t="s">
        <v>100</v>
      </c>
      <c r="G14" s="37">
        <v>13</v>
      </c>
      <c r="H14" s="36" t="s">
        <v>101</v>
      </c>
      <c r="I14" s="36">
        <f>I13/G14</f>
        <v>3.8592360020931449</v>
      </c>
      <c r="J14" s="22"/>
      <c r="K14" s="22" t="s">
        <v>103</v>
      </c>
      <c r="L14" s="4"/>
      <c r="M14" s="4"/>
    </row>
    <row r="15" spans="1:13" x14ac:dyDescent="0.25">
      <c r="A15" s="22"/>
      <c r="B15" s="22"/>
      <c r="C15" s="22"/>
      <c r="D15" s="22"/>
      <c r="E15" s="22"/>
      <c r="H15" s="36" t="s">
        <v>107</v>
      </c>
      <c r="I15" s="36">
        <f>I14*G14</f>
        <v>50.170068027210881</v>
      </c>
    </row>
    <row r="16" spans="1:13" x14ac:dyDescent="0.25">
      <c r="A16" s="22"/>
      <c r="B16" s="22"/>
      <c r="C16" s="22"/>
      <c r="D16" s="22"/>
      <c r="E16" s="22"/>
    </row>
    <row r="17" spans="1:11" x14ac:dyDescent="0.25">
      <c r="A17" s="22"/>
      <c r="B17" s="22" t="s">
        <v>104</v>
      </c>
      <c r="C17" s="12">
        <v>11500</v>
      </c>
      <c r="D17" s="22"/>
      <c r="E17" s="22"/>
    </row>
    <row r="18" spans="1:11" x14ac:dyDescent="0.25">
      <c r="A18" s="22"/>
      <c r="B18" t="s">
        <v>159</v>
      </c>
      <c r="C18" s="19">
        <f>C21/C19/C17</f>
        <v>0.11629012909511634</v>
      </c>
      <c r="D18" s="22"/>
      <c r="E18" s="22"/>
    </row>
    <row r="19" spans="1:11" x14ac:dyDescent="0.25">
      <c r="A19" s="22"/>
      <c r="B19" s="22" t="s">
        <v>122</v>
      </c>
      <c r="C19" s="22">
        <f>C13*24</f>
        <v>354</v>
      </c>
      <c r="D19" s="22"/>
      <c r="E19" s="22"/>
    </row>
    <row r="20" spans="1:11" x14ac:dyDescent="0.25">
      <c r="A20" s="22"/>
      <c r="B20" s="22" t="s">
        <v>105</v>
      </c>
      <c r="C20" s="39">
        <f>(C17-J13)*C13</f>
        <v>19725.713147759107</v>
      </c>
      <c r="D20" s="22"/>
      <c r="E20" s="22"/>
    </row>
    <row r="21" spans="1:11" x14ac:dyDescent="0.25">
      <c r="A21" s="22"/>
      <c r="B21" s="22" t="s">
        <v>106</v>
      </c>
      <c r="C21" s="39">
        <f>C20*24</f>
        <v>473417.11554621859</v>
      </c>
      <c r="D21" s="22"/>
      <c r="E21" s="22"/>
    </row>
    <row r="22" spans="1:11" x14ac:dyDescent="0.25">
      <c r="A22" s="22"/>
      <c r="B22" s="22"/>
      <c r="C22" s="22"/>
      <c r="D22" s="22"/>
      <c r="E22" s="22"/>
    </row>
    <row r="23" spans="1:11" x14ac:dyDescent="0.25">
      <c r="K23" t="s">
        <v>155</v>
      </c>
    </row>
    <row r="24" spans="1:11" x14ac:dyDescent="0.25">
      <c r="K24" s="48" t="s">
        <v>156</v>
      </c>
    </row>
    <row r="25" spans="1:11" x14ac:dyDescent="0.25">
      <c r="K25" s="49" t="s">
        <v>157</v>
      </c>
    </row>
    <row r="26" spans="1:11" x14ac:dyDescent="0.25">
      <c r="K26" s="47" t="s">
        <v>158</v>
      </c>
    </row>
    <row r="29" spans="1:11" x14ac:dyDescent="0.25">
      <c r="A29" t="s">
        <v>143</v>
      </c>
      <c r="B29" s="42">
        <v>105000</v>
      </c>
    </row>
    <row r="30" spans="1:11" x14ac:dyDescent="0.25">
      <c r="A30" t="s">
        <v>144</v>
      </c>
      <c r="B30" s="43">
        <f>(1+((I14/2)*(I14-1)))*B29*G14</f>
        <v>8896023.3983703367</v>
      </c>
      <c r="C30" t="s">
        <v>151</v>
      </c>
    </row>
    <row r="31" spans="1:11" x14ac:dyDescent="0.25">
      <c r="A31" t="s">
        <v>148</v>
      </c>
      <c r="B31" s="19">
        <f>C21/B30</f>
        <v>5.3216712046074865E-2</v>
      </c>
    </row>
    <row r="34" spans="2:3" x14ac:dyDescent="0.25">
      <c r="C34" s="43"/>
    </row>
    <row r="37" spans="2:3" x14ac:dyDescent="0.25">
      <c r="B37" s="43"/>
    </row>
  </sheetData>
  <conditionalFormatting sqref="M11:M12">
    <cfRule type="dataBar" priority="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{3165805C-5004-49C5-854A-5F4767D7AE87}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165805C-5004-49C5-854A-5F4767D7AE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M11:M12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zoomScale="55" zoomScaleNormal="55" workbookViewId="0">
      <selection activeCell="D14" sqref="D14"/>
    </sheetView>
  </sheetViews>
  <sheetFormatPr baseColWidth="10" defaultRowHeight="15" x14ac:dyDescent="0.25"/>
  <cols>
    <col min="1" max="1" width="30.42578125" bestFit="1" customWidth="1"/>
    <col min="2" max="2" width="23.85546875" customWidth="1"/>
    <col min="3" max="3" width="33.28515625" customWidth="1"/>
    <col min="4" max="4" width="75.140625" bestFit="1" customWidth="1"/>
    <col min="5" max="5" width="28.85546875" bestFit="1" customWidth="1"/>
    <col min="6" max="6" width="40.140625" bestFit="1" customWidth="1"/>
    <col min="7" max="7" width="27.28515625" bestFit="1" customWidth="1"/>
    <col min="8" max="8" width="22" bestFit="1" customWidth="1"/>
    <col min="9" max="9" width="19.5703125" bestFit="1" customWidth="1"/>
    <col min="10" max="10" width="27.28515625" bestFit="1" customWidth="1"/>
    <col min="11" max="11" width="40.5703125" bestFit="1" customWidth="1"/>
  </cols>
  <sheetData>
    <row r="1" spans="1:13" x14ac:dyDescent="0.25">
      <c r="A1" s="4"/>
      <c r="B1" s="4"/>
      <c r="C1" s="4"/>
      <c r="D1" s="4"/>
      <c r="E1" s="4"/>
      <c r="F1" s="4"/>
      <c r="G1" s="4"/>
    </row>
    <row r="2" spans="1:13" x14ac:dyDescent="0.25">
      <c r="A2" s="4" t="s">
        <v>1</v>
      </c>
      <c r="B2" s="22" t="s">
        <v>99</v>
      </c>
      <c r="C2" s="4" t="s">
        <v>154</v>
      </c>
      <c r="D2" s="4" t="s">
        <v>125</v>
      </c>
      <c r="E2" s="4" t="s">
        <v>126</v>
      </c>
      <c r="F2" s="4" t="s">
        <v>118</v>
      </c>
      <c r="G2" s="4" t="s">
        <v>119</v>
      </c>
      <c r="H2" s="4"/>
      <c r="I2" s="22" t="s">
        <v>9</v>
      </c>
      <c r="J2" s="4">
        <f>(I20+I25)/170</f>
        <v>0.42649534050100063</v>
      </c>
    </row>
    <row r="3" spans="1:13" x14ac:dyDescent="0.25">
      <c r="A3" s="4" t="s">
        <v>58</v>
      </c>
      <c r="B3" s="4">
        <f>IF(B18&gt;0,B18-1,0)</f>
        <v>1</v>
      </c>
      <c r="C3" s="12">
        <v>10.9</v>
      </c>
      <c r="D3" s="4">
        <f>20*C18</f>
        <v>410</v>
      </c>
      <c r="E3">
        <f>D3*24</f>
        <v>9840</v>
      </c>
      <c r="F3" s="38">
        <f t="shared" ref="F3:F10" si="0">D3*C3</f>
        <v>4469</v>
      </c>
      <c r="G3" s="38">
        <f>F3*24</f>
        <v>107256</v>
      </c>
      <c r="H3" s="4"/>
      <c r="I3" s="4" t="s">
        <v>145</v>
      </c>
      <c r="J3" s="12">
        <v>26.75</v>
      </c>
    </row>
    <row r="4" spans="1:13" x14ac:dyDescent="0.25">
      <c r="A4" s="4" t="s">
        <v>60</v>
      </c>
      <c r="B4" s="4">
        <f>IF(B18&gt;0,B18-1,0)</f>
        <v>1</v>
      </c>
      <c r="C4" s="12">
        <v>890</v>
      </c>
      <c r="D4" s="4">
        <f>8*C18</f>
        <v>164</v>
      </c>
      <c r="E4">
        <f t="shared" ref="E4:E10" si="1">D4*24</f>
        <v>3936</v>
      </c>
      <c r="F4" s="38">
        <f t="shared" si="0"/>
        <v>145960</v>
      </c>
      <c r="G4" s="38">
        <f t="shared" ref="G4:G10" si="2">F4*24</f>
        <v>3503040</v>
      </c>
      <c r="H4" s="4"/>
      <c r="I4" t="s">
        <v>147</v>
      </c>
      <c r="J4">
        <f>J3*J2/100</f>
        <v>0.11408750358401766</v>
      </c>
      <c r="L4" t="s">
        <v>96</v>
      </c>
    </row>
    <row r="5" spans="1:13" x14ac:dyDescent="0.25">
      <c r="A5" s="4" t="s">
        <v>10</v>
      </c>
      <c r="B5" s="4">
        <f>IF(B18&gt;0,B18-1,0)</f>
        <v>1</v>
      </c>
      <c r="C5" s="12">
        <v>18</v>
      </c>
      <c r="D5" s="4">
        <f>10*C18</f>
        <v>205</v>
      </c>
      <c r="E5">
        <f t="shared" si="1"/>
        <v>4920</v>
      </c>
      <c r="F5" s="38">
        <f t="shared" si="0"/>
        <v>3690</v>
      </c>
      <c r="G5" s="38">
        <f t="shared" si="2"/>
        <v>88560</v>
      </c>
      <c r="H5" s="4"/>
      <c r="I5" s="4" t="s">
        <v>146</v>
      </c>
      <c r="J5" s="4">
        <f>J2-J4</f>
        <v>0.31240783691698298</v>
      </c>
      <c r="L5" t="s">
        <v>97</v>
      </c>
    </row>
    <row r="6" spans="1:13" x14ac:dyDescent="0.25">
      <c r="A6" s="22" t="s">
        <v>5</v>
      </c>
      <c r="B6" s="22">
        <f>IF(B22&gt;0,B22-1,0)</f>
        <v>2</v>
      </c>
      <c r="C6" s="12">
        <v>2700</v>
      </c>
      <c r="D6" s="4">
        <f>40*C22</f>
        <v>20</v>
      </c>
      <c r="E6">
        <f t="shared" si="1"/>
        <v>480</v>
      </c>
      <c r="F6" s="38">
        <f t="shared" si="0"/>
        <v>54000</v>
      </c>
      <c r="G6" s="38">
        <f t="shared" si="2"/>
        <v>1296000</v>
      </c>
      <c r="H6" s="4"/>
    </row>
    <row r="7" spans="1:13" x14ac:dyDescent="0.25">
      <c r="A7" s="22" t="s">
        <v>13</v>
      </c>
      <c r="B7" s="22">
        <f>IF(B23&gt;0,B23-1,0)</f>
        <v>2</v>
      </c>
      <c r="C7" s="12">
        <v>8800</v>
      </c>
      <c r="D7" s="4">
        <f>16*C22+C23*6</f>
        <v>11</v>
      </c>
      <c r="E7">
        <f t="shared" si="1"/>
        <v>264</v>
      </c>
      <c r="F7" s="38">
        <f t="shared" si="0"/>
        <v>96800</v>
      </c>
      <c r="G7" s="38">
        <f t="shared" si="2"/>
        <v>2323200</v>
      </c>
      <c r="H7" s="4"/>
    </row>
    <row r="8" spans="1:13" x14ac:dyDescent="0.25">
      <c r="A8" s="22" t="s">
        <v>29</v>
      </c>
      <c r="B8" s="22">
        <f>IF(B23&gt;0,B23-1,0)</f>
        <v>2</v>
      </c>
      <c r="C8" s="12">
        <v>5570</v>
      </c>
      <c r="D8" s="4">
        <f>2*C23</f>
        <v>1</v>
      </c>
      <c r="E8">
        <f t="shared" si="1"/>
        <v>24</v>
      </c>
      <c r="F8" s="38">
        <f t="shared" si="0"/>
        <v>5570</v>
      </c>
      <c r="G8" s="38">
        <f t="shared" si="2"/>
        <v>133680</v>
      </c>
      <c r="H8" s="4"/>
      <c r="L8" s="36" t="s">
        <v>101</v>
      </c>
      <c r="M8" t="s">
        <v>102</v>
      </c>
    </row>
    <row r="9" spans="1:13" x14ac:dyDescent="0.25">
      <c r="A9" s="22" t="s">
        <v>18</v>
      </c>
      <c r="B9" s="22">
        <f>IF(B23&gt;0,B23-1,0)</f>
        <v>2</v>
      </c>
      <c r="C9" s="12">
        <v>545</v>
      </c>
      <c r="D9" s="4">
        <f>10*C23</f>
        <v>5</v>
      </c>
      <c r="E9">
        <f t="shared" si="1"/>
        <v>120</v>
      </c>
      <c r="F9" s="38">
        <f t="shared" si="0"/>
        <v>2725</v>
      </c>
      <c r="G9" s="38">
        <f t="shared" si="2"/>
        <v>65400</v>
      </c>
      <c r="H9" s="4"/>
    </row>
    <row r="10" spans="1:13" x14ac:dyDescent="0.25">
      <c r="A10" s="22" t="s">
        <v>95</v>
      </c>
      <c r="B10" s="22">
        <f>IF(B23&gt;0,B23-1,0)</f>
        <v>2</v>
      </c>
      <c r="C10" s="12">
        <v>1730</v>
      </c>
      <c r="D10" s="4">
        <f>4*C23</f>
        <v>2</v>
      </c>
      <c r="E10">
        <f t="shared" si="1"/>
        <v>48</v>
      </c>
      <c r="F10" s="38">
        <f t="shared" si="0"/>
        <v>3460</v>
      </c>
      <c r="G10" s="38">
        <f t="shared" si="2"/>
        <v>83040</v>
      </c>
      <c r="H10" s="4"/>
    </row>
    <row r="11" spans="1:13" x14ac:dyDescent="0.25">
      <c r="A11" s="4"/>
      <c r="B11" s="4"/>
      <c r="C11" s="4"/>
      <c r="D11" s="4"/>
      <c r="F11" s="39">
        <f>SUM(F3:F10)</f>
        <v>316674</v>
      </c>
      <c r="G11" s="39">
        <f>F11*24</f>
        <v>7600176</v>
      </c>
      <c r="H11" s="4"/>
    </row>
    <row r="12" spans="1:13" x14ac:dyDescent="0.25">
      <c r="A12" s="4"/>
      <c r="B12" s="4"/>
      <c r="C12" s="4"/>
      <c r="D12" s="4"/>
      <c r="E12" s="4"/>
      <c r="G12" s="4"/>
    </row>
    <row r="13" spans="1:13" x14ac:dyDescent="0.25">
      <c r="A13" s="4"/>
      <c r="B13" s="4"/>
      <c r="C13" s="4"/>
      <c r="D13" s="4"/>
      <c r="E13" s="4"/>
      <c r="G13" s="4"/>
    </row>
    <row r="14" spans="1:13" x14ac:dyDescent="0.25">
      <c r="A14" s="4"/>
      <c r="B14" s="4"/>
      <c r="C14" s="4"/>
      <c r="D14" s="4"/>
      <c r="E14" s="4"/>
      <c r="G14" s="4"/>
    </row>
    <row r="15" spans="1:13" x14ac:dyDescent="0.25">
      <c r="A15" s="4"/>
      <c r="B15" s="4"/>
      <c r="C15" s="4"/>
      <c r="D15" s="4"/>
      <c r="E15" s="4"/>
      <c r="F15" s="4"/>
      <c r="G15" s="4"/>
      <c r="H15" s="4"/>
      <c r="I15" s="4"/>
    </row>
    <row r="16" spans="1:13" x14ac:dyDescent="0.25">
      <c r="A16" s="22"/>
      <c r="B16" s="22" t="s">
        <v>99</v>
      </c>
      <c r="C16" s="22" t="s">
        <v>120</v>
      </c>
      <c r="D16" s="22" t="s">
        <v>4</v>
      </c>
      <c r="E16" s="22" t="s">
        <v>84</v>
      </c>
      <c r="F16" s="22" t="s">
        <v>121</v>
      </c>
      <c r="G16" s="22" t="s">
        <v>7</v>
      </c>
      <c r="H16" s="22" t="s">
        <v>8</v>
      </c>
      <c r="I16" s="22" t="s">
        <v>98</v>
      </c>
      <c r="J16" s="22" t="s">
        <v>55</v>
      </c>
      <c r="K16" s="22"/>
      <c r="L16" s="4"/>
      <c r="M16" s="4"/>
    </row>
    <row r="17" spans="1:13" x14ac:dyDescent="0.25">
      <c r="A17" s="26" t="s">
        <v>35</v>
      </c>
      <c r="B17" s="26"/>
      <c r="C17" s="22"/>
      <c r="D17" s="22"/>
      <c r="E17" s="22"/>
      <c r="F17" s="22"/>
      <c r="G17" s="22" t="s">
        <v>149</v>
      </c>
      <c r="H17" s="22"/>
      <c r="J17" s="22"/>
      <c r="K17" s="22"/>
      <c r="L17" s="5"/>
      <c r="M17" s="4"/>
    </row>
    <row r="18" spans="1:13" x14ac:dyDescent="0.25">
      <c r="A18" s="22" t="s">
        <v>38</v>
      </c>
      <c r="B18" s="22">
        <f>IF(B22&gt;0,B22-1,0)</f>
        <v>2</v>
      </c>
      <c r="C18" s="22">
        <f>34*C22+7*C23</f>
        <v>20.5</v>
      </c>
      <c r="D18" s="25" t="s">
        <v>39</v>
      </c>
      <c r="E18" s="22">
        <f>20*C3+8*C4+10*C5</f>
        <v>7518</v>
      </c>
      <c r="F18" s="22">
        <v>0.28999999999999998</v>
      </c>
      <c r="G18" s="44">
        <v>2300</v>
      </c>
      <c r="H18" s="22">
        <f>$J$5*G18</f>
        <v>718.53802490906082</v>
      </c>
      <c r="I18">
        <f>C18/F18</f>
        <v>70.689655172413794</v>
      </c>
      <c r="J18" s="39">
        <f>E18+G18+H18</f>
        <v>10536.538024909061</v>
      </c>
      <c r="K18" s="22"/>
      <c r="L18" s="4"/>
      <c r="M18" s="4"/>
    </row>
    <row r="19" spans="1:13" x14ac:dyDescent="0.25">
      <c r="A19" s="22"/>
      <c r="B19" s="22"/>
      <c r="C19" s="22"/>
      <c r="D19" s="25"/>
      <c r="E19" s="22"/>
      <c r="F19" s="35" t="s">
        <v>100</v>
      </c>
      <c r="G19" s="37">
        <v>13</v>
      </c>
      <c r="H19" s="36" t="s">
        <v>101</v>
      </c>
      <c r="I19" s="36">
        <f>I18/G19</f>
        <v>5.4376657824933687</v>
      </c>
      <c r="J19" s="22"/>
      <c r="K19" s="22"/>
      <c r="L19" s="4"/>
      <c r="M19" s="4"/>
    </row>
    <row r="20" spans="1:13" x14ac:dyDescent="0.25">
      <c r="A20" s="22"/>
      <c r="B20" s="22"/>
      <c r="C20" s="22"/>
      <c r="D20" s="25"/>
      <c r="E20" s="22"/>
      <c r="F20" s="35"/>
      <c r="G20" s="35"/>
      <c r="H20" s="36" t="s">
        <v>107</v>
      </c>
      <c r="I20" s="36">
        <f>I19*G19</f>
        <v>70.689655172413794</v>
      </c>
      <c r="J20" s="22"/>
      <c r="K20" s="22"/>
      <c r="L20" s="4"/>
      <c r="M20" s="4"/>
    </row>
    <row r="21" spans="1:13" x14ac:dyDescent="0.25">
      <c r="A21" s="26" t="s">
        <v>94</v>
      </c>
      <c r="B21" s="26"/>
      <c r="C21" s="22"/>
      <c r="D21" s="22"/>
      <c r="E21" s="22"/>
      <c r="F21" s="22"/>
      <c r="G21" s="22"/>
      <c r="H21" s="22"/>
      <c r="J21" s="22"/>
      <c r="K21" s="22"/>
      <c r="L21" s="4"/>
      <c r="M21" s="4"/>
    </row>
    <row r="22" spans="1:13" x14ac:dyDescent="0.25">
      <c r="A22" s="22" t="s">
        <v>24</v>
      </c>
      <c r="B22" s="22">
        <f>IF(B27&gt;0,B27-1,0)</f>
        <v>3</v>
      </c>
      <c r="C22" s="4">
        <f>C27</f>
        <v>0.5</v>
      </c>
      <c r="D22" s="24" t="s">
        <v>22</v>
      </c>
      <c r="E22" s="4">
        <f>40*C6+16*C7+34*J18</f>
        <v>607042.29284690809</v>
      </c>
      <c r="F22" s="4">
        <v>1.67</v>
      </c>
      <c r="G22" s="44">
        <v>351.65</v>
      </c>
      <c r="H22" s="4">
        <f>$J$5*G22</f>
        <v>109.85821585185705</v>
      </c>
      <c r="I22">
        <f>C22/F22</f>
        <v>0.29940119760479045</v>
      </c>
      <c r="J22" s="39">
        <f>E22+G22+H22</f>
        <v>607503.80106275994</v>
      </c>
      <c r="K22" s="22"/>
      <c r="L22" s="4"/>
      <c r="M22" s="4"/>
    </row>
    <row r="23" spans="1:13" x14ac:dyDescent="0.25">
      <c r="A23" s="22" t="s">
        <v>23</v>
      </c>
      <c r="B23" s="22">
        <f>IF(B27&gt;0,B27-1,0)</f>
        <v>3</v>
      </c>
      <c r="C23" s="4">
        <f>C27</f>
        <v>0.5</v>
      </c>
      <c r="D23" s="24" t="s">
        <v>25</v>
      </c>
      <c r="E23" s="4">
        <f>2*C8+10*C9+4*C10+6*C7+7*J18</f>
        <v>150065.76617436344</v>
      </c>
      <c r="F23" s="4">
        <v>0.33</v>
      </c>
      <c r="G23" s="44">
        <v>1758.23</v>
      </c>
      <c r="H23" s="4">
        <f>$J$5*G23</f>
        <v>549.28483110254695</v>
      </c>
      <c r="I23">
        <f>C23/F23</f>
        <v>1.5151515151515151</v>
      </c>
      <c r="J23" s="39">
        <f>E23+G23+H23</f>
        <v>152373.28100546601</v>
      </c>
      <c r="K23" s="22"/>
      <c r="L23" s="4"/>
      <c r="M23" s="4"/>
    </row>
    <row r="24" spans="1:13" x14ac:dyDescent="0.25">
      <c r="A24" s="22"/>
      <c r="B24" s="22"/>
      <c r="C24" s="22"/>
      <c r="D24" s="25"/>
      <c r="E24" s="22"/>
      <c r="F24" s="35" t="s">
        <v>100</v>
      </c>
      <c r="G24" s="37">
        <v>1</v>
      </c>
      <c r="H24" s="36" t="s">
        <v>101</v>
      </c>
      <c r="I24" s="36">
        <f>(I22+I23)/G24</f>
        <v>1.8145527127563055</v>
      </c>
      <c r="J24" s="22"/>
      <c r="K24" s="22"/>
      <c r="L24" s="4"/>
      <c r="M24" s="4"/>
    </row>
    <row r="25" spans="1:13" x14ac:dyDescent="0.25">
      <c r="A25" s="22"/>
      <c r="B25" s="22"/>
      <c r="C25" s="22"/>
      <c r="D25" s="25"/>
      <c r="E25" s="22"/>
      <c r="F25" s="35"/>
      <c r="G25" s="35"/>
      <c r="H25" s="36" t="s">
        <v>107</v>
      </c>
      <c r="I25" s="36">
        <f>I24*G24</f>
        <v>1.8145527127563055</v>
      </c>
      <c r="J25" s="22"/>
      <c r="K25" s="22"/>
      <c r="L25" s="4"/>
      <c r="M25" s="4"/>
    </row>
    <row r="26" spans="1:13" x14ac:dyDescent="0.25">
      <c r="A26" s="26" t="s">
        <v>44</v>
      </c>
      <c r="B26" s="26"/>
      <c r="C26" s="26"/>
      <c r="D26" s="22"/>
      <c r="E26" s="22"/>
      <c r="F26" s="22"/>
      <c r="G26" s="22"/>
      <c r="H26" s="22"/>
      <c r="J26" s="22"/>
      <c r="K26" s="22"/>
      <c r="L26" s="4"/>
      <c r="M26" s="4"/>
    </row>
    <row r="27" spans="1:13" x14ac:dyDescent="0.25">
      <c r="A27" s="22" t="s">
        <v>117</v>
      </c>
      <c r="B27" s="12">
        <v>4</v>
      </c>
      <c r="C27" s="12">
        <v>0.5</v>
      </c>
      <c r="D27" s="25"/>
      <c r="E27" s="22">
        <f>J22+J23</f>
        <v>759877.08206822595</v>
      </c>
      <c r="F27" s="22">
        <f>C27</f>
        <v>0.5</v>
      </c>
      <c r="G27" s="22">
        <v>12500</v>
      </c>
      <c r="H27" s="22"/>
      <c r="I27">
        <f>C27/F27</f>
        <v>1</v>
      </c>
      <c r="J27" s="39">
        <f>E27+G27+H27</f>
        <v>772377.08206822595</v>
      </c>
      <c r="K27" t="s">
        <v>128</v>
      </c>
      <c r="L27" s="4"/>
      <c r="M27" s="4"/>
    </row>
    <row r="28" spans="1:13" x14ac:dyDescent="0.25">
      <c r="A28" s="22"/>
      <c r="B28" s="22"/>
      <c r="C28" s="22"/>
      <c r="D28" s="24"/>
      <c r="E28" s="4"/>
      <c r="F28" s="4"/>
      <c r="G28" s="4"/>
      <c r="H28" s="36"/>
      <c r="I28" s="36"/>
      <c r="K28" s="4"/>
      <c r="L28" s="4"/>
      <c r="M28" s="4"/>
    </row>
    <row r="29" spans="1:13" x14ac:dyDescent="0.25">
      <c r="A29" s="22"/>
      <c r="D29" s="24"/>
      <c r="E29" s="4"/>
      <c r="F29" s="4"/>
      <c r="G29" s="4"/>
      <c r="H29" s="4"/>
      <c r="I29" s="22"/>
    </row>
    <row r="30" spans="1:13" x14ac:dyDescent="0.25">
      <c r="A30" s="22"/>
      <c r="D30" s="22"/>
      <c r="E30" s="22"/>
      <c r="I30" s="1"/>
    </row>
    <row r="31" spans="1:13" x14ac:dyDescent="0.25">
      <c r="A31" s="22"/>
      <c r="D31" s="22"/>
    </row>
    <row r="32" spans="1:13" x14ac:dyDescent="0.25">
      <c r="A32" s="22"/>
      <c r="D32" s="22"/>
    </row>
    <row r="33" spans="1:11" x14ac:dyDescent="0.25">
      <c r="A33" s="22"/>
      <c r="D33" s="22"/>
    </row>
    <row r="34" spans="1:11" x14ac:dyDescent="0.25">
      <c r="A34" s="22"/>
      <c r="B34" s="22" t="s">
        <v>108</v>
      </c>
      <c r="C34" s="22"/>
      <c r="D34" s="22"/>
    </row>
    <row r="35" spans="1:11" x14ac:dyDescent="0.25">
      <c r="A35" s="22"/>
      <c r="B35" s="22" t="s">
        <v>104</v>
      </c>
      <c r="C35" s="12">
        <v>850000</v>
      </c>
      <c r="D35" s="22"/>
      <c r="E35" s="22"/>
      <c r="I35" s="1"/>
    </row>
    <row r="36" spans="1:11" x14ac:dyDescent="0.25">
      <c r="A36" s="22"/>
      <c r="B36" s="22" t="s">
        <v>122</v>
      </c>
      <c r="C36" s="22">
        <f>24*C27</f>
        <v>12</v>
      </c>
      <c r="D36" s="22"/>
      <c r="E36" s="22" t="s">
        <v>130</v>
      </c>
      <c r="F36" t="s">
        <v>132</v>
      </c>
      <c r="I36" s="1"/>
    </row>
    <row r="37" spans="1:11" x14ac:dyDescent="0.25">
      <c r="A37" s="22"/>
      <c r="B37" s="22" t="s">
        <v>105</v>
      </c>
      <c r="C37" s="39">
        <f>(C35-J27)*C27</f>
        <v>38811.458965887025</v>
      </c>
      <c r="D37" s="22"/>
      <c r="E37" s="22" t="s">
        <v>99</v>
      </c>
      <c r="F37" t="s">
        <v>131</v>
      </c>
      <c r="G37" t="s">
        <v>134</v>
      </c>
      <c r="H37" t="s">
        <v>135</v>
      </c>
      <c r="I37" t="s">
        <v>136</v>
      </c>
      <c r="K37" t="s">
        <v>142</v>
      </c>
    </row>
    <row r="38" spans="1:11" x14ac:dyDescent="0.25">
      <c r="A38" s="22"/>
      <c r="B38" s="22" t="s">
        <v>106</v>
      </c>
      <c r="C38" s="39">
        <f>C37*24</f>
        <v>931475.01518128859</v>
      </c>
      <c r="D38" s="22"/>
      <c r="E38" s="22">
        <v>2</v>
      </c>
      <c r="F38" s="48">
        <v>2426</v>
      </c>
      <c r="G38" s="41">
        <f t="shared" ref="G38:H42" si="3">$J$27/2800/F52</f>
        <v>318.37472467775183</v>
      </c>
      <c r="H38" s="41">
        <f t="shared" si="3"/>
        <v>315.25595186458202</v>
      </c>
      <c r="I38">
        <f>(G38-H38)*$C$42</f>
        <v>8732.5638768754743</v>
      </c>
    </row>
    <row r="39" spans="1:11" x14ac:dyDescent="0.25">
      <c r="B39" s="22"/>
      <c r="C39" s="22"/>
      <c r="E39" s="22">
        <v>3</v>
      </c>
      <c r="F39" s="48">
        <v>2604</v>
      </c>
      <c r="G39" s="41">
        <f t="shared" si="3"/>
        <v>296.61178266828949</v>
      </c>
      <c r="H39" s="41">
        <f t="shared" si="3"/>
        <v>294.2388884069432</v>
      </c>
      <c r="I39">
        <f t="shared" ref="I39:I42" si="4">(G39-H39)*$C$42</f>
        <v>6644.1039317696095</v>
      </c>
    </row>
    <row r="40" spans="1:11" x14ac:dyDescent="0.25">
      <c r="B40" s="22" t="s">
        <v>109</v>
      </c>
      <c r="C40" s="22"/>
      <c r="E40" s="22">
        <v>4</v>
      </c>
      <c r="F40" s="48">
        <v>2699</v>
      </c>
      <c r="G40" s="41">
        <f t="shared" si="3"/>
        <v>286.17157542357387</v>
      </c>
      <c r="H40" s="41">
        <f t="shared" si="3"/>
        <v>284.74731136155793</v>
      </c>
      <c r="I40">
        <f t="shared" si="4"/>
        <v>3987.9393736446218</v>
      </c>
    </row>
    <row r="41" spans="1:11" x14ac:dyDescent="0.25">
      <c r="B41" s="22" t="s">
        <v>104</v>
      </c>
      <c r="C41" s="12">
        <v>316</v>
      </c>
      <c r="E41" s="22">
        <v>5</v>
      </c>
      <c r="F41" s="48">
        <v>2742</v>
      </c>
      <c r="G41" s="41">
        <f t="shared" si="3"/>
        <v>281.68383736988545</v>
      </c>
      <c r="H41" s="41">
        <f t="shared" si="3"/>
        <v>280.22751276851733</v>
      </c>
      <c r="I41">
        <f t="shared" si="4"/>
        <v>4077.7088838307463</v>
      </c>
    </row>
    <row r="42" spans="1:11" x14ac:dyDescent="0.25">
      <c r="B42" s="22" t="s">
        <v>110</v>
      </c>
      <c r="C42" s="22">
        <v>2800</v>
      </c>
      <c r="E42" s="22">
        <v>6</v>
      </c>
      <c r="F42" s="48">
        <v>2765</v>
      </c>
      <c r="G42" s="41">
        <f t="shared" si="3"/>
        <v>279.34071684203468</v>
      </c>
      <c r="H42" s="41">
        <f t="shared" si="3"/>
        <v>278.02099691994636</v>
      </c>
      <c r="I42">
        <f t="shared" si="4"/>
        <v>3695.2157818473097</v>
      </c>
      <c r="K42" t="s">
        <v>155</v>
      </c>
    </row>
    <row r="43" spans="1:11" x14ac:dyDescent="0.25">
      <c r="B43" s="22" t="s">
        <v>111</v>
      </c>
      <c r="C43" s="22">
        <f>LOOKUP(B27,E38:E42,F45:F49)</f>
        <v>3.6071428571428532E-2</v>
      </c>
      <c r="K43" s="48" t="s">
        <v>156</v>
      </c>
    </row>
    <row r="44" spans="1:11" x14ac:dyDescent="0.25">
      <c r="B44" s="22" t="s">
        <v>112</v>
      </c>
      <c r="C44" s="1">
        <f>C42*C41*(1-C43)</f>
        <v>852884</v>
      </c>
      <c r="F44" t="s">
        <v>139</v>
      </c>
      <c r="G44" t="s">
        <v>138</v>
      </c>
      <c r="K44" s="49" t="s">
        <v>157</v>
      </c>
    </row>
    <row r="45" spans="1:11" x14ac:dyDescent="0.25">
      <c r="B45" s="22" t="s">
        <v>113</v>
      </c>
      <c r="C45" s="40">
        <f>(C44-J27)*C27</f>
        <v>40253.458965887025</v>
      </c>
      <c r="E45" s="22">
        <v>2</v>
      </c>
      <c r="F45">
        <f t="shared" ref="F45:G49" si="5">1-F52</f>
        <v>0.13357142857142856</v>
      </c>
      <c r="G45">
        <f t="shared" si="5"/>
        <v>0.125</v>
      </c>
      <c r="K45" s="47" t="s">
        <v>158</v>
      </c>
    </row>
    <row r="46" spans="1:11" x14ac:dyDescent="0.25">
      <c r="B46" s="22" t="s">
        <v>114</v>
      </c>
      <c r="C46" s="40">
        <f>C45*24</f>
        <v>966083.01518128859</v>
      </c>
      <c r="E46" s="22">
        <v>3</v>
      </c>
      <c r="F46">
        <f t="shared" si="5"/>
        <v>6.9999999999999951E-2</v>
      </c>
      <c r="G46">
        <f t="shared" si="5"/>
        <v>6.25E-2</v>
      </c>
    </row>
    <row r="47" spans="1:11" x14ac:dyDescent="0.25">
      <c r="E47" s="22">
        <v>4</v>
      </c>
      <c r="F47">
        <f t="shared" si="5"/>
        <v>3.6071428571428532E-2</v>
      </c>
      <c r="G47">
        <f t="shared" si="5"/>
        <v>3.125E-2</v>
      </c>
    </row>
    <row r="48" spans="1:11" x14ac:dyDescent="0.25">
      <c r="E48" s="22">
        <v>5</v>
      </c>
      <c r="F48">
        <f t="shared" si="5"/>
        <v>2.0714285714285685E-2</v>
      </c>
      <c r="G48">
        <f t="shared" si="5"/>
        <v>1.5625E-2</v>
      </c>
    </row>
    <row r="49" spans="5:7" x14ac:dyDescent="0.25">
      <c r="E49" s="22">
        <v>6</v>
      </c>
      <c r="F49">
        <f t="shared" si="5"/>
        <v>1.2499999999999956E-2</v>
      </c>
      <c r="G49">
        <f t="shared" si="5"/>
        <v>7.8125E-3</v>
      </c>
    </row>
    <row r="51" spans="5:7" x14ac:dyDescent="0.25">
      <c r="F51" t="s">
        <v>137</v>
      </c>
      <c r="G51" t="s">
        <v>133</v>
      </c>
    </row>
    <row r="52" spans="5:7" x14ac:dyDescent="0.25">
      <c r="E52" s="22">
        <v>2</v>
      </c>
      <c r="F52">
        <f>F38/2800</f>
        <v>0.86642857142857144</v>
      </c>
      <c r="G52">
        <f>1- (0.5)^(E38+1)</f>
        <v>0.875</v>
      </c>
    </row>
    <row r="53" spans="5:7" x14ac:dyDescent="0.25">
      <c r="E53" s="22">
        <v>3</v>
      </c>
      <c r="F53">
        <f>F39/2800</f>
        <v>0.93</v>
      </c>
      <c r="G53">
        <f>1- (0.5)^(E39+1)</f>
        <v>0.9375</v>
      </c>
    </row>
    <row r="54" spans="5:7" x14ac:dyDescent="0.25">
      <c r="E54" s="22">
        <v>4</v>
      </c>
      <c r="F54">
        <f>F40/2800</f>
        <v>0.96392857142857147</v>
      </c>
      <c r="G54">
        <f>1- (0.5)^(E40+1)</f>
        <v>0.96875</v>
      </c>
    </row>
    <row r="55" spans="5:7" x14ac:dyDescent="0.25">
      <c r="E55" s="22">
        <v>5</v>
      </c>
      <c r="F55">
        <f>F41/2800</f>
        <v>0.97928571428571431</v>
      </c>
      <c r="G55">
        <f>1- (0.5)^(E41+1)</f>
        <v>0.984375</v>
      </c>
    </row>
    <row r="56" spans="5:7" x14ac:dyDescent="0.25">
      <c r="E56" s="22">
        <v>6</v>
      </c>
      <c r="F56">
        <f>F42/2800</f>
        <v>0.98750000000000004</v>
      </c>
      <c r="G56">
        <f>1- (0.5)^(E42+1)</f>
        <v>0.9921875</v>
      </c>
    </row>
  </sheetData>
  <conditionalFormatting sqref="M16:M1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{F5360406-8EFD-4FF6-B64C-F183DE818DE2}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5360406-8EFD-4FF6-B64C-F183DE818D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M16:M17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opLeftCell="A16" zoomScale="55" zoomScaleNormal="55" workbookViewId="0">
      <selection activeCell="G44" sqref="G44"/>
    </sheetView>
  </sheetViews>
  <sheetFormatPr baseColWidth="10" defaultRowHeight="15" x14ac:dyDescent="0.25"/>
  <cols>
    <col min="1" max="1" width="30.42578125" bestFit="1" customWidth="1"/>
    <col min="2" max="2" width="23.85546875" customWidth="1"/>
    <col min="3" max="3" width="33.28515625" customWidth="1"/>
    <col min="4" max="4" width="75.140625" bestFit="1" customWidth="1"/>
    <col min="5" max="5" width="28.85546875" bestFit="1" customWidth="1"/>
    <col min="6" max="6" width="23.28515625" bestFit="1" customWidth="1"/>
    <col min="7" max="7" width="25.7109375" customWidth="1"/>
    <col min="8" max="8" width="22" bestFit="1" customWidth="1"/>
    <col min="9" max="9" width="19.5703125" bestFit="1" customWidth="1"/>
    <col min="10" max="10" width="25.28515625" customWidth="1"/>
    <col min="11" max="11" width="40.5703125" bestFit="1" customWidth="1"/>
  </cols>
  <sheetData>
    <row r="1" spans="1:13" x14ac:dyDescent="0.25">
      <c r="A1" s="4"/>
      <c r="B1" s="4"/>
      <c r="C1" s="4"/>
      <c r="D1" s="4"/>
      <c r="E1" s="4"/>
      <c r="F1" s="4"/>
      <c r="G1" s="4"/>
    </row>
    <row r="2" spans="1:13" x14ac:dyDescent="0.25">
      <c r="A2" s="4" t="s">
        <v>1</v>
      </c>
      <c r="B2" s="22" t="s">
        <v>99</v>
      </c>
      <c r="C2" s="4" t="s">
        <v>154</v>
      </c>
      <c r="D2" s="4" t="s">
        <v>125</v>
      </c>
      <c r="E2" s="4" t="s">
        <v>126</v>
      </c>
      <c r="F2" s="4" t="s">
        <v>118</v>
      </c>
      <c r="G2" s="4" t="s">
        <v>119</v>
      </c>
      <c r="H2" s="4"/>
      <c r="I2" s="22" t="s">
        <v>9</v>
      </c>
      <c r="J2" s="4">
        <f>(I20+I25+B30)/170</f>
        <v>0.48531886991276529</v>
      </c>
    </row>
    <row r="3" spans="1:13" x14ac:dyDescent="0.25">
      <c r="A3" s="4" t="s">
        <v>58</v>
      </c>
      <c r="B3" s="4">
        <f>IF(B18&gt;0,B18-1,0)</f>
        <v>1</v>
      </c>
      <c r="C3" s="12">
        <v>10.9</v>
      </c>
      <c r="D3" s="4">
        <f>20*C18</f>
        <v>410</v>
      </c>
      <c r="E3">
        <f>D3*24</f>
        <v>9840</v>
      </c>
      <c r="F3" s="38">
        <f t="shared" ref="F3:F10" si="0">D3*C3</f>
        <v>4469</v>
      </c>
      <c r="G3" s="38">
        <f>F3*24</f>
        <v>107256</v>
      </c>
      <c r="H3" s="4"/>
      <c r="I3" s="4" t="s">
        <v>145</v>
      </c>
      <c r="J3" s="12">
        <v>26.75</v>
      </c>
    </row>
    <row r="4" spans="1:13" x14ac:dyDescent="0.25">
      <c r="A4" s="4" t="s">
        <v>60</v>
      </c>
      <c r="B4" s="4">
        <f>IF(B18&gt;0,B18-1,0)</f>
        <v>1</v>
      </c>
      <c r="C4" s="12">
        <v>890</v>
      </c>
      <c r="D4" s="4">
        <f>8*C18</f>
        <v>164</v>
      </c>
      <c r="E4">
        <f t="shared" ref="E4:E10" si="1">D4*24</f>
        <v>3936</v>
      </c>
      <c r="F4" s="38">
        <f t="shared" si="0"/>
        <v>145960</v>
      </c>
      <c r="G4" s="38">
        <f t="shared" ref="G4:G10" si="2">F4*24</f>
        <v>3503040</v>
      </c>
      <c r="H4" s="4"/>
      <c r="I4" t="s">
        <v>147</v>
      </c>
      <c r="J4">
        <f>J3*J2/100</f>
        <v>0.12982279770166472</v>
      </c>
      <c r="L4" t="s">
        <v>96</v>
      </c>
    </row>
    <row r="5" spans="1:13" x14ac:dyDescent="0.25">
      <c r="A5" s="4" t="s">
        <v>10</v>
      </c>
      <c r="B5" s="4">
        <f>IF(B18&gt;0,B18-1,0)</f>
        <v>1</v>
      </c>
      <c r="C5" s="12">
        <v>18</v>
      </c>
      <c r="D5" s="4">
        <f>10*C18</f>
        <v>205</v>
      </c>
      <c r="E5">
        <f t="shared" si="1"/>
        <v>4920</v>
      </c>
      <c r="F5" s="38">
        <f t="shared" si="0"/>
        <v>3690</v>
      </c>
      <c r="G5" s="38">
        <f t="shared" si="2"/>
        <v>88560</v>
      </c>
      <c r="H5" s="4"/>
      <c r="I5" s="4" t="s">
        <v>146</v>
      </c>
      <c r="J5" s="4">
        <f>J2-J4</f>
        <v>0.35549607221110058</v>
      </c>
      <c r="L5" t="s">
        <v>97</v>
      </c>
    </row>
    <row r="6" spans="1:13" x14ac:dyDescent="0.25">
      <c r="A6" s="22" t="s">
        <v>5</v>
      </c>
      <c r="B6" s="22">
        <f>IF(B22&gt;0,B22-1,0)</f>
        <v>2</v>
      </c>
      <c r="C6" s="12">
        <v>2700</v>
      </c>
      <c r="D6" s="4">
        <f>40*C22</f>
        <v>20</v>
      </c>
      <c r="E6">
        <f t="shared" si="1"/>
        <v>480</v>
      </c>
      <c r="F6" s="38">
        <f t="shared" si="0"/>
        <v>54000</v>
      </c>
      <c r="G6" s="38">
        <f t="shared" si="2"/>
        <v>1296000</v>
      </c>
      <c r="H6" s="4"/>
    </row>
    <row r="7" spans="1:13" x14ac:dyDescent="0.25">
      <c r="A7" s="22" t="s">
        <v>13</v>
      </c>
      <c r="B7" s="22">
        <f>IF(B23&gt;0,B23-1,0)</f>
        <v>2</v>
      </c>
      <c r="C7" s="12">
        <v>8800</v>
      </c>
      <c r="D7" s="4">
        <f>16*C22+C23*6</f>
        <v>11</v>
      </c>
      <c r="E7">
        <f t="shared" si="1"/>
        <v>264</v>
      </c>
      <c r="F7" s="38">
        <f t="shared" si="0"/>
        <v>96800</v>
      </c>
      <c r="G7" s="38">
        <f t="shared" si="2"/>
        <v>2323200</v>
      </c>
      <c r="H7" s="4"/>
    </row>
    <row r="8" spans="1:13" x14ac:dyDescent="0.25">
      <c r="A8" s="22" t="s">
        <v>29</v>
      </c>
      <c r="B8" s="22">
        <f>IF(B23&gt;0,B23-1,0)</f>
        <v>2</v>
      </c>
      <c r="C8" s="12">
        <v>5570</v>
      </c>
      <c r="D8" s="4">
        <f>2*C23</f>
        <v>1</v>
      </c>
      <c r="E8">
        <f t="shared" si="1"/>
        <v>24</v>
      </c>
      <c r="F8" s="38">
        <f t="shared" si="0"/>
        <v>5570</v>
      </c>
      <c r="G8" s="38">
        <f t="shared" si="2"/>
        <v>133680</v>
      </c>
      <c r="H8" s="4"/>
      <c r="L8" s="36" t="s">
        <v>101</v>
      </c>
      <c r="M8" t="s">
        <v>102</v>
      </c>
    </row>
    <row r="9" spans="1:13" x14ac:dyDescent="0.25">
      <c r="A9" s="22" t="s">
        <v>18</v>
      </c>
      <c r="B9" s="22">
        <f>IF(B23&gt;0,B23-1,0)</f>
        <v>2</v>
      </c>
      <c r="C9" s="12">
        <v>545</v>
      </c>
      <c r="D9" s="4">
        <f>10*C23</f>
        <v>5</v>
      </c>
      <c r="E9">
        <f t="shared" si="1"/>
        <v>120</v>
      </c>
      <c r="F9" s="38">
        <f t="shared" si="0"/>
        <v>2725</v>
      </c>
      <c r="G9" s="38">
        <f t="shared" si="2"/>
        <v>65400</v>
      </c>
      <c r="H9" s="4"/>
    </row>
    <row r="10" spans="1:13" x14ac:dyDescent="0.25">
      <c r="A10" s="22" t="s">
        <v>95</v>
      </c>
      <c r="B10" s="22">
        <f>IF(B23&gt;0,B23-1,0)</f>
        <v>2</v>
      </c>
      <c r="C10" s="12">
        <v>1730</v>
      </c>
      <c r="D10" s="4">
        <f>4*C23</f>
        <v>2</v>
      </c>
      <c r="E10">
        <f t="shared" si="1"/>
        <v>48</v>
      </c>
      <c r="F10" s="38">
        <f t="shared" si="0"/>
        <v>3460</v>
      </c>
      <c r="G10" s="38">
        <f t="shared" si="2"/>
        <v>83040</v>
      </c>
      <c r="H10" s="4"/>
    </row>
    <row r="11" spans="1:13" x14ac:dyDescent="0.25">
      <c r="A11" s="4"/>
      <c r="B11" s="4"/>
      <c r="C11" s="4"/>
      <c r="D11" s="4"/>
      <c r="F11" s="39">
        <f>SUM(F3:F10)</f>
        <v>316674</v>
      </c>
      <c r="G11" s="39">
        <f>F11*24</f>
        <v>7600176</v>
      </c>
      <c r="H11" s="4"/>
    </row>
    <row r="12" spans="1:13" x14ac:dyDescent="0.25">
      <c r="A12" s="4"/>
      <c r="B12" s="4"/>
      <c r="C12" s="4"/>
      <c r="D12" s="4"/>
      <c r="E12" s="4"/>
      <c r="G12" s="4"/>
    </row>
    <row r="13" spans="1:13" x14ac:dyDescent="0.25">
      <c r="A13" s="4"/>
      <c r="B13" s="4"/>
      <c r="C13" s="4"/>
      <c r="D13" s="4"/>
      <c r="E13" s="4"/>
      <c r="G13" s="4"/>
    </row>
    <row r="14" spans="1:13" x14ac:dyDescent="0.25">
      <c r="A14" s="4"/>
      <c r="B14" s="4"/>
      <c r="C14" s="4"/>
      <c r="D14" s="4"/>
      <c r="E14" s="4"/>
      <c r="G14" s="4"/>
    </row>
    <row r="15" spans="1:13" x14ac:dyDescent="0.25">
      <c r="A15" s="4"/>
      <c r="B15" s="4"/>
      <c r="C15" s="4"/>
      <c r="D15" s="4"/>
      <c r="E15" s="4"/>
      <c r="F15" s="4"/>
      <c r="G15" s="4"/>
      <c r="H15" s="4"/>
      <c r="I15" s="4"/>
    </row>
    <row r="16" spans="1:13" x14ac:dyDescent="0.25">
      <c r="A16" s="22"/>
      <c r="B16" s="22" t="s">
        <v>99</v>
      </c>
      <c r="C16" s="22" t="s">
        <v>120</v>
      </c>
      <c r="D16" s="22" t="s">
        <v>4</v>
      </c>
      <c r="E16" s="22" t="s">
        <v>84</v>
      </c>
      <c r="F16" s="22" t="s">
        <v>121</v>
      </c>
      <c r="G16" s="22" t="s">
        <v>7</v>
      </c>
      <c r="H16" s="22" t="s">
        <v>8</v>
      </c>
      <c r="I16" s="22" t="s">
        <v>98</v>
      </c>
      <c r="J16" s="22" t="s">
        <v>55</v>
      </c>
      <c r="K16" s="22"/>
      <c r="L16" s="4"/>
      <c r="M16" s="4"/>
    </row>
    <row r="17" spans="1:13" x14ac:dyDescent="0.25">
      <c r="A17" s="26" t="s">
        <v>35</v>
      </c>
      <c r="B17" s="26"/>
      <c r="C17" s="22"/>
      <c r="D17" s="22"/>
      <c r="E17" s="22"/>
      <c r="F17" s="22"/>
      <c r="G17" s="22"/>
      <c r="H17" s="22"/>
      <c r="J17" s="22"/>
      <c r="K17" s="22"/>
      <c r="L17" s="5"/>
      <c r="M17" s="4"/>
    </row>
    <row r="18" spans="1:13" x14ac:dyDescent="0.25">
      <c r="A18" s="22" t="s">
        <v>38</v>
      </c>
      <c r="B18" s="22">
        <f>IF(B22&gt;0,B22-1,0)</f>
        <v>2</v>
      </c>
      <c r="C18" s="22">
        <f>34*C22+7*C23</f>
        <v>20.5</v>
      </c>
      <c r="D18" s="25" t="s">
        <v>39</v>
      </c>
      <c r="E18" s="22">
        <f>20*C3+8*C4+10*C5</f>
        <v>7518</v>
      </c>
      <c r="F18" s="22">
        <v>0.28999999999999998</v>
      </c>
      <c r="G18" s="44">
        <v>2300</v>
      </c>
      <c r="H18" s="22">
        <f>$J$5*G18</f>
        <v>817.64096608553132</v>
      </c>
      <c r="I18">
        <f>C18/F18</f>
        <v>70.689655172413794</v>
      </c>
      <c r="J18" s="39">
        <f>E18+G18+H18</f>
        <v>10635.640966085532</v>
      </c>
      <c r="K18" s="22"/>
      <c r="L18" s="4"/>
      <c r="M18" s="4"/>
    </row>
    <row r="19" spans="1:13" x14ac:dyDescent="0.25">
      <c r="A19" s="22"/>
      <c r="B19" s="22"/>
      <c r="C19" s="22"/>
      <c r="D19" s="25"/>
      <c r="E19" s="22"/>
      <c r="F19" s="35" t="s">
        <v>100</v>
      </c>
      <c r="G19" s="37">
        <v>12</v>
      </c>
      <c r="H19" s="36" t="s">
        <v>101</v>
      </c>
      <c r="I19" s="36">
        <f>I18/G19</f>
        <v>5.8908045977011492</v>
      </c>
      <c r="J19" s="22"/>
      <c r="K19" s="22"/>
      <c r="L19" s="4"/>
      <c r="M19" s="4"/>
    </row>
    <row r="20" spans="1:13" x14ac:dyDescent="0.25">
      <c r="A20" s="22"/>
      <c r="B20" s="22"/>
      <c r="C20" s="22"/>
      <c r="D20" s="25"/>
      <c r="E20" s="22"/>
      <c r="F20" s="35"/>
      <c r="G20" s="35"/>
      <c r="H20" s="36" t="s">
        <v>107</v>
      </c>
      <c r="I20" s="36">
        <f>I19*G19</f>
        <v>70.689655172413794</v>
      </c>
      <c r="J20" s="22"/>
      <c r="K20" s="22"/>
      <c r="L20" s="4"/>
      <c r="M20" s="4"/>
    </row>
    <row r="21" spans="1:13" x14ac:dyDescent="0.25">
      <c r="A21" s="26" t="s">
        <v>94</v>
      </c>
      <c r="B21" s="26"/>
      <c r="C21" s="22"/>
      <c r="D21" s="22"/>
      <c r="E21" s="22"/>
      <c r="F21" s="22"/>
      <c r="G21" s="22"/>
      <c r="H21" s="22"/>
      <c r="J21" s="22"/>
      <c r="K21" s="22"/>
      <c r="L21" s="4"/>
      <c r="M21" s="4"/>
    </row>
    <row r="22" spans="1:13" x14ac:dyDescent="0.25">
      <c r="A22" s="22" t="s">
        <v>24</v>
      </c>
      <c r="B22" s="22">
        <f>IF(B27&gt;0,B27-1,0)</f>
        <v>3</v>
      </c>
      <c r="C22" s="4">
        <f>C27</f>
        <v>0.5</v>
      </c>
      <c r="D22" s="24" t="s">
        <v>22</v>
      </c>
      <c r="E22" s="4">
        <f>40*C6+16*C7+34*J18</f>
        <v>610411.79284690809</v>
      </c>
      <c r="F22" s="4">
        <v>1.67</v>
      </c>
      <c r="G22" s="44">
        <v>351.65</v>
      </c>
      <c r="H22" s="4">
        <f>$J$5*G22</f>
        <v>125.01019379303351</v>
      </c>
      <c r="I22">
        <f>C22/F22</f>
        <v>0.29940119760479045</v>
      </c>
      <c r="J22" s="39">
        <f>E22+G22+H22</f>
        <v>610888.4530407011</v>
      </c>
      <c r="K22" s="22"/>
      <c r="L22" s="4"/>
      <c r="M22" s="4"/>
    </row>
    <row r="23" spans="1:13" x14ac:dyDescent="0.25">
      <c r="A23" s="22" t="s">
        <v>23</v>
      </c>
      <c r="B23" s="22">
        <f>IF(B27&gt;0,B27-1,0)</f>
        <v>3</v>
      </c>
      <c r="C23" s="4">
        <f>C27</f>
        <v>0.5</v>
      </c>
      <c r="D23" s="24" t="s">
        <v>25</v>
      </c>
      <c r="E23" s="4">
        <f>2*C8+10*C9+4*C10+6*C7+7*J18</f>
        <v>150759.48676259874</v>
      </c>
      <c r="F23" s="4">
        <v>0.33</v>
      </c>
      <c r="G23" s="44">
        <v>1758.23</v>
      </c>
      <c r="H23" s="4">
        <f>$J$5*G23</f>
        <v>625.04385904372339</v>
      </c>
      <c r="I23">
        <f>C23/F23</f>
        <v>1.5151515151515151</v>
      </c>
      <c r="J23" s="39">
        <f>E23+G23+H23</f>
        <v>153142.76062164246</v>
      </c>
      <c r="K23" s="22"/>
      <c r="L23" s="4"/>
      <c r="M23" s="4"/>
    </row>
    <row r="24" spans="1:13" x14ac:dyDescent="0.25">
      <c r="A24" s="22"/>
      <c r="B24" s="22"/>
      <c r="C24" s="22"/>
      <c r="D24" s="25"/>
      <c r="E24" s="22"/>
      <c r="F24" s="35" t="s">
        <v>100</v>
      </c>
      <c r="G24" s="37">
        <v>1</v>
      </c>
      <c r="H24" s="36" t="s">
        <v>101</v>
      </c>
      <c r="I24" s="36">
        <f>(I22+I23)/G24</f>
        <v>1.8145527127563055</v>
      </c>
      <c r="J24" s="22"/>
      <c r="K24" s="22"/>
      <c r="L24" s="4"/>
      <c r="M24" s="4"/>
    </row>
    <row r="25" spans="1:13" x14ac:dyDescent="0.25">
      <c r="A25" s="22"/>
      <c r="B25" s="22"/>
      <c r="C25" s="22"/>
      <c r="D25" s="25"/>
      <c r="E25" s="22"/>
      <c r="F25" s="35"/>
      <c r="G25" s="35"/>
      <c r="H25" s="36" t="s">
        <v>107</v>
      </c>
      <c r="I25" s="36">
        <f>I24*G24</f>
        <v>1.8145527127563055</v>
      </c>
      <c r="J25" s="22"/>
      <c r="K25" s="22"/>
      <c r="L25" s="4"/>
      <c r="M25" s="4"/>
    </row>
    <row r="26" spans="1:13" x14ac:dyDescent="0.25">
      <c r="A26" s="26" t="s">
        <v>44</v>
      </c>
      <c r="B26" s="26"/>
      <c r="C26" s="26"/>
      <c r="D26" s="22"/>
      <c r="E26" s="22"/>
      <c r="F26" s="22"/>
      <c r="G26" s="22"/>
      <c r="H26" s="22"/>
      <c r="J26" s="22"/>
      <c r="K26" s="22"/>
      <c r="L26" s="4"/>
      <c r="M26" s="4"/>
    </row>
    <row r="27" spans="1:13" x14ac:dyDescent="0.25">
      <c r="A27" s="22" t="s">
        <v>117</v>
      </c>
      <c r="B27" s="12">
        <v>4</v>
      </c>
      <c r="C27" s="12">
        <v>0.5</v>
      </c>
      <c r="D27" s="25"/>
      <c r="E27" s="22">
        <f>J22+J23</f>
        <v>764031.21366234357</v>
      </c>
      <c r="F27" s="22">
        <f>C27</f>
        <v>0.5</v>
      </c>
      <c r="G27" s="44">
        <v>12500</v>
      </c>
      <c r="H27" s="22"/>
      <c r="I27">
        <f>C27/F27</f>
        <v>1</v>
      </c>
      <c r="J27" s="39">
        <f>E27+G27+H27</f>
        <v>776531.21366234357</v>
      </c>
      <c r="K27" t="s">
        <v>128</v>
      </c>
      <c r="L27" s="4"/>
      <c r="M27" s="4"/>
    </row>
    <row r="28" spans="1:13" x14ac:dyDescent="0.25">
      <c r="A28" s="22"/>
      <c r="B28" s="22"/>
      <c r="C28" s="22"/>
      <c r="D28" s="24"/>
      <c r="E28" s="4"/>
      <c r="F28" s="4"/>
      <c r="G28" s="4"/>
      <c r="H28" s="36"/>
      <c r="I28" s="36"/>
      <c r="K28" s="4"/>
      <c r="L28" s="4"/>
      <c r="M28" s="4"/>
    </row>
    <row r="29" spans="1:13" x14ac:dyDescent="0.25">
      <c r="A29" s="26" t="s">
        <v>115</v>
      </c>
      <c r="B29" s="29" t="s">
        <v>152</v>
      </c>
      <c r="C29" s="26"/>
      <c r="D29" s="22"/>
      <c r="E29" s="22"/>
      <c r="F29" s="22"/>
      <c r="G29" s="22"/>
      <c r="H29" s="22"/>
      <c r="J29" s="22"/>
      <c r="K29" s="4"/>
      <c r="L29" s="4"/>
      <c r="M29" s="4"/>
    </row>
    <row r="30" spans="1:13" x14ac:dyDescent="0.25">
      <c r="A30" s="22" t="s">
        <v>153</v>
      </c>
      <c r="B30" s="12">
        <v>10</v>
      </c>
      <c r="C30" s="22"/>
      <c r="D30" s="25" t="s">
        <v>116</v>
      </c>
      <c r="E30" s="22">
        <f>J27</f>
        <v>776531.21366234357</v>
      </c>
      <c r="F30" s="22">
        <f>1/(128/(2^(B30-1)))</f>
        <v>4</v>
      </c>
      <c r="G30" s="45">
        <v>518</v>
      </c>
      <c r="H30" s="46">
        <f>G30*J5</f>
        <v>184.1469654053501</v>
      </c>
      <c r="I30">
        <f>C27/F30</f>
        <v>0.125</v>
      </c>
      <c r="J30" s="39">
        <f>E30+(H30+G30)/F30</f>
        <v>776706.75040369492</v>
      </c>
      <c r="K30" t="s">
        <v>129</v>
      </c>
      <c r="L30" t="s">
        <v>140</v>
      </c>
    </row>
    <row r="31" spans="1:13" x14ac:dyDescent="0.25">
      <c r="A31" s="22"/>
      <c r="B31" s="22"/>
      <c r="C31" s="22"/>
      <c r="D31" s="24"/>
      <c r="E31" s="4"/>
      <c r="F31" s="35" t="s">
        <v>100</v>
      </c>
      <c r="G31" s="37">
        <v>1</v>
      </c>
      <c r="H31" s="36"/>
      <c r="I31" s="36"/>
      <c r="L31" t="s">
        <v>141</v>
      </c>
    </row>
    <row r="32" spans="1:13" x14ac:dyDescent="0.25">
      <c r="A32" s="22"/>
      <c r="B32" s="22"/>
      <c r="C32" s="22"/>
      <c r="D32" s="24"/>
      <c r="E32" s="4"/>
      <c r="G32" s="4"/>
      <c r="H32" s="36"/>
      <c r="I32" s="36"/>
    </row>
    <row r="33" spans="1:11" x14ac:dyDescent="0.25">
      <c r="A33" s="22"/>
      <c r="B33" s="22" t="s">
        <v>108</v>
      </c>
      <c r="C33" s="22"/>
      <c r="D33" s="24"/>
      <c r="E33" s="4"/>
      <c r="F33" s="4"/>
      <c r="G33" s="4"/>
      <c r="H33" s="4"/>
      <c r="I33" s="22"/>
    </row>
    <row r="34" spans="1:11" x14ac:dyDescent="0.25">
      <c r="A34" s="22"/>
      <c r="B34" s="22" t="s">
        <v>104</v>
      </c>
      <c r="C34" s="12">
        <v>850000</v>
      </c>
      <c r="D34" s="22"/>
      <c r="E34" s="22"/>
      <c r="I34" s="1"/>
    </row>
    <row r="35" spans="1:11" x14ac:dyDescent="0.25">
      <c r="A35" s="22"/>
      <c r="B35" s="22" t="s">
        <v>122</v>
      </c>
      <c r="C35" s="22">
        <f>24*C27</f>
        <v>12</v>
      </c>
      <c r="D35" s="22"/>
      <c r="E35" s="22"/>
      <c r="I35" s="1"/>
    </row>
    <row r="36" spans="1:11" x14ac:dyDescent="0.25">
      <c r="A36" s="22"/>
      <c r="B36" s="22" t="s">
        <v>105</v>
      </c>
      <c r="C36" s="39">
        <f>(C34-J27)*C27</f>
        <v>36734.393168828217</v>
      </c>
      <c r="D36" s="22"/>
      <c r="E36" s="22"/>
      <c r="I36" s="1"/>
      <c r="K36" t="s">
        <v>155</v>
      </c>
    </row>
    <row r="37" spans="1:11" x14ac:dyDescent="0.25">
      <c r="A37" s="22"/>
      <c r="B37" s="22" t="s">
        <v>106</v>
      </c>
      <c r="C37" s="39">
        <f>C36*24</f>
        <v>881625.43605187722</v>
      </c>
      <c r="D37" s="22"/>
      <c r="E37" s="22"/>
      <c r="K37" s="48" t="s">
        <v>156</v>
      </c>
    </row>
    <row r="38" spans="1:11" x14ac:dyDescent="0.25">
      <c r="A38" s="22"/>
      <c r="B38" s="22"/>
      <c r="C38" s="22"/>
      <c r="D38" s="22"/>
      <c r="E38" s="22"/>
      <c r="K38" s="49" t="s">
        <v>157</v>
      </c>
    </row>
    <row r="39" spans="1:11" x14ac:dyDescent="0.25">
      <c r="A39" s="22"/>
      <c r="B39" s="22" t="s">
        <v>109</v>
      </c>
      <c r="C39" s="22"/>
      <c r="D39" s="22"/>
      <c r="E39" s="22"/>
      <c r="K39" s="47" t="s">
        <v>158</v>
      </c>
    </row>
    <row r="40" spans="1:11" x14ac:dyDescent="0.25">
      <c r="A40" s="22"/>
      <c r="B40" s="22" t="s">
        <v>104</v>
      </c>
      <c r="C40" s="12">
        <v>316</v>
      </c>
      <c r="D40" s="22"/>
      <c r="E40" s="22"/>
    </row>
    <row r="41" spans="1:11" x14ac:dyDescent="0.25">
      <c r="A41" s="22"/>
      <c r="B41" s="22" t="s">
        <v>110</v>
      </c>
      <c r="C41" s="22">
        <v>2800</v>
      </c>
      <c r="D41" s="22"/>
      <c r="E41" s="22"/>
    </row>
    <row r="42" spans="1:11" x14ac:dyDescent="0.25">
      <c r="A42" s="22"/>
      <c r="B42" s="22" t="s">
        <v>111</v>
      </c>
      <c r="C42" s="22">
        <f>(0.5)^(B27+1)</f>
        <v>3.125E-2</v>
      </c>
      <c r="D42" s="22"/>
      <c r="E42" s="22"/>
    </row>
    <row r="43" spans="1:11" x14ac:dyDescent="0.25">
      <c r="B43" s="22" t="s">
        <v>112</v>
      </c>
      <c r="C43" s="1">
        <f>C40*C41*(1-C42)</f>
        <v>857150</v>
      </c>
    </row>
    <row r="44" spans="1:11" x14ac:dyDescent="0.25">
      <c r="B44" s="22" t="s">
        <v>113</v>
      </c>
      <c r="C44" s="40">
        <f>(C43-J30)*C27</f>
        <v>40221.624798152538</v>
      </c>
    </row>
    <row r="45" spans="1:11" x14ac:dyDescent="0.25">
      <c r="B45" s="22" t="s">
        <v>114</v>
      </c>
      <c r="C45" s="40">
        <f>C44*24</f>
        <v>965318.9951556609</v>
      </c>
    </row>
  </sheetData>
  <conditionalFormatting sqref="M16:M1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{411ED40A-525F-48C3-BFFB-1C35E3AD0A01}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11ED40A-525F-48C3-BFFB-1C35E3AD0A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M16:M17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All of them</vt:lpstr>
      <vt:lpstr>Jumbo jet</vt:lpstr>
      <vt:lpstr>Luxury jet</vt:lpstr>
      <vt:lpstr>s. Engine</vt:lpstr>
      <vt:lpstr>BFRs</vt:lpstr>
      <vt:lpstr>SORs</vt:lpstr>
      <vt:lpstr>Rocket production</vt:lpstr>
      <vt:lpstr>Production Plans second stage</vt:lpstr>
      <vt:lpstr>Production Plans third stage</vt:lpstr>
      <vt:lpstr>Production Plans final 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</dc:creator>
  <cp:lastModifiedBy>OF</cp:lastModifiedBy>
  <dcterms:created xsi:type="dcterms:W3CDTF">2021-02-02T03:42:33Z</dcterms:created>
  <dcterms:modified xsi:type="dcterms:W3CDTF">2021-07-21T16:06:27Z</dcterms:modified>
</cp:coreProperties>
</file>