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2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4" l="1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O256" i="4" s="1"/>
  <c r="M257" i="4"/>
  <c r="M258" i="4"/>
  <c r="M259" i="4"/>
  <c r="M260" i="4"/>
  <c r="M261" i="4"/>
  <c r="M262" i="4"/>
  <c r="M263" i="4"/>
  <c r="M264" i="4"/>
  <c r="O264" i="4" s="1"/>
  <c r="M265" i="4"/>
  <c r="M266" i="4"/>
  <c r="M267" i="4"/>
  <c r="M268" i="4"/>
  <c r="M269" i="4"/>
  <c r="M270" i="4"/>
  <c r="M271" i="4"/>
  <c r="M272" i="4"/>
  <c r="O272" i="4" s="1"/>
  <c r="M273" i="4"/>
  <c r="M274" i="4"/>
  <c r="M275" i="4"/>
  <c r="M276" i="4"/>
  <c r="M277" i="4"/>
  <c r="M278" i="4"/>
  <c r="M279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O254" i="4" s="1"/>
  <c r="N255" i="4"/>
  <c r="N256" i="4"/>
  <c r="N257" i="4"/>
  <c r="N258" i="4"/>
  <c r="N259" i="4"/>
  <c r="N260" i="4"/>
  <c r="N261" i="4"/>
  <c r="N262" i="4"/>
  <c r="O262" i="4" s="1"/>
  <c r="N263" i="4"/>
  <c r="N264" i="4"/>
  <c r="N265" i="4"/>
  <c r="N266" i="4"/>
  <c r="N267" i="4"/>
  <c r="N268" i="4"/>
  <c r="N269" i="4"/>
  <c r="O269" i="4" s="1"/>
  <c r="N270" i="4"/>
  <c r="O270" i="4" s="1"/>
  <c r="N271" i="4"/>
  <c r="N272" i="4"/>
  <c r="N273" i="4"/>
  <c r="N274" i="4"/>
  <c r="N275" i="4"/>
  <c r="N276" i="4"/>
  <c r="N277" i="4"/>
  <c r="N278" i="4"/>
  <c r="O278" i="4" s="1"/>
  <c r="N279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M201" i="4"/>
  <c r="M202" i="4"/>
  <c r="M203" i="4"/>
  <c r="M204" i="4"/>
  <c r="M205" i="4"/>
  <c r="M206" i="4"/>
  <c r="M207" i="4"/>
  <c r="M208" i="4"/>
  <c r="M209" i="4"/>
  <c r="O209" i="4" s="1"/>
  <c r="M210" i="4"/>
  <c r="M211" i="4"/>
  <c r="M212" i="4"/>
  <c r="M213" i="4"/>
  <c r="M214" i="4"/>
  <c r="M215" i="4"/>
  <c r="M216" i="4"/>
  <c r="M217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O275" i="4" l="1"/>
  <c r="O267" i="4"/>
  <c r="O259" i="4"/>
  <c r="O273" i="4"/>
  <c r="O265" i="4"/>
  <c r="O257" i="4"/>
  <c r="O279" i="4"/>
  <c r="O271" i="4"/>
  <c r="O263" i="4"/>
  <c r="O255" i="4"/>
  <c r="O277" i="4"/>
  <c r="O261" i="4"/>
  <c r="O276" i="4"/>
  <c r="O268" i="4"/>
  <c r="O260" i="4"/>
  <c r="O220" i="4"/>
  <c r="O274" i="4"/>
  <c r="O266" i="4"/>
  <c r="O258" i="4"/>
  <c r="O226" i="4"/>
  <c r="O240" i="4"/>
  <c r="O224" i="4"/>
  <c r="O213" i="4"/>
  <c r="O205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5" i="4"/>
  <c r="O223" i="4"/>
  <c r="O222" i="4"/>
  <c r="O221" i="4"/>
  <c r="O219" i="4"/>
  <c r="O218" i="4"/>
  <c r="O217" i="4"/>
  <c r="O216" i="4"/>
  <c r="O215" i="4"/>
  <c r="O214" i="4"/>
  <c r="O212" i="4"/>
  <c r="O211" i="4"/>
  <c r="O210" i="4"/>
  <c r="O208" i="4"/>
  <c r="O207" i="4"/>
  <c r="O206" i="4"/>
  <c r="O204" i="4"/>
  <c r="O203" i="4"/>
  <c r="O202" i="4"/>
  <c r="O201" i="4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O190" i="4" s="1"/>
  <c r="N191" i="4"/>
  <c r="N192" i="4"/>
  <c r="N193" i="4"/>
  <c r="N194" i="4"/>
  <c r="N195" i="4"/>
  <c r="N196" i="4"/>
  <c r="N197" i="4"/>
  <c r="N198" i="4"/>
  <c r="N199" i="4"/>
  <c r="N200" i="4"/>
  <c r="O145" i="4"/>
  <c r="O151" i="4" l="1"/>
  <c r="O196" i="4"/>
  <c r="O188" i="4"/>
  <c r="O173" i="4"/>
  <c r="O170" i="4"/>
  <c r="O165" i="4"/>
  <c r="O164" i="4"/>
  <c r="O157" i="4"/>
  <c r="O156" i="4"/>
  <c r="O178" i="4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K11" i="4"/>
  <c r="C4" i="4" s="1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253" i="4" l="1"/>
  <c r="C5" i="4"/>
  <c r="P251" i="4"/>
  <c r="P252" i="4"/>
  <c r="P249" i="4"/>
  <c r="P250" i="4"/>
  <c r="P247" i="4"/>
  <c r="P248" i="4"/>
  <c r="P245" i="4"/>
  <c r="P246" i="4"/>
  <c r="P243" i="4"/>
  <c r="P244" i="4"/>
  <c r="P241" i="4"/>
  <c r="P242" i="4"/>
  <c r="P239" i="4"/>
  <c r="P240" i="4"/>
  <c r="P237" i="4"/>
  <c r="P238" i="4"/>
  <c r="P235" i="4"/>
  <c r="P236" i="4"/>
  <c r="P233" i="4"/>
  <c r="P234" i="4"/>
  <c r="P231" i="4"/>
  <c r="P232" i="4"/>
  <c r="P229" i="4"/>
  <c r="P230" i="4"/>
  <c r="P227" i="4"/>
  <c r="P228" i="4"/>
  <c r="P225" i="4"/>
  <c r="P226" i="4"/>
  <c r="P223" i="4"/>
  <c r="P224" i="4"/>
  <c r="P221" i="4"/>
  <c r="P222" i="4"/>
  <c r="P219" i="4"/>
  <c r="P220" i="4"/>
  <c r="P217" i="4"/>
  <c r="P218" i="4"/>
  <c r="P215" i="4"/>
  <c r="P216" i="4"/>
  <c r="P213" i="4"/>
  <c r="P214" i="4"/>
  <c r="P211" i="4"/>
  <c r="P212" i="4"/>
  <c r="P209" i="4"/>
  <c r="P210" i="4"/>
  <c r="P207" i="4"/>
  <c r="P208" i="4"/>
  <c r="P205" i="4"/>
  <c r="P206" i="4"/>
  <c r="P203" i="4"/>
  <c r="P204" i="4"/>
  <c r="P201" i="4"/>
  <c r="P202" i="4"/>
  <c r="P199" i="4"/>
  <c r="P200" i="4"/>
  <c r="P197" i="4"/>
  <c r="P198" i="4"/>
  <c r="P195" i="4"/>
  <c r="P196" i="4"/>
  <c r="P193" i="4"/>
  <c r="P194" i="4"/>
  <c r="P191" i="4"/>
  <c r="P192" i="4"/>
  <c r="P189" i="4"/>
  <c r="P190" i="4"/>
  <c r="P187" i="4"/>
  <c r="P188" i="4"/>
  <c r="P185" i="4"/>
  <c r="P186" i="4"/>
  <c r="P183" i="4"/>
  <c r="P184" i="4"/>
  <c r="P181" i="4"/>
  <c r="P182" i="4"/>
  <c r="P179" i="4"/>
  <c r="P180" i="4"/>
  <c r="P177" i="4"/>
  <c r="P178" i="4"/>
  <c r="P175" i="4"/>
  <c r="P176" i="4"/>
  <c r="P173" i="4"/>
  <c r="P174" i="4"/>
  <c r="P171" i="4"/>
  <c r="P172" i="4"/>
  <c r="P169" i="4"/>
  <c r="P170" i="4"/>
  <c r="P167" i="4"/>
  <c r="P168" i="4"/>
  <c r="P165" i="4"/>
  <c r="P166" i="4"/>
  <c r="P163" i="4"/>
  <c r="P164" i="4"/>
  <c r="P161" i="4"/>
  <c r="P162" i="4"/>
  <c r="P159" i="4"/>
  <c r="P160" i="4"/>
  <c r="P157" i="4"/>
  <c r="P158" i="4"/>
  <c r="P155" i="4"/>
  <c r="P156" i="4"/>
  <c r="P84" i="4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U5" i="4" l="1"/>
  <c r="E27" i="3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D9" i="4" l="1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</calcChain>
</file>

<file path=xl/sharedStrings.xml><?xml version="1.0" encoding="utf-8"?>
<sst xmlns="http://schemas.openxmlformats.org/spreadsheetml/2006/main" count="816" uniqueCount="88">
  <si>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</si>
  <si>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</si>
  <si>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</si>
  <si>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</si>
  <si>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</si>
  <si>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</si>
  <si>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</si>
  <si>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</si>
  <si>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</si>
  <si>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</si>
  <si>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</si>
  <si>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</si>
  <si>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</si>
  <si>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</si>
  <si>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</si>
  <si>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</si>
  <si>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</si>
  <si>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</si>
  <si>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</si>
  <si>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</si>
  <si>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</si>
  <si>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</si>
  <si>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</si>
  <si>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</si>
  <si>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</si>
  <si>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</si>
  <si>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</si>
  <si>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</si>
  <si>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</si>
  <si>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</si>
  <si>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</si>
  <si>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</si>
  <si>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</si>
  <si>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</si>
  <si>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</si>
  <si>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</si>
  <si>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</si>
  <si>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</si>
  <si>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</si>
  <si>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</si>
  <si>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</si>
  <si>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</si>
  <si>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</si>
  <si>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</si>
  <si>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</si>
  <si>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</si>
  <si>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</si>
  <si>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</si>
  <si>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</si>
  <si>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</si>
  <si>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</si>
  <si>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</si>
  <si>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</si>
  <si>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</si>
  <si>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</si>
  <si>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</si>
  <si>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</si>
  <si>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</si>
  <si>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</si>
  <si>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</si>
  <si>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</si>
  <si>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</si>
  <si>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</si>
  <si>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</si>
  <si>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</si>
  <si>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</si>
  <si>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</si>
  <si>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</si>
  <si>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</si>
  <si>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</si>
  <si>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</si>
  <si>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</si>
  <si>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</si>
  <si>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</si>
  <si>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</si>
  <si>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</si>
  <si>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</si>
  <si>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</si>
  <si>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</si>
  <si>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</si>
  <si>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</si>
  <si>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</si>
  <si>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</si>
  <si>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</si>
  <si>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</si>
  <si>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others</t>
  </si>
  <si>
    <t>produced by: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</si>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</sst>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44" fontId="0" fillId="5" borderId="11" xfId="0" applyNumberFormat="1" applyFill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0" fontId="0" fillId="5" borderId="11" xfId="3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79" totalsRowShown="0">
  <autoFilter ref="A16:P279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79"/>
  <sheetViews>
    <sheetView zoomScale="80" zoomScaleNormal="80" workbookViewId="0">
      <selection activeCell="R35" sqref="R35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66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90" t="s">
        <v>65</v>
      </c>
      <c r="G3" s="91"/>
      <c r="H3" s="91"/>
      <c r="I3" s="91"/>
      <c r="J3" s="91"/>
      <c r="K3" s="91"/>
      <c r="L3" s="91"/>
      <c r="N3" s="90" t="s">
        <v>69</v>
      </c>
      <c r="O3" s="91"/>
      <c r="P3" s="91"/>
      <c r="Q3" s="91"/>
      <c r="R3" s="91"/>
      <c r="S3" s="91"/>
      <c r="T3" s="91"/>
      <c r="U3" s="91"/>
      <c r="W3" s="90" t="s">
        <v>69</v>
      </c>
      <c r="X3" s="91"/>
      <c r="Y3" s="91"/>
      <c r="Z3" s="91"/>
      <c r="AA3" s="91"/>
      <c r="AB3" s="91"/>
      <c r="AC3" s="91"/>
      <c r="AD3" s="91"/>
    </row>
    <row r="4" spans="1:30" x14ac:dyDescent="0.25">
      <c r="B4" s="35" t="s">
        <v>21</v>
      </c>
      <c r="C4" s="89">
        <f>27000+(K11-27000)/2</f>
        <v>46869.825591772162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B5" s="35" t="s">
        <v>87</v>
      </c>
      <c r="C5" s="101">
        <f>C4/27000-1</f>
        <v>0.73591946636193195</v>
      </c>
      <c r="E5" s="60" t="s">
        <v>27</v>
      </c>
      <c r="F5" s="48">
        <f>SUMIFS(Tabla22[Req.],Tabla22[Product],N5)+SUMIFS(Tabla22[Req.2],Tabla22[Product2],N5)</f>
        <v>24</v>
      </c>
      <c r="G5" s="46">
        <f>F5/COUNTIF(Tabla22[QualityBonus],"&gt;0")</f>
        <v>0.10126582278481013</v>
      </c>
      <c r="H5" s="69">
        <f>G5/$G$11</f>
        <v>2.0815264527320035E-2</v>
      </c>
      <c r="I5" s="22">
        <f>IFERROR((SUMIF(Tabla22[Product],E5,Tabla22[QualityBonus])+SUMIF(Tabla22[Product2],E5,Tabla22[QualityBonus]))/(COUNTIF(Tabla22[Product],E5)+COUNTIF(Tabla22[Product2],E5)),0)</f>
        <v>2.4739999999999998E-2</v>
      </c>
      <c r="J5" s="23">
        <f>IFERROR((SUMIF(Tabla22[Product],E5,Tabla22[Base price1])+SUMIF(Tabla22[Product2],E5,Tabla22[Base price2]))/(COUNTIF(Tabla22[Product],E5)+COUNTIF(Tabla22[Product2],E5)),0)</f>
        <v>825729.1</v>
      </c>
      <c r="K5" s="23">
        <f>IFERROR((SUMIF(Tabla22[Product],E5,Tabla22[No wages])+SUMIF(Tabla22[Product2],E5,Tabla22[No wages]))/(COUNTIF(Tabla22[Product],E5)+COUNTIF(Tabla22[Product2],E5)),0)</f>
        <v>191224.45875999998</v>
      </c>
      <c r="L5" s="41">
        <f>IFERROR((SUMIF(Tabla22[Product],E5,Tabla22[profit -wages])+SUMIF(Tabla22[Product2],E5,Tabla22[profit -wages]))/(COUNTIF(Tabla22[Product],E5)+COUNTIF(Tabla22[Product2],E5)),0)</f>
        <v>144354.63316822783</v>
      </c>
      <c r="N5" s="60" t="s">
        <v>27</v>
      </c>
      <c r="O5" s="48">
        <f>SUMIFS(Tabla22[Req.],Tabla22[Product],N5,Tabla22[[Economy ]],$O$2)+SUMIFS(Tabla22[Req.2],Tabla22[Product2],N5,Tabla22[[Economy ]],$O$2)</f>
        <v>10</v>
      </c>
      <c r="P5" s="46">
        <f>IFERROR(O5/COUNTIF(Tabla22[[Economy ]],$O$2),0)</f>
        <v>0.11904761904761904</v>
      </c>
      <c r="Q5" s="36">
        <f>P5/$P$11</f>
        <v>2.336448598130841E-2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2.2574999999999998E-2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809667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119408.17929999999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72538.353708227834</v>
      </c>
      <c r="W5" s="60" t="s">
        <v>27</v>
      </c>
      <c r="X5" s="48">
        <f>SUMIFS(Tabla22[Req.],Tabla22[Product],W5,Tabla22[[Economy ]],$X$2)+SUMIFS(Tabla22[Req.2],Tabla22[Product2],W5,Tabla22[[Economy ]],$X$2)</f>
        <v>14</v>
      </c>
      <c r="Y5" s="46">
        <f>IFERROR(X5/COUNTIF(Tabla22[[Economy ]],$X$2),0)</f>
        <v>7.8212290502793297E-2</v>
      </c>
      <c r="Z5" s="36">
        <f>Y5/$Y$11</f>
        <v>1.9310344827586208E-2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2.6183333333333333E-2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836437.16666666663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239101.97839999999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192232.15280822781</v>
      </c>
    </row>
    <row r="6" spans="1:30" x14ac:dyDescent="0.25">
      <c r="E6" s="60" t="s">
        <v>56</v>
      </c>
      <c r="F6" s="46">
        <f>SUMIFS(Tabla22[Req.],Tabla22[Product],N6)+SUMIFS(Tabla22[Req.2],Tabla22[Product2],N6)</f>
        <v>81</v>
      </c>
      <c r="G6" s="46">
        <f>F6/COUNTIF(Tabla22[QualityBonus],"&gt;0")</f>
        <v>0.34177215189873417</v>
      </c>
      <c r="H6" s="69">
        <f t="shared" ref="H6:H10" si="0">G6/$G$11</f>
        <v>7.0251517779705119E-2</v>
      </c>
      <c r="I6" s="36">
        <f>IFERROR((SUMIF(Tabla22[Product],E6,Tabla22[QualityBonus])+SUMIF(Tabla22[Product2],E6,Tabla22[QualityBonus]))/(COUNTIF(Tabla22[Product],E6)+COUNTIF(Tabla22[Product2],E6)),0)</f>
        <v>2.0566666666666664E-2</v>
      </c>
      <c r="J6" s="3">
        <f>IFERROR((SUMIF(Tabla22[Product],E6,Tabla22[Base price1])+SUMIF(Tabla22[Product2],E6,Tabla22[Base price2]))/(COUNTIF(Tabla22[Product],E6)+COUNTIF(Tabla22[Product2],E6)),0)</f>
        <v>220556.30303030304</v>
      </c>
      <c r="K6" s="3">
        <f>IFERROR((SUMIF(Tabla22[Product],E6,Tabla22[No wages])+SUMIF(Tabla22[Product2],E6,Tabla22[No wages]))/(COUNTIF(Tabla22[Product],E6)+COUNTIF(Tabla22[Product2],E6)),0)</f>
        <v>78480.893012121203</v>
      </c>
      <c r="L6" s="42">
        <f>IFERROR((SUMIF(Tabla22[Product],E6,Tabla22[profit -wages])+SUMIF(Tabla22[Product2],E6,Tabla22[profit -wages]))/(COUNTIF(Tabla22[Product],E6)+COUNTIF(Tabla22[Product2],E6)),0)</f>
        <v>31611.067420349053</v>
      </c>
      <c r="N6" s="60" t="s">
        <v>56</v>
      </c>
      <c r="O6" s="46">
        <f>SUMIFS(Tabla22[Req.],Tabla22[Product],N6,Tabla22[[Economy ]],$O$2)+SUMIFS(Tabla22[Req.2],Tabla22[Product2],N6,Tabla22[[Economy ]],$O$2)</f>
        <v>44</v>
      </c>
      <c r="P6" s="46">
        <f>IFERROR(O6/COUNTIF(Tabla22[[Economy ]],$O$2),0)</f>
        <v>0.52380952380952384</v>
      </c>
      <c r="Q6" s="36">
        <f t="shared" ref="Q6:Q10" si="1">P6/$P$11</f>
        <v>0.10280373831775702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2.0629411764705879E-2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215005.11764705883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61004.473623529411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14134.648031757253</v>
      </c>
      <c r="W6" s="60" t="s">
        <v>56</v>
      </c>
      <c r="X6" s="46">
        <f>SUMIFS(Tabla22[Req.],Tabla22[Product],W6,Tabla22[[Economy ]],$X$2)+SUMIFS(Tabla22[Req.2],Tabla22[Product2],W6,Tabla22[[Economy ]],$X$2)</f>
        <v>37</v>
      </c>
      <c r="Y6" s="46">
        <f>IFERROR(X6/COUNTIF(Tabla22[[Economy ]],$X$2),0)</f>
        <v>0.20670391061452514</v>
      </c>
      <c r="Z6" s="36">
        <f t="shared" ref="Z6:Z10" si="2">Y6/$Y$11</f>
        <v>5.1034482758620693E-2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2.0499999999999997E-2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226454.4375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97049.588612500011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50179.763020727842</v>
      </c>
    </row>
    <row r="7" spans="1:30" x14ac:dyDescent="0.25">
      <c r="E7" s="60" t="s">
        <v>52</v>
      </c>
      <c r="F7" s="46">
        <f>SUMIFS(Tabla22[Req.],Tabla22[Product],N7)+SUMIFS(Tabla22[Req.2],Tabla22[Product2],N7)</f>
        <v>111</v>
      </c>
      <c r="G7" s="46">
        <f>F7/COUNTIF(Tabla22[QualityBonus],"&gt;0")</f>
        <v>0.46835443037974683</v>
      </c>
      <c r="H7" s="69">
        <f t="shared" si="0"/>
        <v>9.6270598438855159E-2</v>
      </c>
      <c r="I7" s="36">
        <f>IFERROR((SUMIF(Tabla22[Product],E7,Tabla22[QualityBonus])+SUMIF(Tabla22[Product2],E7,Tabla22[QualityBonus]))/(COUNTIF(Tabla22[Product],E7)+COUNTIF(Tabla22[Product2],E7)),0)</f>
        <v>2.1456521739130433E-2</v>
      </c>
      <c r="J7" s="3">
        <f>IFERROR((SUMIF(Tabla22[Product],E7,Tabla22[Base price1])+SUMIF(Tabla22[Product2],E7,Tabla22[Base price2]))/(COUNTIF(Tabla22[Product],E7)+COUNTIF(Tabla22[Product2],E7)),0)</f>
        <v>118646.43478260869</v>
      </c>
      <c r="K7" s="3">
        <f>IFERROR((SUMIF(Tabla22[Product],E7,Tabla22[No wages])+SUMIF(Tabla22[Product2],E7,Tabla22[No wages]))/(COUNTIF(Tabla22[Product],E7)+COUNTIF(Tabla22[Product2],E7)),0)</f>
        <v>86368.953458695658</v>
      </c>
      <c r="L7" s="42">
        <f>IFERROR((SUMIF(Tabla22[Product],E7,Tabla22[profit -wages])+SUMIF(Tabla22[Product2],E7,Tabla22[profit -wages]))/(COUNTIF(Tabla22[Product],E7)+COUNTIF(Tabla22[Product2],E7)),0)</f>
        <v>39499.127866923496</v>
      </c>
      <c r="N7" s="60" t="s">
        <v>52</v>
      </c>
      <c r="O7" s="46">
        <f>SUMIFS(Tabla22[Req.],Tabla22[Product],N7,Tabla22[[Economy ]],$O$2)+SUMIFS(Tabla22[Req.2],Tabla22[Product2],N7,Tabla22[[Economy ]],$O$2)</f>
        <v>42</v>
      </c>
      <c r="P7" s="46">
        <f>IFERROR(O7/COUNTIF(Tabla22[[Economy ]],$O$2),0)</f>
        <v>0.5</v>
      </c>
      <c r="Q7" s="36">
        <f t="shared" si="1"/>
        <v>9.8130841121495338E-2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2.3220000000000001E-2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115061.86666666667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85828.076180000004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38958.250588227842</v>
      </c>
      <c r="W7" s="60" t="s">
        <v>52</v>
      </c>
      <c r="X7" s="46">
        <f>SUMIFS(Tabla22[Req.],Tabla22[Product],W7,Tabla22[[Economy ]],$X$2)+SUMIFS(Tabla22[Req.2],Tabla22[Product2],W7,Tabla22[[Economy ]],$X$2)</f>
        <v>69</v>
      </c>
      <c r="Y7" s="46">
        <f>IFERROR(X7/COUNTIF(Tabla22[[Economy ]],$X$2),0)</f>
        <v>0.38547486033519551</v>
      </c>
      <c r="Z7" s="36">
        <f t="shared" si="2"/>
        <v>9.5172413793103455E-2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2.060322580645161E-2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120380.90322580645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86630.668270967741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39760.842679195579</v>
      </c>
    </row>
    <row r="8" spans="1:30" x14ac:dyDescent="0.25">
      <c r="E8" s="60" t="s">
        <v>57</v>
      </c>
      <c r="F8" s="46">
        <f>SUMIFS(Tabla22[Req.],Tabla22[Product],N8)+SUMIFS(Tabla22[Req.2],Tabla22[Product2],N8)</f>
        <v>224</v>
      </c>
      <c r="G8" s="46">
        <f>F8/COUNTIF(Tabla22[QualityBonus],"&gt;0")</f>
        <v>0.94514767932489452</v>
      </c>
      <c r="H8" s="69">
        <f t="shared" si="0"/>
        <v>0.194275802254987</v>
      </c>
      <c r="I8" s="36">
        <f>IFERROR((SUMIF(Tabla22[Product],E8,Tabla22[QualityBonus])+SUMIF(Tabla22[Product2],E8,Tabla22[QualityBonus]))/(COUNTIF(Tabla22[Product],E8)+COUNTIF(Tabla22[Product2],E8)),0)</f>
        <v>2.1053409090909091E-2</v>
      </c>
      <c r="J8" s="3">
        <f>IFERROR((SUMIF(Tabla22[Product],E8,Tabla22[Base price1])+SUMIF(Tabla22[Product2],E8,Tabla22[Base price2]))/(COUNTIF(Tabla22[Product],E8)+COUNTIF(Tabla22[Product2],E8)),0)</f>
        <v>82702.829545454544</v>
      </c>
      <c r="K8" s="3">
        <f>IFERROR((SUMIF(Tabla22[Product],E8,Tabla22[No wages])+SUMIF(Tabla22[Product2],E8,Tabla22[No wages]))/(COUNTIF(Tabla22[Product],E8)+COUNTIF(Tabla22[Product2],E8)),0)</f>
        <v>57693.318972727277</v>
      </c>
      <c r="L8" s="42">
        <f>IFERROR((SUMIF(Tabla22[Product],E8,Tabla22[profit -wages])+SUMIF(Tabla22[Product2],E8,Tabla22[profit -wages]))/(COUNTIF(Tabla22[Product],E8)+COUNTIF(Tabla22[Product2],E8)),0)</f>
        <v>10823.493380955111</v>
      </c>
      <c r="N8" s="60" t="s">
        <v>57</v>
      </c>
      <c r="O8" s="46">
        <f>SUMIFS(Tabla22[Req.],Tabla22[Product],N8,Tabla22[[Economy ]],$O$2)+SUMIFS(Tabla22[Req.2],Tabla22[Product2],N8,Tabla22[[Economy ]],$O$2)</f>
        <v>105</v>
      </c>
      <c r="P8" s="46">
        <f>IFERROR(O8/COUNTIF(Tabla22[[Economy ]],$O$2),0)</f>
        <v>1.25</v>
      </c>
      <c r="Q8" s="36">
        <f t="shared" si="1"/>
        <v>0.24532710280373834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2.1080487804878052E-2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80650.219512195123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45555.849814634152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-1313.9757771380166</v>
      </c>
      <c r="W8" s="60" t="s">
        <v>57</v>
      </c>
      <c r="X8" s="46">
        <f>SUMIFS(Tabla22[Req.],Tabla22[Product],W8,Tabla22[[Economy ]],$X$2)+SUMIFS(Tabla22[Req.2],Tabla22[Product2],W8,Tabla22[[Economy ]],$X$2)</f>
        <v>119</v>
      </c>
      <c r="Y8" s="46">
        <f>IFERROR(X8/COUNTIF(Tabla22[[Economy ]],$X$2),0)</f>
        <v>0.66480446927374304</v>
      </c>
      <c r="Z8" s="36">
        <f t="shared" si="2"/>
        <v>0.16413793103448279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2.102978723404255E-2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84493.404255319154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68281.32398297872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21411.498391206558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234</v>
      </c>
      <c r="G9" s="46">
        <f>F9/COUNTIF(Tabla22[QualityBonus],"&gt;0")</f>
        <v>0.98734177215189878</v>
      </c>
      <c r="H9" s="69">
        <f t="shared" si="0"/>
        <v>0.20294882914137036</v>
      </c>
      <c r="I9" s="36">
        <f>IFERROR((SUMIF(Tabla22[Product],E9,Tabla22[QualityBonus])+SUMIF(Tabla22[Product2],E9,Tabla22[QualityBonus]))/(COUNTIF(Tabla22[Product],E9)+COUNTIF(Tabla22[Product2],E9)),0)</f>
        <v>2.0711428571428568E-2</v>
      </c>
      <c r="J9" s="3">
        <f>IFERROR((SUMIF(Tabla22[Product],E9,Tabla22[Base price1])+SUMIF(Tabla22[Product2],E9,Tabla22[Base price2]))/(COUNTIF(Tabla22[Product],E9)+COUNTIF(Tabla22[Product2],E9)),0)</f>
        <v>60474.028571428571</v>
      </c>
      <c r="K9" s="3">
        <f>IFERROR((SUMIF(Tabla22[Product],E9,Tabla22[No wages])+SUMIF(Tabla22[Product2],E9,Tabla22[No wages]))/(COUNTIF(Tabla22[Product],E9)+COUNTIF(Tabla22[Product2],E9)),0)</f>
        <v>69700.266809523819</v>
      </c>
      <c r="L9" s="42">
        <f>IFERROR((SUMIF(Tabla22[Product],E9,Tabla22[profit -wages])+SUMIF(Tabla22[Product2],E9,Tabla22[profit -wages]))/(COUNTIF(Tabla22[Product],E9)+COUNTIF(Tabla22[Product2],E9)),0)</f>
        <v>22830.441217751646</v>
      </c>
      <c r="N9" s="60" t="s">
        <v>54</v>
      </c>
      <c r="O9" s="46">
        <f>SUMIFS(Tabla22[Req.],Tabla22[Product],N9,Tabla22[[Economy ]],$O$2)+SUMIFS(Tabla22[Req.2],Tabla22[Product2],N9,Tabla22[[Economy ]],$O$2)</f>
        <v>52</v>
      </c>
      <c r="P9" s="46">
        <f>IFERROR(O9/COUNTIF(Tabla22[[Economy ]],$O$2),0)</f>
        <v>0.61904761904761907</v>
      </c>
      <c r="Q9" s="36">
        <f t="shared" si="1"/>
        <v>0.12149532710280375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2.1352173913043476E-2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57841.478260869568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59560.034456521731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12690.208864749577</v>
      </c>
      <c r="W9" s="60" t="s">
        <v>54</v>
      </c>
      <c r="X9" s="46">
        <f>SUMIFS(Tabla22[Req.],Tabla22[Product],W9,Tabla22[[Economy ]],$X$2)+SUMIFS(Tabla22[Req.2],Tabla22[Product2],W9,Tabla22[[Economy ]],$X$2)</f>
        <v>182</v>
      </c>
      <c r="Y9" s="46">
        <f>IFERROR(X9/COUNTIF(Tabla22[[Economy ]],$X$2),0)</f>
        <v>1.0167597765363128</v>
      </c>
      <c r="Z9" s="36">
        <f t="shared" si="2"/>
        <v>0.25103448275862073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2.053170731707317E-2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61212.42682926829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72544.478323170741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25674.652731398568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479</v>
      </c>
      <c r="G10" s="47">
        <f>F10/COUNTIF(Tabla22[QualityBonus],"&gt;0")</f>
        <v>2.0210970464135021</v>
      </c>
      <c r="H10" s="69">
        <f t="shared" si="0"/>
        <v>0.41543798785776237</v>
      </c>
      <c r="I10" s="44">
        <f>IFERROR((SUMIF(Tabla22[Product],E10,Tabla22[QualityBonus])+SUMIF(Tabla22[Product2],E10,Tabla22[QualityBonus]))/(COUNTIF(Tabla22[Product],E10)+COUNTIF(Tabla22[Product2],E10)),0)</f>
        <v>2.0214393939393938E-2</v>
      </c>
      <c r="J10" s="38">
        <f>IFERROR((SUMIF(Tabla22[Product],E10,Tabla22[Base price1])+SUMIF(Tabla22[Product2],E10,Tabla22[Base price2]))/(COUNTIF(Tabla22[Product],E10)+COUNTIF(Tabla22[Product2],E10)),0)</f>
        <v>40640.166666666664</v>
      </c>
      <c r="K10" s="38">
        <f>IFERROR((SUMIF(Tabla22[Product],E10,Tabla22[No wages])+SUMIF(Tabla22[Product2],E10,Tabla22[No wages]))/(COUNTIF(Tabla22[Product],E10)+COUNTIF(Tabla22[Product2],E10)),0)</f>
        <v>66453.207260606054</v>
      </c>
      <c r="L10" s="43">
        <f>IFERROR((SUMIF(Tabla22[Product],E10,Tabla22[profit -wages])+SUMIF(Tabla22[Product2],E10,Tabla22[profit -wages]))/(COUNTIF(Tabla22[Product],E10)+COUNTIF(Tabla22[Product2],E10)),0)</f>
        <v>19583.381668833903</v>
      </c>
      <c r="N10" s="61" t="s">
        <v>53</v>
      </c>
      <c r="O10" s="47">
        <f>SUMIFS(Tabla22[Req.],Tabla22[Product],N10,Tabla22[[Economy ]],$O$2)+SUMIFS(Tabla22[Req.2],Tabla22[Product2],N10,Tabla22[[Economy ]],$O$2)</f>
        <v>175</v>
      </c>
      <c r="P10" s="47">
        <f>IFERROR(O10/COUNTIF(Tabla22[[Economy ]],$O$2),0)</f>
        <v>2.0833333333333335</v>
      </c>
      <c r="Q10" s="44">
        <f t="shared" si="1"/>
        <v>0.40887850467289727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2.0735416666666666E-2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39297.125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55409.221054166672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8539.3954623945046</v>
      </c>
      <c r="W10" s="61" t="s">
        <v>53</v>
      </c>
      <c r="X10" s="47">
        <f>SUMIFS(Tabla22[Req.],Tabla22[Product],W10,Tabla22[[Economy ]],$X$2)+SUMIFS(Tabla22[Req.2],Tabla22[Product2],W10,Tabla22[[Economy ]],$X$2)</f>
        <v>304</v>
      </c>
      <c r="Y10" s="47">
        <f>IFERROR(X10/COUNTIF(Tabla22[[Economy ]],$X$2),0)</f>
        <v>1.6983240223463687</v>
      </c>
      <c r="Z10" s="44">
        <f t="shared" si="2"/>
        <v>0.41931034482758622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1.9916666666666666E-2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41407.619047619046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72764.05652142856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25894.230929656409</v>
      </c>
    </row>
    <row r="11" spans="1:30" x14ac:dyDescent="0.25">
      <c r="B11" s="62" t="s">
        <v>13</v>
      </c>
      <c r="E11" s="50" t="s">
        <v>61</v>
      </c>
      <c r="F11" s="47">
        <f>SUM(F5:F10)</f>
        <v>1153</v>
      </c>
      <c r="G11" s="47">
        <f>SUM(G5:G10)</f>
        <v>4.8649789029535864</v>
      </c>
      <c r="H11" s="70">
        <f>SUM(H5:H10)</f>
        <v>1</v>
      </c>
      <c r="I11" s="56">
        <f>AVERAGE(Tabla22[QualityBonus])</f>
        <v>2.0797046413502114E-2</v>
      </c>
      <c r="J11" s="38">
        <f>SUMPRODUCT(G5:G10,J5:J10)/G11</f>
        <v>89328.108884261528</v>
      </c>
      <c r="K11" s="38">
        <f>AVERAGEIF(Tabla22[No wages],"&gt;0")</f>
        <v>66739.651183544323</v>
      </c>
      <c r="L11" s="57">
        <f>AVERAGE(Tabla22[profit -wages])</f>
        <v>19869.825591772147</v>
      </c>
      <c r="M11" s="52"/>
      <c r="N11" s="50" t="s">
        <v>61</v>
      </c>
      <c r="O11" s="47">
        <f>SUM(O5:O10)</f>
        <v>428</v>
      </c>
      <c r="P11" s="47">
        <f>SUM(P5:P10)</f>
        <v>5.0952380952380949</v>
      </c>
      <c r="Q11" s="70">
        <f>SUM(Q5:Q10)</f>
        <v>1.0000000000000002</v>
      </c>
      <c r="R11" s="56">
        <f>IFERROR(AVERAGEIFS(Tabla22[QualityBonus],Tabla22[[Economy ]],$O$2),0)</f>
        <v>2.1160714285714279E-2</v>
      </c>
      <c r="S11" s="38">
        <f>IFERROR(SUMPRODUCT(S5:S10,P5:P10)/P11,0)</f>
        <v>95192.804602374526</v>
      </c>
      <c r="T11" s="38">
        <f>IFERROR(AVERAGEIFS(Tabla22[No wages],Tabla22[[Economy ]],$O$2),0)</f>
        <v>54823.773122619052</v>
      </c>
      <c r="U11" s="57">
        <f>IFERROR(AVERAGEIFS(Tabla22[profit -wages],Tabla22[[Economy ]],$O$2),0)</f>
        <v>7953.9475308468873</v>
      </c>
      <c r="W11" s="50" t="s">
        <v>61</v>
      </c>
      <c r="X11" s="47">
        <f>SUM(X5:X10)</f>
        <v>725</v>
      </c>
      <c r="Y11" s="47">
        <f>SUM(Y5:Y10)</f>
        <v>4.0502793296089381</v>
      </c>
      <c r="Z11" s="70">
        <f>SUM(Z5:Z10)</f>
        <v>1</v>
      </c>
      <c r="AA11" s="56">
        <f>IFERROR(AVERAGEIFS(Tabla22[QualityBonus],Tabla22[[Economy ]],$X$2),0)</f>
        <v>2.0597385620915044E-2</v>
      </c>
      <c r="AB11" s="38">
        <f>IFERROR(SUMPRODUCT(AB5:AB10,Y5:Y10)/Y11,0)</f>
        <v>85763.461825103412</v>
      </c>
      <c r="AC11" s="38">
        <f>IFERROR(AVERAGEIFS(Tabla22[No wages],Tabla22[[Economy ]],$X$2),0)</f>
        <v>62637.432336312871</v>
      </c>
      <c r="AD11" s="57">
        <f>IFERROR(AVERAGEIFS(Tabla22[profit -wages],Tabla22[[Economy ]],$X$2),0)</f>
        <v>26411.876291887969</v>
      </c>
    </row>
    <row r="12" spans="1:30" x14ac:dyDescent="0.25">
      <c r="B12" s="63" t="s">
        <v>67</v>
      </c>
      <c r="P12" s="81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92" t="s">
        <v>45</v>
      </c>
      <c r="E15" s="93"/>
      <c r="F15" s="94"/>
      <c r="G15" s="95" t="s">
        <v>46</v>
      </c>
      <c r="H15" s="93"/>
      <c r="I15" s="94"/>
      <c r="J15" s="96" t="s">
        <v>49</v>
      </c>
      <c r="K15" s="97"/>
      <c r="L15" s="97"/>
      <c r="M15" s="97"/>
      <c r="N15" s="97"/>
      <c r="O15" s="97"/>
      <c r="P15" s="97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2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18108.057000000001</v>
      </c>
      <c r="L17" s="71">
        <f>IF(Tabla22[[#This Row],[Req.2]]&gt;0,LOOKUP(Tabla22[[#This Row],[Product2]],$R$18:$R$23,$T$18:$T$23)*Tabla22[[#This Row],[Base price2]]*Tabla22[[#This Row],[Req.2]]*Tabla22[[#This Row],[QualityBonus]],0)</f>
        <v>27538.785</v>
      </c>
      <c r="M17" s="74">
        <f>IFERROR((Tabla22[[#This Row],[Base price1]]-LOOKUP(Tabla22[[#This Row],[Product]],$R$18:$R$23,$S$18:$S$23))*Tabla22[[#This Row],[Req.]],0)</f>
        <v>12454</v>
      </c>
      <c r="N17" s="71">
        <f>IF(Tabla22[[#This Row],[Req.2]]&gt;0,(Tabla22[[#This Row],[Base price2]]-LOOKUP(Tabla22[[#This Row],[Product2]],$R$18:$R$23,$S$18:$S$23))*Tabla22[[#This Row],[Req.2]],0)</f>
        <v>33270</v>
      </c>
      <c r="O17" s="74">
        <f>SUM(Tabla22[[#This Row],[Bonus1]:[p2]])</f>
        <v>91370.842000000004</v>
      </c>
      <c r="P17" s="71">
        <f>IF(Tabla22[[#This Row],[QualityBonus]]&gt;0,Tabla22[[#This Row],[No wages]]-$C$4,"")</f>
        <v>44501.016408227842</v>
      </c>
      <c r="R17" s="68" t="s">
        <v>75</v>
      </c>
      <c r="S17" s="68" t="s">
        <v>2</v>
      </c>
      <c r="T17" s="68" t="s">
        <v>76</v>
      </c>
      <c r="U17" s="45" t="s">
        <v>86</v>
      </c>
      <c r="V17" s="45"/>
    </row>
    <row r="18" spans="1:22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4">
        <f>IFERROR((Tabla22[[#This Row],[Base price1]]-LOOKUP(Tabla22[[#This Row],[Product]],$R$18:$R$23,$S$18:$S$23))*Tabla22[[#This Row],[Req.]],0)</f>
        <v>12764</v>
      </c>
      <c r="N18" s="71">
        <f>IF(Tabla22[[#This Row],[Req.2]]&gt;0,(Tabla22[[#This Row],[Base price2]]-LOOKUP(Tabla22[[#This Row],[Product2]],$R$18:$R$23,$S$18:$S$23))*Tabla22[[#This Row],[Req.2]],0)</f>
        <v>40032</v>
      </c>
      <c r="O18" s="74">
        <f>SUM(Tabla22[[#This Row],[Bonus1]:[p2]])</f>
        <v>92824.0144</v>
      </c>
      <c r="P18" s="71">
        <f>IF(Tabla22[[#This Row],[QualityBonus]]&gt;0,Tabla22[[#This Row],[No wages]]-$C$4,"")</f>
        <v>45954.188808227838</v>
      </c>
      <c r="R18" s="45" t="s">
        <v>27</v>
      </c>
      <c r="S18" s="67">
        <v>839000</v>
      </c>
      <c r="T18" s="67">
        <v>4</v>
      </c>
      <c r="U18" s="45" t="s">
        <v>85</v>
      </c>
      <c r="V18" s="45"/>
    </row>
    <row r="19" spans="1:22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33797.4</v>
      </c>
      <c r="M19" s="74">
        <f>IFERROR((Tabla22[[#This Row],[Base price1]]-LOOKUP(Tabla22[[#This Row],[Product]],$R$18:$R$23,$S$18:$S$23))*Tabla22[[#This Row],[Req.]],0)</f>
        <v>7355</v>
      </c>
      <c r="N19" s="71">
        <f>IF(Tabla22[[#This Row],[Req.2]]&gt;0,(Tabla22[[#This Row],[Base price2]]-LOOKUP(Tabla22[[#This Row],[Product2]],$R$18:$R$23,$S$18:$S$23))*Tabla22[[#This Row],[Req.2]],0)</f>
        <v>39600</v>
      </c>
      <c r="O19" s="74">
        <f>SUM(Tabla22[[#This Row],[Bonus1]:[p2]])</f>
        <v>90073.165999999997</v>
      </c>
      <c r="P19" s="71">
        <f>IF(Tabla22[[#This Row],[QualityBonus]]&gt;0,Tabla22[[#This Row],[No wages]]-$C$4,"")</f>
        <v>43203.340408227836</v>
      </c>
      <c r="R19" s="45" t="s">
        <v>56</v>
      </c>
      <c r="S19" s="67">
        <v>221000</v>
      </c>
      <c r="T19" s="67">
        <v>4</v>
      </c>
      <c r="U19" s="45" t="s">
        <v>85</v>
      </c>
      <c r="V19" s="45"/>
    </row>
    <row r="20" spans="1:22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26176.193999999996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23289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49465.193999999996</v>
      </c>
      <c r="P20" s="71">
        <f>IF(Tabla22[[#This Row],[QualityBonus]]&gt;0,Tabla22[[#This Row],[No wages]]-$C$4,"")</f>
        <v>2595.3684082278342</v>
      </c>
      <c r="R20" s="45" t="s">
        <v>57</v>
      </c>
      <c r="S20" s="67">
        <v>78000</v>
      </c>
      <c r="T20" s="67">
        <v>4</v>
      </c>
      <c r="U20" s="45" t="s">
        <v>85</v>
      </c>
      <c r="V20" s="77"/>
    </row>
    <row r="21" spans="1:22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13524.3925</v>
      </c>
      <c r="L21" s="71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4">
        <f>IFERROR((Tabla22[[#This Row],[Base price1]]-LOOKUP(Tabla22[[#This Row],[Product]],$R$18:$R$23,$S$18:$S$23))*Tabla22[[#This Row],[Req.]],0)</f>
        <v>9295</v>
      </c>
      <c r="N21" s="71">
        <f>IF(Tabla22[[#This Row],[Req.2]]&gt;0,(Tabla22[[#This Row],[Base price2]]-LOOKUP(Tabla22[[#This Row],[Product2]],$R$18:$R$23,$S$18:$S$23))*Tabla22[[#This Row],[Req.2]],0)</f>
        <v>19056</v>
      </c>
      <c r="O21" s="74">
        <f>SUM(Tabla22[[#This Row],[Bonus1]:[p2]])</f>
        <v>55596.136500000001</v>
      </c>
      <c r="P21" s="71">
        <f>IF(Tabla22[[#This Row],[QualityBonus]]&gt;0,Tabla22[[#This Row],[No wages]]-$C$4,"")</f>
        <v>8726.3109082278388</v>
      </c>
      <c r="R21" s="45" t="s">
        <v>54</v>
      </c>
      <c r="S21" s="67">
        <v>52000</v>
      </c>
      <c r="T21" s="67">
        <v>5</v>
      </c>
      <c r="U21" s="45" t="s">
        <v>85</v>
      </c>
      <c r="V21" s="45"/>
    </row>
    <row r="22" spans="1:22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9932.2574999999997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8391</v>
      </c>
      <c r="N22" s="72">
        <f>IF(Tabla22[[#This Row],[Req.2]]&gt;0,(Tabla22[[#This Row],[Base price2]]-LOOKUP(Tabla22[[#This Row],[Product2]],$R$18:$R$23,$S$18:$S$23))*Tabla22[[#This Row],[Req.2]],0)</f>
        <v>14194</v>
      </c>
      <c r="O22" s="75">
        <f>SUM(Tabla22[[#This Row],[Bonus1]:[p2]])</f>
        <v>37968.461500000005</v>
      </c>
      <c r="P22" s="72">
        <f>IF(Tabla22[[#This Row],[QualityBonus]]&gt;0,Tabla22[[#This Row],[No wages]]-$C$4,"")</f>
        <v>-8901.3640917721568</v>
      </c>
      <c r="R22" s="45" t="s">
        <v>53</v>
      </c>
      <c r="S22" s="67">
        <v>34200</v>
      </c>
      <c r="T22" s="67">
        <v>4</v>
      </c>
      <c r="U22" s="45" t="s">
        <v>85</v>
      </c>
      <c r="V22" s="45"/>
    </row>
    <row r="23" spans="1:22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24752.996999999999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22722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47474.997000000003</v>
      </c>
      <c r="P23" s="71">
        <f>IF(Tabla22[[#This Row],[QualityBonus]]&gt;0,Tabla22[[#This Row],[No wages]]-$C$4,"")</f>
        <v>605.17140822784131</v>
      </c>
      <c r="R23" s="45" t="s">
        <v>52</v>
      </c>
      <c r="S23" s="67">
        <v>112000</v>
      </c>
      <c r="T23" s="67">
        <v>5</v>
      </c>
      <c r="U23" s="45" t="s">
        <v>85</v>
      </c>
      <c r="V23" s="45"/>
    </row>
    <row r="24" spans="1:22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4">
        <f>IFERROR((Tabla22[[#This Row],[Base price1]]-LOOKUP(Tabla22[[#This Row],[Product]],$R$18:$R$23,$S$18:$S$23))*Tabla22[[#This Row],[Req.]],0)</f>
        <v>41125</v>
      </c>
      <c r="N24" s="71">
        <f>IF(Tabla22[[#This Row],[Req.2]]&gt;0,(Tabla22[[#This Row],[Base price2]]-LOOKUP(Tabla22[[#This Row],[Product2]],$R$18:$R$23,$S$18:$S$23))*Tabla22[[#This Row],[Req.2]],0)</f>
        <v>43096</v>
      </c>
      <c r="O24" s="74">
        <f>SUM(Tabla22[[#This Row],[Bonus1]:[p2]])</f>
        <v>125038.212</v>
      </c>
      <c r="P24" s="71">
        <f>IF(Tabla22[[#This Row],[QualityBonus]]&gt;0,Tabla22[[#This Row],[No wages]]-$C$4,"")</f>
        <v>78168.386408227845</v>
      </c>
      <c r="R24" s="45"/>
      <c r="S24" s="45"/>
      <c r="T24" s="45"/>
      <c r="U24" s="45"/>
      <c r="V24" s="45"/>
    </row>
    <row r="25" spans="1:22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9182.0609999999997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10463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19645.061000000002</v>
      </c>
      <c r="P25" s="71">
        <f>IF(Tabla22[[#This Row],[QualityBonus]]&gt;0,Tabla22[[#This Row],[No wages]]-$C$4,"")</f>
        <v>-27224.76459177216</v>
      </c>
      <c r="R25" s="45"/>
      <c r="S25" s="45"/>
      <c r="T25" s="45"/>
      <c r="U25" s="45"/>
      <c r="V25" s="45"/>
    </row>
    <row r="26" spans="1:22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4262.9625000000005</v>
      </c>
      <c r="L26" s="71">
        <f>IF(Tabla22[[#This Row],[Req.2]]&gt;0,LOOKUP(Tabla22[[#This Row],[Product2]],$R$18:$R$23,$T$18:$T$23)*Tabla22[[#This Row],[Base price2]]*Tabla22[[#This Row],[Req.2]]*Tabla22[[#This Row],[QualityBonus]],0)</f>
        <v>16443.404999999999</v>
      </c>
      <c r="M26" s="74">
        <f>IFERROR((Tabla22[[#This Row],[Base price1]]-LOOKUP(Tabla22[[#This Row],[Product]],$R$18:$R$23,$S$18:$S$23))*Tabla22[[#This Row],[Req.]],0)</f>
        <v>11155</v>
      </c>
      <c r="N26" s="71">
        <f>IF(Tabla22[[#This Row],[Req.2]]&gt;0,(Tabla22[[#This Row],[Base price2]]-LOOKUP(Tabla22[[#This Row],[Product2]],$R$18:$R$23,$S$18:$S$23))*Tabla22[[#This Row],[Req.2]],0)</f>
        <v>19606</v>
      </c>
      <c r="O26" s="74">
        <f>SUM(Tabla22[[#This Row],[Bonus1]:[p2]])</f>
        <v>51467.3675</v>
      </c>
      <c r="P26" s="71">
        <f>IF(Tabla22[[#This Row],[QualityBonus]]&gt;0,Tabla22[[#This Row],[No wages]]-$C$4,"")</f>
        <v>4597.5419082278386</v>
      </c>
      <c r="R26" s="45"/>
      <c r="S26" s="45"/>
      <c r="T26" s="45"/>
      <c r="U26" s="45"/>
      <c r="V26" s="45"/>
    </row>
    <row r="27" spans="1:22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23970.212</v>
      </c>
      <c r="L27" s="71">
        <f>IF(Tabla22[[#This Row],[Req.2]]&gt;0,LOOKUP(Tabla22[[#This Row],[Product2]],$R$18:$R$23,$T$18:$T$23)*Tabla22[[#This Row],[Base price2]]*Tabla22[[#This Row],[Req.2]]*Tabla22[[#This Row],[QualityBonus]],0)</f>
        <v>6081.88</v>
      </c>
      <c r="M27" s="74">
        <f>IFERROR((Tabla22[[#This Row],[Base price1]]-LOOKUP(Tabla22[[#This Row],[Product]],$R$18:$R$23,$S$18:$S$23))*Tabla22[[#This Row],[Req.]],0)</f>
        <v>20594</v>
      </c>
      <c r="N27" s="71">
        <f>IF(Tabla22[[#This Row],[Req.2]]&gt;0,(Tabla22[[#This Row],[Base price2]]-LOOKUP(Tabla22[[#This Row],[Product2]],$R$18:$R$23,$S$18:$S$23))*Tabla22[[#This Row],[Req.2]],0)</f>
        <v>10060</v>
      </c>
      <c r="O27" s="74">
        <f>SUM(Tabla22[[#This Row],[Bonus1]:[p2]])</f>
        <v>60706.092000000004</v>
      </c>
      <c r="P27" s="71">
        <f>IF(Tabla22[[#This Row],[QualityBonus]]&gt;0,Tabla22[[#This Row],[No wages]]-$C$4,"")</f>
        <v>13836.266408227842</v>
      </c>
      <c r="R27" s="45"/>
      <c r="S27" s="45"/>
      <c r="T27" s="45"/>
      <c r="U27" s="45"/>
      <c r="V27" s="45"/>
    </row>
    <row r="28" spans="1:22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15720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22483.248</v>
      </c>
      <c r="P28" s="71">
        <f>IF(Tabla22[[#This Row],[QualityBonus]]&gt;0,Tabla22[[#This Row],[No wages]]-$C$4,"")</f>
        <v>-24386.577591772162</v>
      </c>
      <c r="R28" s="45"/>
      <c r="S28" s="45"/>
      <c r="T28" s="45"/>
      <c r="U28" s="45"/>
      <c r="V28" s="45"/>
    </row>
    <row r="29" spans="1:22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5">
        <f>IFERROR((Tabla22[[#This Row],[Base price1]]-LOOKUP(Tabla22[[#This Row],[Product]],$R$18:$R$23,$S$18:$S$23))*Tabla22[[#This Row],[Req.]],0)</f>
        <v>18500</v>
      </c>
      <c r="N29" s="72">
        <f>IF(Tabla22[[#This Row],[Req.2]]&gt;0,(Tabla22[[#This Row],[Base price2]]-LOOKUP(Tabla22[[#This Row],[Product2]],$R$18:$R$23,$S$18:$S$23))*Tabla22[[#This Row],[Req.2]],0)</f>
        <v>26199</v>
      </c>
      <c r="O29" s="75">
        <f>SUM(Tabla22[[#This Row],[Bonus1]:[p2]])</f>
        <v>72164.838499999998</v>
      </c>
      <c r="P29" s="72">
        <f>IF(Tabla22[[#This Row],[QualityBonus]]&gt;0,Tabla22[[#This Row],[No wages]]-$C$4,"")</f>
        <v>25295.012908227836</v>
      </c>
      <c r="R29" s="45"/>
      <c r="S29" s="45"/>
      <c r="T29" s="45"/>
      <c r="U29" s="45"/>
      <c r="V29" s="45"/>
    </row>
    <row r="30" spans="1:22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59005.439999999995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43712</v>
      </c>
      <c r="N30" s="71">
        <f>IF(Tabla22[[#This Row],[Req.2]]&gt;0,(Tabla22[[#This Row],[Base price2]]-LOOKUP(Tabla22[[#This Row],[Product2]],$R$18:$R$23,$S$18:$S$23))*Tabla22[[#This Row],[Req.2]],0)</f>
        <v>13128</v>
      </c>
      <c r="O30" s="74">
        <f>SUM(Tabla22[[#This Row],[Bonus1]:[p2]])</f>
        <v>132081.728</v>
      </c>
      <c r="P30" s="71">
        <f>IF(Tabla22[[#This Row],[QualityBonus]]&gt;0,Tabla22[[#This Row],[No wages]]-$C$4,"")</f>
        <v>85211.902408227848</v>
      </c>
      <c r="R30" s="45"/>
      <c r="S30" s="45"/>
      <c r="T30" s="45"/>
      <c r="U30" s="45"/>
      <c r="V30" s="45"/>
    </row>
    <row r="31" spans="1:22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4">
        <f>IFERROR((Tabla22[[#This Row],[Base price1]]-LOOKUP(Tabla22[[#This Row],[Product]],$R$18:$R$23,$S$18:$S$23))*Tabla22[[#This Row],[Req.]],0)</f>
        <v>13732</v>
      </c>
      <c r="N31" s="71">
        <f>IF(Tabla22[[#This Row],[Req.2]]&gt;0,(Tabla22[[#This Row],[Base price2]]-LOOKUP(Tabla22[[#This Row],[Product2]],$R$18:$R$23,$S$18:$S$23))*Tabla22[[#This Row],[Req.2]],0)</f>
        <v>7787</v>
      </c>
      <c r="O31" s="74">
        <f>SUM(Tabla22[[#This Row],[Bonus1]:[p2]])</f>
        <v>29864.257899999997</v>
      </c>
      <c r="P31" s="71">
        <f>IF(Tabla22[[#This Row],[QualityBonus]]&gt;0,Tabla22[[#This Row],[No wages]]-$C$4,"")</f>
        <v>-17005.567691772165</v>
      </c>
      <c r="R31" s="45"/>
      <c r="S31" s="45"/>
      <c r="T31" s="45"/>
      <c r="U31" s="45"/>
      <c r="V31" s="45"/>
    </row>
    <row r="32" spans="1:22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22900.135999999999</v>
      </c>
      <c r="M32" s="74">
        <f>IFERROR((Tabla22[[#This Row],[Base price1]]-LOOKUP(Tabla22[[#This Row],[Product]],$R$18:$R$23,$S$18:$S$23))*Tabla22[[#This Row],[Req.]],0)</f>
        <v>33055</v>
      </c>
      <c r="N32" s="71">
        <f>IF(Tabla22[[#This Row],[Req.2]]&gt;0,(Tabla22[[#This Row],[Base price2]]-LOOKUP(Tabla22[[#This Row],[Product2]],$R$18:$R$23,$S$18:$S$23))*Tabla22[[#This Row],[Req.2]],0)</f>
        <v>15792</v>
      </c>
      <c r="O32" s="74">
        <f>SUM(Tabla22[[#This Row],[Bonus1]:[p2]])</f>
        <v>87336.937999999995</v>
      </c>
      <c r="P32" s="71">
        <f>IF(Tabla22[[#This Row],[QualityBonus]]&gt;0,Tabla22[[#This Row],[No wages]]-$C$4,"")</f>
        <v>40467.112408227833</v>
      </c>
      <c r="R32" s="45"/>
      <c r="S32" s="45"/>
      <c r="T32" s="45"/>
      <c r="U32" s="45"/>
      <c r="V32" s="45"/>
    </row>
    <row r="33" spans="1:22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15533.947</v>
      </c>
      <c r="L33" s="71">
        <f>IF(Tabla22[[#This Row],[Req.2]]&gt;0,LOOKUP(Tabla22[[#This Row],[Product2]],$R$18:$R$23,$T$18:$T$23)*Tabla22[[#This Row],[Base price2]]*Tabla22[[#This Row],[Req.2]]*Tabla22[[#This Row],[QualityBonus]],0)</f>
        <v>7793.665</v>
      </c>
      <c r="M33" s="74">
        <f>IFERROR((Tabla22[[#This Row],[Base price1]]-LOOKUP(Tabla22[[#This Row],[Product]],$R$18:$R$23,$S$18:$S$23))*Tabla22[[#This Row],[Req.]],0)</f>
        <v>10798</v>
      </c>
      <c r="N33" s="71">
        <f>IF(Tabla22[[#This Row],[Req.2]]&gt;0,(Tabla22[[#This Row],[Base price2]]-LOOKUP(Tabla22[[#This Row],[Product2]],$R$18:$R$23,$S$18:$S$23))*Tabla22[[#This Row],[Req.2]],0)</f>
        <v>9610</v>
      </c>
      <c r="O33" s="74">
        <f>SUM(Tabla22[[#This Row],[Bonus1]:[p2]])</f>
        <v>43735.612000000001</v>
      </c>
      <c r="P33" s="71">
        <f>IF(Tabla22[[#This Row],[QualityBonus]]&gt;0,Tabla22[[#This Row],[No wages]]-$C$4,"")</f>
        <v>-3134.2135917721607</v>
      </c>
      <c r="S33" s="45"/>
      <c r="T33" s="45"/>
      <c r="U33" s="45"/>
      <c r="V33" s="45"/>
    </row>
    <row r="34" spans="1:22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26156.928</v>
      </c>
      <c r="M34" s="74">
        <f>IFERROR((Tabla22[[#This Row],[Base price1]]-LOOKUP(Tabla22[[#This Row],[Product]],$R$18:$R$23,$S$18:$S$23))*Tabla22[[#This Row],[Req.]],0)</f>
        <v>17022</v>
      </c>
      <c r="N34" s="71">
        <f>IF(Tabla22[[#This Row],[Req.2]]&gt;0,(Tabla22[[#This Row],[Base price2]]-LOOKUP(Tabla22[[#This Row],[Product2]],$R$18:$R$23,$S$18:$S$23))*Tabla22[[#This Row],[Req.2]],0)</f>
        <v>17472</v>
      </c>
      <c r="O34" s="74">
        <f>SUM(Tabla22[[#This Row],[Bonus1]:[p2]])</f>
        <v>70893.830400000006</v>
      </c>
      <c r="P34" s="71">
        <f>IF(Tabla22[[#This Row],[QualityBonus]]&gt;0,Tabla22[[#This Row],[No wages]]-$C$4,"")</f>
        <v>24024.004808227844</v>
      </c>
      <c r="S34" s="45"/>
      <c r="T34" s="45"/>
      <c r="U34" s="45"/>
      <c r="V34" s="45"/>
    </row>
    <row r="35" spans="1:22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13950.525500000002</v>
      </c>
      <c r="M35" s="74">
        <f>IFERROR((Tabla22[[#This Row],[Base price1]]-LOOKUP(Tabla22[[#This Row],[Product]],$R$18:$R$23,$S$18:$S$23))*Tabla22[[#This Row],[Req.]],0)</f>
        <v>30152</v>
      </c>
      <c r="N35" s="71">
        <f>IF(Tabla22[[#This Row],[Req.2]]&gt;0,(Tabla22[[#This Row],[Base price2]]-LOOKUP(Tabla22[[#This Row],[Product2]],$R$18:$R$23,$S$18:$S$23))*Tabla22[[#This Row],[Req.2]],0)</f>
        <v>7747</v>
      </c>
      <c r="O35" s="74">
        <f>SUM(Tabla22[[#This Row],[Bonus1]:[p2]])</f>
        <v>67409.4519</v>
      </c>
      <c r="P35" s="71">
        <f>IF(Tabla22[[#This Row],[QualityBonus]]&gt;0,Tabla22[[#This Row],[No wages]]-$C$4,"")</f>
        <v>20539.626308227838</v>
      </c>
      <c r="S35" s="45"/>
      <c r="T35" s="45"/>
      <c r="U35" s="45"/>
      <c r="V35" s="45"/>
    </row>
    <row r="36" spans="1:22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12552.48</v>
      </c>
      <c r="M36" s="74">
        <f>IFERROR((Tabla22[[#This Row],[Base price1]]-LOOKUP(Tabla22[[#This Row],[Product]],$R$18:$R$23,$S$18:$S$23))*Tabla22[[#This Row],[Req.]],0)</f>
        <v>38625</v>
      </c>
      <c r="N36" s="71">
        <f>IF(Tabla22[[#This Row],[Req.2]]&gt;0,(Tabla22[[#This Row],[Base price2]]-LOOKUP(Tabla22[[#This Row],[Product2]],$R$18:$R$23,$S$18:$S$23))*Tabla22[[#This Row],[Req.2]],0)</f>
        <v>17280</v>
      </c>
      <c r="O36" s="74">
        <f>SUM(Tabla22[[#This Row],[Bonus1]:[p2]])</f>
        <v>85814.43</v>
      </c>
      <c r="P36" s="71">
        <f>IF(Tabla22[[#This Row],[QualityBonus]]&gt;0,Tabla22[[#This Row],[No wages]]-$C$4,"")</f>
        <v>38944.604408227831</v>
      </c>
      <c r="S36" s="45"/>
      <c r="T36" s="45"/>
      <c r="U36" s="45"/>
      <c r="V36" s="45"/>
    </row>
    <row r="37" spans="1:22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25546.59</v>
      </c>
      <c r="M37" s="75">
        <f>IFERROR((Tabla22[[#This Row],[Base price1]]-LOOKUP(Tabla22[[#This Row],[Product]],$R$18:$R$23,$S$18:$S$23))*Tabla22[[#This Row],[Req.]],0)</f>
        <v>5391</v>
      </c>
      <c r="N37" s="72">
        <f>IF(Tabla22[[#This Row],[Req.2]]&gt;0,(Tabla22[[#This Row],[Base price2]]-LOOKUP(Tabla22[[#This Row],[Product2]],$R$18:$R$23,$S$18:$S$23))*Tabla22[[#This Row],[Req.2]],0)</f>
        <v>33234</v>
      </c>
      <c r="O37" s="75">
        <f>SUM(Tabla22[[#This Row],[Bonus1]:[p2]])</f>
        <v>73177.817999999999</v>
      </c>
      <c r="P37" s="72">
        <f>IF(Tabla22[[#This Row],[QualityBonus]]&gt;0,Tabla22[[#This Row],[No wages]]-$C$4,"")</f>
        <v>26307.992408227838</v>
      </c>
      <c r="S37" s="45"/>
      <c r="T37" s="45"/>
      <c r="U37" s="45"/>
      <c r="V37" s="45"/>
    </row>
    <row r="38" spans="1:22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7967.7440000000006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20496</v>
      </c>
      <c r="N38" s="71">
        <f>IF(Tabla22[[#This Row],[Req.2]]&gt;0,(Tabla22[[#This Row],[Base price2]]-LOOKUP(Tabla22[[#This Row],[Product2]],$R$18:$R$23,$S$18:$S$23))*Tabla22[[#This Row],[Req.2]],0)</f>
        <v>27564</v>
      </c>
      <c r="O38" s="74">
        <f>SUM(Tabla22[[#This Row],[Bonus1]:[p2]])</f>
        <v>64443.180800000002</v>
      </c>
      <c r="P38" s="71">
        <f>IF(Tabla22[[#This Row],[QualityBonus]]&gt;0,Tabla22[[#This Row],[No wages]]-$C$4,"")</f>
        <v>17573.35520822784</v>
      </c>
      <c r="S38" s="45"/>
      <c r="T38" s="45"/>
      <c r="U38" s="45"/>
      <c r="V38" s="45"/>
    </row>
    <row r="39" spans="1:22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25170.516000000003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33252</v>
      </c>
      <c r="N39" s="71">
        <f>IF(Tabla22[[#This Row],[Req.2]]&gt;0,(Tabla22[[#This Row],[Base price2]]-LOOKUP(Tabla22[[#This Row],[Product2]],$R$18:$R$23,$S$18:$S$23))*Tabla22[[#This Row],[Req.2]],0)</f>
        <v>31495</v>
      </c>
      <c r="O39" s="74">
        <f>SUM(Tabla22[[#This Row],[Bonus1]:[p2]])</f>
        <v>111462.984</v>
      </c>
      <c r="P39" s="71">
        <f>IF(Tabla22[[#This Row],[QualityBonus]]&gt;0,Tabla22[[#This Row],[No wages]]-$C$4,"")</f>
        <v>64593.158408227835</v>
      </c>
    </row>
    <row r="40" spans="1:22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42172.254400000005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10492</v>
      </c>
      <c r="N40" s="71">
        <f>IF(Tabla22[[#This Row],[Req.2]]&gt;0,(Tabla22[[#This Row],[Base price2]]-LOOKUP(Tabla22[[#This Row],[Product2]],$R$18:$R$23,$S$18:$S$23))*Tabla22[[#This Row],[Req.2]],0)</f>
        <v>29385</v>
      </c>
      <c r="O40" s="74">
        <f>SUM(Tabla22[[#This Row],[Bonus1]:[p2]])</f>
        <v>100725.1364</v>
      </c>
      <c r="P40" s="71">
        <f>IF(Tabla22[[#This Row],[QualityBonus]]&gt;0,Tabla22[[#This Row],[No wages]]-$C$4,"")</f>
        <v>53855.310808227841</v>
      </c>
    </row>
    <row r="41" spans="1:22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23787</v>
      </c>
      <c r="N41" s="71">
        <f>IF(Tabla22[[#This Row],[Req.2]]&gt;0,(Tabla22[[#This Row],[Base price2]]-LOOKUP(Tabla22[[#This Row],[Product2]],$R$18:$R$23,$S$18:$S$23))*Tabla22[[#This Row],[Req.2]],0)</f>
        <v>18246</v>
      </c>
      <c r="O41" s="74">
        <f>SUM(Tabla22[[#This Row],[Bonus1]:[p2]])</f>
        <v>82622.457599999994</v>
      </c>
      <c r="P41" s="71">
        <f>IF(Tabla22[[#This Row],[QualityBonus]]&gt;0,Tabla22[[#This Row],[No wages]]-$C$4,"")</f>
        <v>35752.632008227833</v>
      </c>
    </row>
    <row r="42" spans="1:22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4">
        <f>IFERROR((Tabla22[[#This Row],[Base price1]]-LOOKUP(Tabla22[[#This Row],[Product]],$R$18:$R$23,$S$18:$S$23))*Tabla22[[#This Row],[Req.]],0)</f>
        <v>37455</v>
      </c>
      <c r="N42" s="71">
        <f>IF(Tabla22[[#This Row],[Req.2]]&gt;0,(Tabla22[[#This Row],[Base price2]]-LOOKUP(Tabla22[[#This Row],[Product2]],$R$18:$R$23,$S$18:$S$23))*Tabla22[[#This Row],[Req.2]],0)</f>
        <v>23775</v>
      </c>
      <c r="O42" s="74">
        <f>SUM(Tabla22[[#This Row],[Bonus1]:[p2]])</f>
        <v>109918.7295</v>
      </c>
      <c r="P42" s="71">
        <f>IF(Tabla22[[#This Row],[QualityBonus]]&gt;0,Tabla22[[#This Row],[No wages]]-$C$4,"")</f>
        <v>63048.90390822784</v>
      </c>
    </row>
    <row r="43" spans="1:22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33520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50756.383999999998</v>
      </c>
      <c r="P43" s="71">
        <f>IF(Tabla22[[#This Row],[QualityBonus]]&gt;0,Tabla22[[#This Row],[No wages]]-$C$4,"")</f>
        <v>3886.5584082278365</v>
      </c>
    </row>
    <row r="44" spans="1:22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4">
        <f>IFERROR((Tabla22[[#This Row],[Base price1]]-LOOKUP(Tabla22[[#This Row],[Product]],$R$18:$R$23,$S$18:$S$23))*Tabla22[[#This Row],[Req.]],0)</f>
        <v>37040</v>
      </c>
      <c r="N44" s="71">
        <f>IF(Tabla22[[#This Row],[Req.2]]&gt;0,(Tabla22[[#This Row],[Base price2]]-LOOKUP(Tabla22[[#This Row],[Product2]],$R$18:$R$23,$S$18:$S$23))*Tabla22[[#This Row],[Req.2]],0)</f>
        <v>41372</v>
      </c>
      <c r="O44" s="74">
        <f>SUM(Tabla22[[#This Row],[Bonus1]:[p2]])</f>
        <v>102736.534</v>
      </c>
      <c r="P44" s="71">
        <f>IF(Tabla22[[#This Row],[QualityBonus]]&gt;0,Tabla22[[#This Row],[No wages]]-$C$4,"")</f>
        <v>55866.708408227838</v>
      </c>
    </row>
    <row r="45" spans="1:22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41225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63296.399999999994</v>
      </c>
      <c r="P45" s="71">
        <f>IF(Tabla22[[#This Row],[QualityBonus]]&gt;0,Tabla22[[#This Row],[No wages]]-$C$4,"")</f>
        <v>16426.574408227832</v>
      </c>
    </row>
    <row r="46" spans="1:22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41235.281999999999</v>
      </c>
      <c r="M46" s="74">
        <f>IFERROR((Tabla22[[#This Row],[Base price1]]-LOOKUP(Tabla22[[#This Row],[Product]],$R$18:$R$23,$S$18:$S$23))*Tabla22[[#This Row],[Req.]],0)</f>
        <v>13858</v>
      </c>
      <c r="N46" s="71">
        <f>IF(Tabla22[[#This Row],[Req.2]]&gt;0,(Tabla22[[#This Row],[Base price2]]-LOOKUP(Tabla22[[#This Row],[Product2]],$R$18:$R$23,$S$18:$S$23))*Tabla22[[#This Row],[Req.2]],0)</f>
        <v>28914</v>
      </c>
      <c r="O46" s="74">
        <f>SUM(Tabla22[[#This Row],[Bonus1]:[p2]])</f>
        <v>91443.405200000008</v>
      </c>
      <c r="P46" s="71">
        <f>IF(Tabla22[[#This Row],[QualityBonus]]&gt;0,Tabla22[[#This Row],[No wages]]-$C$4,"")</f>
        <v>44573.579608227847</v>
      </c>
    </row>
    <row r="47" spans="1:22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9020.3040000000019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8948</v>
      </c>
      <c r="N47" s="71">
        <f>IF(Tabla22[[#This Row],[Req.2]]&gt;0,(Tabla22[[#This Row],[Base price2]]-LOOKUP(Tabla22[[#This Row],[Product2]],$R$18:$R$23,$S$18:$S$23))*Tabla22[[#This Row],[Req.2]],0)</f>
        <v>20460</v>
      </c>
      <c r="O47" s="74">
        <f>SUM(Tabla22[[#This Row],[Bonus1]:[p2]])</f>
        <v>52998.608</v>
      </c>
      <c r="P47" s="71">
        <f>IF(Tabla22[[#This Row],[QualityBonus]]&gt;0,Tabla22[[#This Row],[No wages]]-$C$4,"")</f>
        <v>6128.7824082278385</v>
      </c>
    </row>
    <row r="48" spans="1:22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31084.680000000004</v>
      </c>
      <c r="L48" s="71">
        <f>IF(Tabla22[[#This Row],[Req.2]]&gt;0,LOOKUP(Tabla22[[#This Row],[Product2]],$R$18:$R$23,$T$18:$T$23)*Tabla22[[#This Row],[Base price2]]*Tabla22[[#This Row],[Req.2]]*Tabla22[[#This Row],[QualityBonus]],0)</f>
        <v>10924.672</v>
      </c>
      <c r="M48" s="74">
        <f>IFERROR((Tabla22[[#This Row],[Base price1]]-LOOKUP(Tabla22[[#This Row],[Product]],$R$18:$R$23,$S$18:$S$23))*Tabla22[[#This Row],[Req.]],0)</f>
        <v>17235</v>
      </c>
      <c r="N48" s="71">
        <f>IF(Tabla22[[#This Row],[Req.2]]&gt;0,(Tabla22[[#This Row],[Base price2]]-LOOKUP(Tabla22[[#This Row],[Product2]],$R$18:$R$23,$S$18:$S$23))*Tabla22[[#This Row],[Req.2]],0)</f>
        <v>20144</v>
      </c>
      <c r="O48" s="74">
        <f>SUM(Tabla22[[#This Row],[Bonus1]:[p2]])</f>
        <v>79388.352000000014</v>
      </c>
      <c r="P48" s="71">
        <f>IF(Tabla22[[#This Row],[QualityBonus]]&gt;0,Tabla22[[#This Row],[No wages]]-$C$4,"")</f>
        <v>32518.526408227852</v>
      </c>
    </row>
    <row r="49" spans="1:16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5354.915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10999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16353.915000000001</v>
      </c>
      <c r="P49" s="71">
        <f>IF(Tabla22[[#This Row],[QualityBonus]]&gt;0,Tabla22[[#This Row],[No wages]]-$C$4,"")</f>
        <v>-30515.910591772161</v>
      </c>
    </row>
    <row r="50" spans="1:16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16529.712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5232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21761.712</v>
      </c>
      <c r="P50" s="72">
        <f>IF(Tabla22[[#This Row],[QualityBonus]]&gt;0,Tabla22[[#This Row],[No wages]]-$C$4,"")</f>
        <v>-25108.113591772162</v>
      </c>
    </row>
    <row r="51" spans="1:16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19824</v>
      </c>
      <c r="N51" s="71">
        <f>IF(Tabla22[[#This Row],[Req.2]]&gt;0,(Tabla22[[#This Row],[Base price2]]-LOOKUP(Tabla22[[#This Row],[Product2]],$R$18:$R$23,$S$18:$S$23))*Tabla22[[#This Row],[Req.2]],0)</f>
        <v>41830</v>
      </c>
      <c r="O51" s="74">
        <f>SUM(Tabla22[[#This Row],[Bonus1]:[p2]])</f>
        <v>119387.32399999999</v>
      </c>
      <c r="P51" s="71">
        <f>IF(Tabla22[[#This Row],[QualityBonus]]&gt;0,Tabla22[[#This Row],[No wages]]-$C$4,"")</f>
        <v>72517.498408227839</v>
      </c>
    </row>
    <row r="52" spans="1:16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32516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50124.864000000001</v>
      </c>
      <c r="P52" s="71">
        <f>IF(Tabla22[[#This Row],[QualityBonus]]&gt;0,Tabla22[[#This Row],[No wages]]-$C$4,"")</f>
        <v>3255.0384082278397</v>
      </c>
    </row>
    <row r="53" spans="1:16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43211.110499999995</v>
      </c>
      <c r="M53" s="74">
        <f>IFERROR((Tabla22[[#This Row],[Base price1]]-LOOKUP(Tabla22[[#This Row],[Product]],$R$18:$R$23,$S$18:$S$23))*Tabla22[[#This Row],[Req.]],0)</f>
        <v>14218</v>
      </c>
      <c r="N53" s="71">
        <f>IF(Tabla22[[#This Row],[Req.2]]&gt;0,(Tabla22[[#This Row],[Base price2]]-LOOKUP(Tabla22[[#This Row],[Product2]],$R$18:$R$23,$S$18:$S$23))*Tabla22[[#This Row],[Req.2]],0)</f>
        <v>19647</v>
      </c>
      <c r="O53" s="74">
        <f>SUM(Tabla22[[#This Row],[Bonus1]:[p2]])</f>
        <v>85106.580099999992</v>
      </c>
      <c r="P53" s="71">
        <f>IF(Tabla22[[#This Row],[QualityBonus]]&gt;0,Tabla22[[#This Row],[No wages]]-$C$4,"")</f>
        <v>38236.75450822783</v>
      </c>
    </row>
    <row r="54" spans="1:16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22500</v>
      </c>
      <c r="N54" s="71">
        <f>IF(Tabla22[[#This Row],[Req.2]]&gt;0,(Tabla22[[#This Row],[Base price2]]-LOOKUP(Tabla22[[#This Row],[Product2]],$R$18:$R$23,$S$18:$S$23))*Tabla22[[#This Row],[Req.2]],0)</f>
        <v>8334</v>
      </c>
      <c r="O54" s="74">
        <f>SUM(Tabla22[[#This Row],[Bonus1]:[p2]])</f>
        <v>45042.364799999996</v>
      </c>
      <c r="P54" s="71">
        <f>IF(Tabla22[[#This Row],[QualityBonus]]&gt;0,Tabla22[[#This Row],[No wages]]-$C$4,"")</f>
        <v>-1827.460791772166</v>
      </c>
    </row>
    <row r="55" spans="1:16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14136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21828.355199999998</v>
      </c>
      <c r="P55" s="71">
        <f>IF(Tabla22[[#This Row],[QualityBonus]]&gt;0,Tabla22[[#This Row],[No wages]]-$C$4,"")</f>
        <v>-25041.470391772164</v>
      </c>
    </row>
    <row r="56" spans="1:16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30144</v>
      </c>
      <c r="N56" s="71">
        <f>IF(Tabla22[[#This Row],[Req.2]]&gt;0,(Tabla22[[#This Row],[Base price2]]-LOOKUP(Tabla22[[#This Row],[Product2]],$R$18:$R$23,$S$18:$S$23))*Tabla22[[#This Row],[Req.2]],0)</f>
        <v>39125</v>
      </c>
      <c r="O56" s="74">
        <f>SUM(Tabla22[[#This Row],[Bonus1]:[p2]])</f>
        <v>117426.85680000001</v>
      </c>
      <c r="P56" s="71">
        <f>IF(Tabla22[[#This Row],[QualityBonus]]&gt;0,Tabla22[[#This Row],[No wages]]-$C$4,"")</f>
        <v>70557.031208227854</v>
      </c>
    </row>
    <row r="57" spans="1:16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12098.394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18206</v>
      </c>
      <c r="N57" s="71">
        <f>IF(Tabla22[[#This Row],[Req.2]]&gt;0,(Tabla22[[#This Row],[Base price2]]-LOOKUP(Tabla22[[#This Row],[Product2]],$R$18:$R$23,$S$18:$S$23))*Tabla22[[#This Row],[Req.2]],0)</f>
        <v>15742</v>
      </c>
      <c r="O57" s="74">
        <f>SUM(Tabla22[[#This Row],[Bonus1]:[p2]])</f>
        <v>52710.440399999999</v>
      </c>
      <c r="P57" s="71">
        <f>IF(Tabla22[[#This Row],[QualityBonus]]&gt;0,Tabla22[[#This Row],[No wages]]-$C$4,"")</f>
        <v>5840.6148082278378</v>
      </c>
    </row>
    <row r="58" spans="1:16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11588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14851.510399999999</v>
      </c>
      <c r="P58" s="72">
        <f>IF(Tabla22[[#This Row],[QualityBonus]]&gt;0,Tabla22[[#This Row],[No wages]]-$C$4,"")</f>
        <v>-32018.315191772163</v>
      </c>
    </row>
    <row r="59" spans="1:16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40509.9</v>
      </c>
      <c r="M59" s="74">
        <f>IFERROR((Tabla22[[#This Row],[Base price1]]-LOOKUP(Tabla22[[#This Row],[Product]],$R$18:$R$23,$S$18:$S$23))*Tabla22[[#This Row],[Req.]],0)</f>
        <v>27548</v>
      </c>
      <c r="N59" s="71">
        <f>IF(Tabla22[[#This Row],[Req.2]]&gt;0,(Tabla22[[#This Row],[Base price2]]-LOOKUP(Tabla22[[#This Row],[Product2]],$R$18:$R$23,$S$18:$S$23))*Tabla22[[#This Row],[Req.2]],0)</f>
        <v>19350</v>
      </c>
      <c r="O59" s="74">
        <f>SUM(Tabla22[[#This Row],[Bonus1]:[p2]])</f>
        <v>102396.4376</v>
      </c>
      <c r="P59" s="71">
        <f>IF(Tabla22[[#This Row],[QualityBonus]]&gt;0,Tabla22[[#This Row],[No wages]]-$C$4,"")</f>
        <v>55526.612008227843</v>
      </c>
    </row>
    <row r="60" spans="1:16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30450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44470.92</v>
      </c>
      <c r="P60" s="71">
        <f>IF(Tabla22[[#This Row],[QualityBonus]]&gt;0,Tabla22[[#This Row],[No wages]]-$C$4,"")</f>
        <v>-2398.9055917721635</v>
      </c>
    </row>
    <row r="61" spans="1:16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26602.86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27468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54070.86</v>
      </c>
      <c r="P61" s="71">
        <f>IF(Tabla22[[#This Row],[QualityBonus]]&gt;0,Tabla22[[#This Row],[No wages]]-$C$4,"")</f>
        <v>7201.0344082278389</v>
      </c>
    </row>
    <row r="62" spans="1:16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19923</v>
      </c>
      <c r="N62" s="71">
        <f>IF(Tabla22[[#This Row],[Req.2]]&gt;0,(Tabla22[[#This Row],[Base price2]]-LOOKUP(Tabla22[[#This Row],[Product2]],$R$18:$R$23,$S$18:$S$23))*Tabla22[[#This Row],[Req.2]],0)</f>
        <v>29108</v>
      </c>
      <c r="O62" s="74">
        <f>SUM(Tabla22[[#This Row],[Bonus1]:[p2]])</f>
        <v>77405.217199999999</v>
      </c>
      <c r="P62" s="71">
        <f>IF(Tabla22[[#This Row],[QualityBonus]]&gt;0,Tabla22[[#This Row],[No wages]]-$C$4,"")</f>
        <v>30535.391608227837</v>
      </c>
    </row>
    <row r="63" spans="1:16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13019.028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20584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33603.027999999998</v>
      </c>
      <c r="P63" s="71">
        <f>IF(Tabla22[[#This Row],[QualityBonus]]&gt;0,Tabla22[[#This Row],[No wages]]-$C$4,"")</f>
        <v>-13266.797591772163</v>
      </c>
    </row>
    <row r="64" spans="1:16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32640.400000000001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43080</v>
      </c>
      <c r="N64" s="71">
        <f>IF(Tabla22[[#This Row],[Req.2]]&gt;0,(Tabla22[[#This Row],[Base price2]]-LOOKUP(Tabla22[[#This Row],[Product2]],$R$18:$R$23,$S$18:$S$23))*Tabla22[[#This Row],[Req.2]],0)</f>
        <v>6716</v>
      </c>
      <c r="O64" s="74">
        <f>SUM(Tabla22[[#This Row],[Bonus1]:[p2]])</f>
        <v>91246.864000000001</v>
      </c>
      <c r="P64" s="73">
        <f>IF(Tabla22[[#This Row],[QualityBonus]]&gt;0,Tabla22[[#This Row],[No wages]]-$C$4,"")</f>
        <v>44377.03840822784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10685.277</v>
      </c>
      <c r="M65" s="74">
        <f>IFERROR((Tabla22[[#This Row],[Base price1]]-LOOKUP(Tabla22[[#This Row],[Product]],$R$18:$R$23,$S$18:$S$23))*Tabla22[[#This Row],[Req.]],0)</f>
        <v>41910</v>
      </c>
      <c r="N65" s="71">
        <f>IF(Tabla22[[#This Row],[Req.2]]&gt;0,(Tabla22[[#This Row],[Base price2]]-LOOKUP(Tabla22[[#This Row],[Product2]],$R$18:$R$23,$S$18:$S$23))*Tabla22[[#This Row],[Req.2]],0)</f>
        <v>20974</v>
      </c>
      <c r="O65" s="74">
        <f>SUM(Tabla22[[#This Row],[Bonus1]:[p2]])</f>
        <v>88132.320999999996</v>
      </c>
      <c r="P65" s="73">
        <f>IF(Tabla22[[#This Row],[QualityBonus]]&gt;0,Tabla22[[#This Row],[No wages]]-$C$4,"")</f>
        <v>41262.495408227835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6060.4320000000007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14832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20892.432000000001</v>
      </c>
      <c r="P66" s="73">
        <f>IF(Tabla22[[#This Row],[QualityBonus]]&gt;0,Tabla22[[#This Row],[No wages]]-$C$4,"")</f>
        <v>-25977.393591772161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42010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65100.284</v>
      </c>
      <c r="P67" s="73">
        <f>IF(Tabla22[[#This Row],[QualityBonus]]&gt;0,Tabla22[[#This Row],[No wages]]-$C$4,"")</f>
        <v>18230.458408227838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291351.06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-39525</v>
      </c>
      <c r="N68" s="71">
        <f>IF(Tabla22[[#This Row],[Req.2]]&gt;0,(Tabla22[[#This Row],[Base price2]]-LOOKUP(Tabla22[[#This Row],[Product2]],$R$18:$R$23,$S$18:$S$23))*Tabla22[[#This Row],[Req.2]],0)</f>
        <v>29505</v>
      </c>
      <c r="O68" s="74">
        <f>SUM(Tabla22[[#This Row],[Bonus1]:[p2]])</f>
        <v>304910.44799999997</v>
      </c>
      <c r="P68" s="73">
        <f>IF(Tabla22[[#This Row],[QualityBonus]]&gt;0,Tabla22[[#This Row],[No wages]]-$C$4,"")</f>
        <v>258040.62240822782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9097.1160000000018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9467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18564.116000000002</v>
      </c>
      <c r="P69" s="73">
        <f>IF(Tabla22[[#This Row],[QualityBonus]]&gt;0,Tabla22[[#This Row],[No wages]]-$C$4,"")</f>
        <v>-28305.70959177216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11393.818499999999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7307</v>
      </c>
      <c r="N70" s="71">
        <f>IF(Tabla22[[#This Row],[Req.2]]&gt;0,(Tabla22[[#This Row],[Base price2]]-LOOKUP(Tabla22[[#This Row],[Product2]],$R$18:$R$23,$S$18:$S$23))*Tabla22[[#This Row],[Req.2]],0)</f>
        <v>25110</v>
      </c>
      <c r="O70" s="74">
        <f>SUM(Tabla22[[#This Row],[Bonus1]:[p2]])</f>
        <v>53567.862500000003</v>
      </c>
      <c r="P70" s="73">
        <f>IF(Tabla22[[#This Row],[QualityBonus]]&gt;0,Tabla22[[#This Row],[No wages]]-$C$4,"")</f>
        <v>6698.0369082278412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4933.2815000000001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9283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14216.281500000001</v>
      </c>
      <c r="P71" s="71">
        <f>IF(Tabla22[[#This Row],[QualityBonus]]&gt;0,Tabla22[[#This Row],[No wages]]-$C$4,"")</f>
        <v>-32653.544091772161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5">
        <f>IFERROR((Tabla22[[#This Row],[Base price1]]-LOOKUP(Tabla22[[#This Row],[Product]],$R$18:$R$23,$S$18:$S$23))*Tabla22[[#This Row],[Req.]],0)</f>
        <v>6255</v>
      </c>
      <c r="N72" s="72">
        <f>IF(Tabla22[[#This Row],[Req.2]]&gt;0,(Tabla22[[#This Row],[Base price2]]-LOOKUP(Tabla22[[#This Row],[Product2]],$R$18:$R$23,$S$18:$S$23))*Tabla22[[#This Row],[Req.2]],0)</f>
        <v>7249</v>
      </c>
      <c r="O72" s="75">
        <f>SUM(Tabla22[[#This Row],[Bonus1]:[p2]])</f>
        <v>27372.503499999999</v>
      </c>
      <c r="P72" s="72">
        <f>IF(Tabla22[[#This Row],[QualityBonus]]&gt;0,Tabla22[[#This Row],[No wages]]-$C$4,"")</f>
        <v>-19497.322091772163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9856.1980000000021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20762</v>
      </c>
      <c r="N73" s="71">
        <f>IF(Tabla22[[#This Row],[Req.2]]&gt;0,(Tabla22[[#This Row],[Base price2]]-LOOKUP(Tabla22[[#This Row],[Product2]],$R$18:$R$23,$S$18:$S$23))*Tabla22[[#This Row],[Req.2]],0)</f>
        <v>22986</v>
      </c>
      <c r="O73" s="74">
        <f>SUM(Tabla22[[#This Row],[Bonus1]:[p2]])</f>
        <v>61541.233200000002</v>
      </c>
      <c r="P73" s="73">
        <f>IF(Tabla22[[#This Row],[QualityBonus]]&gt;0,Tabla22[[#This Row],[No wages]]-$C$4,"")</f>
        <v>14671.407608227841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14686.98</v>
      </c>
      <c r="M74" s="74">
        <f>IFERROR((Tabla22[[#This Row],[Base price1]]-LOOKUP(Tabla22[[#This Row],[Product]],$R$18:$R$23,$S$18:$S$23))*Tabla22[[#This Row],[Req.]],0)</f>
        <v>12408</v>
      </c>
      <c r="N74" s="71">
        <f>IF(Tabla22[[#This Row],[Req.2]]&gt;0,(Tabla22[[#This Row],[Base price2]]-LOOKUP(Tabla22[[#This Row],[Product2]],$R$18:$R$23,$S$18:$S$23))*Tabla22[[#This Row],[Req.2]],0)</f>
        <v>18760</v>
      </c>
      <c r="O74" s="74">
        <f>SUM(Tabla22[[#This Row],[Bonus1]:[p2]])</f>
        <v>49766.087199999994</v>
      </c>
      <c r="P74" s="73">
        <f>IF(Tabla22[[#This Row],[QualityBonus]]&gt;0,Tabla22[[#This Row],[No wages]]-$C$4,"")</f>
        <v>2896.2616082278328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14508.351999999999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42144</v>
      </c>
      <c r="N75" s="71">
        <f>IF(Tabla22[[#This Row],[Req.2]]&gt;0,(Tabla22[[#This Row],[Base price2]]-LOOKUP(Tabla22[[#This Row],[Product2]],$R$18:$R$23,$S$18:$S$23))*Tabla22[[#This Row],[Req.2]],0)</f>
        <v>15424</v>
      </c>
      <c r="O75" s="74">
        <f>SUM(Tabla22[[#This Row],[Bonus1]:[p2]])</f>
        <v>75965.785600000003</v>
      </c>
      <c r="P75" s="73">
        <f>IF(Tabla22[[#This Row],[QualityBonus]]&gt;0,Tabla22[[#This Row],[No wages]]-$C$4,"")</f>
        <v>29095.960008227841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4">
        <f>IFERROR((Tabla22[[#This Row],[Base price1]]-LOOKUP(Tabla22[[#This Row],[Product]],$R$18:$R$23,$S$18:$S$23))*Tabla22[[#This Row],[Req.]],0)</f>
        <v>25520</v>
      </c>
      <c r="N76" s="71">
        <f>IF(Tabla22[[#This Row],[Req.2]]&gt;0,(Tabla22[[#This Row],[Base price2]]-LOOKUP(Tabla22[[#This Row],[Product2]],$R$18:$R$23,$S$18:$S$23))*Tabla22[[#This Row],[Req.2]],0)</f>
        <v>7385</v>
      </c>
      <c r="O76" s="74">
        <f>SUM(Tabla22[[#This Row],[Bonus1]:[p2]])</f>
        <v>52112.961499999998</v>
      </c>
      <c r="P76" s="73">
        <f>IF(Tabla22[[#This Row],[QualityBonus]]&gt;0,Tabla22[[#This Row],[No wages]]-$C$4,"")</f>
        <v>5243.1359082278359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19730.916000000001</v>
      </c>
      <c r="L77" s="71">
        <f>IF(Tabla22[[#This Row],[Req.2]]&gt;0,LOOKUP(Tabla22[[#This Row],[Product2]],$R$18:$R$23,$T$18:$T$23)*Tabla22[[#This Row],[Base price2]]*Tabla22[[#This Row],[Req.2]]*Tabla22[[#This Row],[QualityBonus]],0)</f>
        <v>39165.462</v>
      </c>
      <c r="M77" s="74">
        <f>IFERROR((Tabla22[[#This Row],[Base price1]]-LOOKUP(Tabla22[[#This Row],[Product]],$R$18:$R$23,$S$18:$S$23))*Tabla22[[#This Row],[Req.]],0)</f>
        <v>1195</v>
      </c>
      <c r="N77" s="71">
        <f>IF(Tabla22[[#This Row],[Req.2]]&gt;0,(Tabla22[[#This Row],[Base price2]]-LOOKUP(Tabla22[[#This Row],[Product2]],$R$18:$R$23,$S$18:$S$23))*Tabla22[[#This Row],[Req.2]],0)</f>
        <v>16842</v>
      </c>
      <c r="O77" s="74">
        <f>SUM(Tabla22[[#This Row],[Bonus1]:[p2]])</f>
        <v>76933.377999999997</v>
      </c>
      <c r="P77" s="73">
        <f>IF(Tabla22[[#This Row],[QualityBonus]]&gt;0,Tabla22[[#This Row],[No wages]]-$C$4,"")</f>
        <v>30063.552408227835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12835.166999999999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8518</v>
      </c>
      <c r="N78" s="71">
        <f>IF(Tabla22[[#This Row],[Req.2]]&gt;0,(Tabla22[[#This Row],[Base price2]]-LOOKUP(Tabla22[[#This Row],[Product2]],$R$18:$R$23,$S$18:$S$23))*Tabla22[[#This Row],[Req.2]],0)</f>
        <v>18738</v>
      </c>
      <c r="O78" s="74">
        <f>SUM(Tabla22[[#This Row],[Bonus1]:[p2]])</f>
        <v>50429.164600000004</v>
      </c>
      <c r="P78" s="73">
        <f>IF(Tabla22[[#This Row],[QualityBonus]]&gt;0,Tabla22[[#This Row],[No wages]]-$C$4,"")</f>
        <v>3559.339008227842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32814.65</v>
      </c>
      <c r="M79" s="74">
        <f>IFERROR((Tabla22[[#This Row],[Base price1]]-LOOKUP(Tabla22[[#This Row],[Product]],$R$18:$R$23,$S$18:$S$23))*Tabla22[[#This Row],[Req.]],0)</f>
        <v>13464</v>
      </c>
      <c r="N79" s="71">
        <f>IF(Tabla22[[#This Row],[Req.2]]&gt;0,(Tabla22[[#This Row],[Base price2]]-LOOKUP(Tabla22[[#This Row],[Product2]],$R$18:$R$23,$S$18:$S$23))*Tabla22[[#This Row],[Req.2]],0)</f>
        <v>30652</v>
      </c>
      <c r="O79" s="74">
        <f>SUM(Tabla22[[#This Row],[Bonus1]:[p2]])</f>
        <v>85935.69</v>
      </c>
      <c r="P79" s="73">
        <f>IF(Tabla22[[#This Row],[QualityBonus]]&gt;0,Tabla22[[#This Row],[No wages]]-$C$4,"")</f>
        <v>39065.864408227841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4">
        <f>IFERROR((Tabla22[[#This Row],[Base price1]]-LOOKUP(Tabla22[[#This Row],[Product]],$R$18:$R$23,$S$18:$S$23))*Tabla22[[#This Row],[Req.]],0)</f>
        <v>19215</v>
      </c>
      <c r="N80" s="71">
        <f>IF(Tabla22[[#This Row],[Req.2]]&gt;0,(Tabla22[[#This Row],[Base price2]]-LOOKUP(Tabla22[[#This Row],[Product2]],$R$18:$R$23,$S$18:$S$23))*Tabla22[[#This Row],[Req.2]],0)</f>
        <v>10919</v>
      </c>
      <c r="O80" s="74">
        <f>SUM(Tabla22[[#This Row],[Bonus1]:[p2]])</f>
        <v>46491.842000000004</v>
      </c>
      <c r="P80" s="73">
        <f>IF(Tabla22[[#This Row],[QualityBonus]]&gt;0,Tabla22[[#This Row],[No wages]]-$C$4,"")</f>
        <v>-377.98359177215752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4">
        <f>IFERROR((Tabla22[[#This Row],[Base price1]]-LOOKUP(Tabla22[[#This Row],[Product]],$R$18:$R$23,$S$18:$S$23))*Tabla22[[#This Row],[Req.]],0)</f>
        <v>15426</v>
      </c>
      <c r="N81" s="71">
        <f>IF(Tabla22[[#This Row],[Req.2]]&gt;0,(Tabla22[[#This Row],[Base price2]]-LOOKUP(Tabla22[[#This Row],[Product2]],$R$18:$R$23,$S$18:$S$23))*Tabla22[[#This Row],[Req.2]],0)</f>
        <v>7770</v>
      </c>
      <c r="O81" s="74">
        <f>SUM(Tabla22[[#This Row],[Bonus1]:[p2]])</f>
        <v>35688.8338</v>
      </c>
      <c r="P81" s="73">
        <f>IF(Tabla22[[#This Row],[QualityBonus]]&gt;0,Tabla22[[#This Row],[No wages]]-$C$4,"")</f>
        <v>-11180.991791772161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30662.155999999999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30616</v>
      </c>
      <c r="N82" s="71">
        <f>IF(Tabla22[[#This Row],[Req.2]]&gt;0,(Tabla22[[#This Row],[Base price2]]-LOOKUP(Tabla22[[#This Row],[Product2]],$R$18:$R$23,$S$18:$S$23))*Tabla22[[#This Row],[Req.2]],0)</f>
        <v>23835</v>
      </c>
      <c r="O82" s="74">
        <f>SUM(Tabla22[[#This Row],[Bonus1]:[p2]])</f>
        <v>98110.673999999999</v>
      </c>
      <c r="P82" s="73">
        <f>IF(Tabla22[[#This Row],[QualityBonus]]&gt;0,Tabla22[[#This Row],[No wages]]-$C$4,"")</f>
        <v>51240.848408227837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28595.392</v>
      </c>
      <c r="M83" s="74">
        <f>IFERROR((Tabla22[[#This Row],[Base price1]]-LOOKUP(Tabla22[[#This Row],[Product]],$R$18:$R$23,$S$18:$S$23))*Tabla22[[#This Row],[Req.]],0)</f>
        <v>24096</v>
      </c>
      <c r="N83" s="71">
        <f>IF(Tabla22[[#This Row],[Req.2]]&gt;0,(Tabla22[[#This Row],[Base price2]]-LOOKUP(Tabla22[[#This Row],[Product2]],$R$18:$R$23,$S$18:$S$23))*Tabla22[[#This Row],[Req.2]],0)</f>
        <v>38512</v>
      </c>
      <c r="O83" s="74">
        <f>SUM(Tabla22[[#This Row],[Bonus1]:[p2]])</f>
        <v>102960.78080000001</v>
      </c>
      <c r="P83" s="73">
        <f>IF(Tabla22[[#This Row],[QualityBonus]]&gt;0,Tabla22[[#This Row],[No wages]]-$C$4,"")</f>
        <v>56090.955208227846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17123.68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18312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35435.68</v>
      </c>
      <c r="P84" s="73">
        <f>IF(Tabla22[[#This Row],[QualityBonus]]&gt;0,Tabla22[[#This Row],[No wages]]-$C$4,"")</f>
        <v>-11434.145591772161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17034.45</v>
      </c>
      <c r="M85" s="74">
        <f>IFERROR((Tabla22[[#This Row],[Base price1]]-LOOKUP(Tabla22[[#This Row],[Product]],$R$18:$R$23,$S$18:$S$23))*Tabla22[[#This Row],[Req.]],0)</f>
        <v>22152</v>
      </c>
      <c r="N85" s="71">
        <f>IF(Tabla22[[#This Row],[Req.2]]&gt;0,(Tabla22[[#This Row],[Base price2]]-LOOKUP(Tabla22[[#This Row],[Product2]],$R$18:$R$23,$S$18:$S$23))*Tabla22[[#This Row],[Req.2]],0)</f>
        <v>18550</v>
      </c>
      <c r="O85" s="74">
        <f>SUM(Tabla22[[#This Row],[Bonus1]:[p2]])</f>
        <v>86220.5524</v>
      </c>
      <c r="P85" s="73">
        <f>IF(Tabla22[[#This Row],[QualityBonus]]&gt;0,Tabla22[[#This Row],[No wages]]-$C$4,"")</f>
        <v>39350.726808227839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39330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64401.336000000003</v>
      </c>
      <c r="P86" s="73">
        <f>IF(Tabla22[[#This Row],[QualityBonus]]&gt;0,Tabla22[[#This Row],[No wages]]-$C$4,"")</f>
        <v>17531.510408227841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4">
        <f>IFERROR((Tabla22[[#This Row],[Base price1]]-LOOKUP(Tabla22[[#This Row],[Product]],$R$18:$R$23,$S$18:$S$23))*Tabla22[[#This Row],[Req.]],0)</f>
        <v>42350</v>
      </c>
      <c r="N87" s="71">
        <f>IF(Tabla22[[#This Row],[Req.2]]&gt;0,(Tabla22[[#This Row],[Base price2]]-LOOKUP(Tabla22[[#This Row],[Product2]],$R$18:$R$23,$S$18:$S$23))*Tabla22[[#This Row],[Req.2]],0)</f>
        <v>22158</v>
      </c>
      <c r="O87" s="74">
        <f>SUM(Tabla22[[#This Row],[Bonus1]:[p2]])</f>
        <v>105322.046</v>
      </c>
      <c r="P87" s="73">
        <f>IF(Tabla22[[#This Row],[QualityBonus]]&gt;0,Tabla22[[#This Row],[No wages]]-$C$4,"")</f>
        <v>58452.22040822784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20824.209000000003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19558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40382.209000000003</v>
      </c>
      <c r="P88" s="73">
        <f>IF(Tabla22[[#This Row],[QualityBonus]]&gt;0,Tabla22[[#This Row],[No wages]]-$C$4,"")</f>
        <v>-6487.6165917721592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49080.726000000002</v>
      </c>
      <c r="L89" s="71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4">
        <f>IFERROR((Tabla22[[#This Row],[Base price1]]-LOOKUP(Tabla22[[#This Row],[Product]],$R$18:$R$23,$S$18:$S$23))*Tabla22[[#This Row],[Req.]],0)</f>
        <v>22485</v>
      </c>
      <c r="N89" s="71">
        <f>IF(Tabla22[[#This Row],[Req.2]]&gt;0,(Tabla22[[#This Row],[Base price2]]-LOOKUP(Tabla22[[#This Row],[Product2]],$R$18:$R$23,$S$18:$S$23))*Tabla22[[#This Row],[Req.2]],0)</f>
        <v>30393</v>
      </c>
      <c r="O89" s="74">
        <f>SUM(Tabla22[[#This Row],[Bonus1]:[p2]])</f>
        <v>118640.8995</v>
      </c>
      <c r="P89" s="73">
        <f>IF(Tabla22[[#This Row],[QualityBonus]]&gt;0,Tabla22[[#This Row],[No wages]]-$C$4,"")</f>
        <v>71771.073908227845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4">
        <f>IFERROR((Tabla22[[#This Row],[Base price1]]-LOOKUP(Tabla22[[#This Row],[Product]],$R$18:$R$23,$S$18:$S$23))*Tabla22[[#This Row],[Req.]],0)</f>
        <v>26276</v>
      </c>
      <c r="N90" s="71">
        <f>IF(Tabla22[[#This Row],[Req.2]]&gt;0,(Tabla22[[#This Row],[Base price2]]-LOOKUP(Tabla22[[#This Row],[Product2]],$R$18:$R$23,$S$18:$S$23))*Tabla22[[#This Row],[Req.2]],0)</f>
        <v>5341</v>
      </c>
      <c r="O90" s="74">
        <f>SUM(Tabla22[[#This Row],[Bonus1]:[p2]])</f>
        <v>104151.02399999999</v>
      </c>
      <c r="P90" s="73">
        <f>IF(Tabla22[[#This Row],[QualityBonus]]&gt;0,Tabla22[[#This Row],[No wages]]-$C$4,"")</f>
        <v>57281.198408227829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15298.494000000002</v>
      </c>
      <c r="L91" s="71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4">
        <f>IFERROR((Tabla22[[#This Row],[Base price1]]-LOOKUP(Tabla22[[#This Row],[Product]],$R$18:$R$23,$S$18:$S$23))*Tabla22[[#This Row],[Req.]],0)</f>
        <v>30567</v>
      </c>
      <c r="N91" s="71">
        <f>IF(Tabla22[[#This Row],[Req.2]]&gt;0,(Tabla22[[#This Row],[Base price2]]-LOOKUP(Tabla22[[#This Row],[Product2]],$R$18:$R$23,$S$18:$S$23))*Tabla22[[#This Row],[Req.2]],0)</f>
        <v>19488</v>
      </c>
      <c r="O91" s="74">
        <f>SUM(Tabla22[[#This Row],[Bonus1]:[p2]])</f>
        <v>110124.7068</v>
      </c>
      <c r="P91" s="71">
        <f>IF(Tabla22[[#This Row],[QualityBonus]]&gt;0,Tabla22[[#This Row],[No wages]]-$C$4,"")</f>
        <v>63254.881208227838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4742.2479999999996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10398</v>
      </c>
      <c r="N92" s="72">
        <f>IF(Tabla22[[#This Row],[Req.2]]&gt;0,(Tabla22[[#This Row],[Base price2]]-LOOKUP(Tabla22[[#This Row],[Product2]],$R$18:$R$23,$S$18:$S$23))*Tabla22[[#This Row],[Req.2]],0)</f>
        <v>17175</v>
      </c>
      <c r="O92" s="75">
        <f>SUM(Tabla22[[#This Row],[Bonus1]:[p2]])</f>
        <v>47586.688000000002</v>
      </c>
      <c r="P92" s="72">
        <f>IF(Tabla22[[#This Row],[QualityBonus]]&gt;0,Tabla22[[#This Row],[No wages]]-$C$4,"")</f>
        <v>716.86240822784021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4624.7040000000006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10496</v>
      </c>
      <c r="N93" s="71">
        <f>IF(Tabla22[[#This Row],[Req.2]]&gt;0,(Tabla22[[#This Row],[Base price2]]-LOOKUP(Tabla22[[#This Row],[Product2]],$R$18:$R$23,$S$18:$S$23))*Tabla22[[#This Row],[Req.2]],0)</f>
        <v>13190</v>
      </c>
      <c r="O93" s="74">
        <f>SUM(Tabla22[[#This Row],[Bonus1]:[p2]])</f>
        <v>33140.832000000002</v>
      </c>
      <c r="P93" s="71">
        <f>IF(Tabla22[[#This Row],[QualityBonus]]&gt;0,Tabla22[[#This Row],[No wages]]-$C$4,"")</f>
        <v>-13728.99359177216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6">
        <f>IFERROR((Tabla22[[#This Row],[Base price1]]-LOOKUP(Tabla22[[#This Row],[Product]],$R$18:$R$23,$S$18:$S$23))*Tabla22[[#This Row],[Req.]],0)</f>
        <v>36645</v>
      </c>
      <c r="N94" s="71">
        <f>IF(Tabla22[[#This Row],[Req.2]]&gt;0,(Tabla22[[#This Row],[Base price2]]-LOOKUP(Tabla22[[#This Row],[Product2]],$R$18:$R$23,$S$18:$S$23))*Tabla22[[#This Row],[Req.2]],0)</f>
        <v>7468</v>
      </c>
      <c r="O94" s="74">
        <f>SUM(Tabla22[[#This Row],[Bonus1]:[p2]])</f>
        <v>65430.687999999995</v>
      </c>
      <c r="P94" s="71">
        <f>IF(Tabla22[[#This Row],[QualityBonus]]&gt;0,Tabla22[[#This Row],[No wages]]-$C$4,"")</f>
        <v>18560.862408227833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5645.43</v>
      </c>
      <c r="L95" s="71">
        <f>IF(Tabla22[[#This Row],[Req.2]]&gt;0,LOOKUP(Tabla22[[#This Row],[Product2]],$R$18:$R$23,$T$18:$T$23)*Tabla22[[#This Row],[Base price2]]*Tabla22[[#This Row],[Req.2]]*Tabla22[[#This Row],[QualityBonus]],0)</f>
        <v>11412.954</v>
      </c>
      <c r="M95" s="74">
        <f>IFERROR((Tabla22[[#This Row],[Base price1]]-LOOKUP(Tabla22[[#This Row],[Product]],$R$18:$R$23,$S$18:$S$23))*Tabla22[[#This Row],[Req.]],0)</f>
        <v>7740</v>
      </c>
      <c r="N95" s="71">
        <f>IF(Tabla22[[#This Row],[Req.2]]&gt;0,(Tabla22[[#This Row],[Base price2]]-LOOKUP(Tabla22[[#This Row],[Product2]],$R$18:$R$23,$S$18:$S$23))*Tabla22[[#This Row],[Req.2]],0)</f>
        <v>8772</v>
      </c>
      <c r="O95" s="74">
        <f>SUM(Tabla22[[#This Row],[Bonus1]:[p2]])</f>
        <v>33570.383999999998</v>
      </c>
      <c r="P95" s="71">
        <f>IF(Tabla22[[#This Row],[QualityBonus]]&gt;0,Tabla22[[#This Row],[No wages]]-$C$4,"")</f>
        <v>-13299.441591772164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7997</v>
      </c>
      <c r="N96" s="71">
        <f>IF(Tabla22[[#This Row],[Req.2]]&gt;0,(Tabla22[[#This Row],[Base price2]]-LOOKUP(Tabla22[[#This Row],[Product2]],$R$18:$R$23,$S$18:$S$23))*Tabla22[[#This Row],[Req.2]],0)</f>
        <v>21408</v>
      </c>
      <c r="O96" s="74">
        <f>SUM(Tabla22[[#This Row],[Bonus1]:[p2]])</f>
        <v>40073.254000000001</v>
      </c>
      <c r="P96" s="71">
        <f>IF(Tabla22[[#This Row],[QualityBonus]]&gt;0,Tabla22[[#This Row],[No wages]]-$C$4,"")</f>
        <v>-6796.5715917721609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6092.914499999999</v>
      </c>
      <c r="L97" s="71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4">
        <f>IFERROR((Tabla22[[#This Row],[Base price1]]-LOOKUP(Tabla22[[#This Row],[Product]],$R$18:$R$23,$S$18:$S$23))*Tabla22[[#This Row],[Req.]],0)</f>
        <v>9857</v>
      </c>
      <c r="N97" s="71">
        <f>IF(Tabla22[[#This Row],[Req.2]]&gt;0,(Tabla22[[#This Row],[Base price2]]-LOOKUP(Tabla22[[#This Row],[Product2]],$R$18:$R$23,$S$18:$S$23))*Tabla22[[#This Row],[Req.2]],0)</f>
        <v>20442</v>
      </c>
      <c r="O97" s="74">
        <f>SUM(Tabla22[[#This Row],[Bonus1]:[p2]])</f>
        <v>90247.144100000005</v>
      </c>
      <c r="P97" s="71">
        <f>IF(Tabla22[[#This Row],[QualityBonus]]&gt;0,Tabla22[[#This Row],[No wages]]-$C$4,"")</f>
        <v>43377.318508227843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48690.373500000002</v>
      </c>
      <c r="M98" s="74">
        <f>IFERROR((Tabla22[[#This Row],[Base price1]]-LOOKUP(Tabla22[[#This Row],[Product]],$R$18:$R$23,$S$18:$S$23))*Tabla22[[#This Row],[Req.]],0)</f>
        <v>3840</v>
      </c>
      <c r="N98" s="71">
        <f>IF(Tabla22[[#This Row],[Req.2]]&gt;0,(Tabla22[[#This Row],[Base price2]]-LOOKUP(Tabla22[[#This Row],[Product2]],$R$18:$R$23,$S$18:$S$23))*Tabla22[[#This Row],[Req.2]],0)</f>
        <v>34269</v>
      </c>
      <c r="O98" s="74">
        <f>SUM(Tabla22[[#This Row],[Bonus1]:[p2]])</f>
        <v>95408.941500000001</v>
      </c>
      <c r="P98" s="71">
        <f>IF(Tabla22[[#This Row],[QualityBonus]]&gt;0,Tabla22[[#This Row],[No wages]]-$C$4,"")</f>
        <v>48539.115908227839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15300</v>
      </c>
      <c r="N99" s="71">
        <f>IF(Tabla22[[#This Row],[Req.2]]&gt;0,(Tabla22[[#This Row],[Base price2]]-LOOKUP(Tabla22[[#This Row],[Product2]],$R$18:$R$23,$S$18:$S$23))*Tabla22[[#This Row],[Req.2]],0)</f>
        <v>17102</v>
      </c>
      <c r="O99" s="74">
        <f>SUM(Tabla22[[#This Row],[Bonus1]:[p2]])</f>
        <v>51816.231200000002</v>
      </c>
      <c r="P99" s="71">
        <f>IF(Tabla22[[#This Row],[QualityBonus]]&gt;0,Tabla22[[#This Row],[No wages]]-$C$4,"")</f>
        <v>4946.4056082278403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7209.4219999999996</v>
      </c>
      <c r="M100" s="74">
        <f>IFERROR((Tabla22[[#This Row],[Base price1]]-LOOKUP(Tabla22[[#This Row],[Product]],$R$18:$R$23,$S$18:$S$23))*Tabla22[[#This Row],[Req.]],0)</f>
        <v>26060</v>
      </c>
      <c r="N100" s="71">
        <f>IF(Tabla22[[#This Row],[Req.2]]&gt;0,(Tabla22[[#This Row],[Base price2]]-LOOKUP(Tabla22[[#This Row],[Product2]],$R$18:$R$23,$S$18:$S$23))*Tabla22[[#This Row],[Req.2]],0)</f>
        <v>4281</v>
      </c>
      <c r="O100" s="74">
        <f>SUM(Tabla22[[#This Row],[Bonus1]:[p2]])</f>
        <v>45628.277999999998</v>
      </c>
      <c r="P100" s="71">
        <f>IF(Tabla22[[#This Row],[QualityBonus]]&gt;0,Tabla22[[#This Row],[No wages]]-$C$4,"")</f>
        <v>-1241.5475917721633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9804.5760000000009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15568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25372.576000000001</v>
      </c>
      <c r="P101" s="71">
        <f>IF(Tabla22[[#This Row],[QualityBonus]]&gt;0,Tabla22[[#This Row],[No wages]]-$C$4,"")</f>
        <v>-21497.249591772161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12640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22008.224000000002</v>
      </c>
      <c r="P102" s="71">
        <f>IF(Tabla22[[#This Row],[QualityBonus]]&gt;0,Tabla22[[#This Row],[No wages]]-$C$4,"")</f>
        <v>-24861.60159177216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4">
        <f>IFERROR((Tabla22[[#This Row],[Base price1]]-LOOKUP(Tabla22[[#This Row],[Product]],$R$18:$R$23,$S$18:$S$23))*Tabla22[[#This Row],[Req.]],0)</f>
        <v>6835</v>
      </c>
      <c r="N103" s="73">
        <f>IF(Tabla22[[#This Row],[Req.2]]&gt;0,(Tabla22[[#This Row],[Base price2]]-LOOKUP(Tabla22[[#This Row],[Product2]],$R$18:$R$23,$S$18:$S$23))*Tabla22[[#This Row],[Req.2]],0)</f>
        <v>16352</v>
      </c>
      <c r="O103" s="74">
        <f>SUM(Tabla22[[#This Row],[Bonus1]:[p2]])</f>
        <v>38809.26</v>
      </c>
      <c r="P103" s="73">
        <f>IF(Tabla22[[#This Row],[QualityBonus]]&gt;0,Tabla22[[#This Row],[No wages]]-$C$4,"")</f>
        <v>-8060.5655917721597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58254.038</v>
      </c>
      <c r="L104" s="73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4">
        <f>IFERROR((Tabla22[[#This Row],[Base price1]]-LOOKUP(Tabla22[[#This Row],[Product]],$R$18:$R$23,$S$18:$S$23))*Tabla22[[#This Row],[Req.]],0)</f>
        <v>35436</v>
      </c>
      <c r="N104" s="73">
        <f>IF(Tabla22[[#This Row],[Req.2]]&gt;0,(Tabla22[[#This Row],[Base price2]]-LOOKUP(Tabla22[[#This Row],[Product2]],$R$18:$R$23,$S$18:$S$23))*Tabla22[[#This Row],[Req.2]],0)</f>
        <v>14350</v>
      </c>
      <c r="O104" s="74">
        <f>SUM(Tabla22[[#This Row],[Bonus1]:[p2]])</f>
        <v>122301.213</v>
      </c>
      <c r="P104" s="73">
        <f>IF(Tabla22[[#This Row],[QualityBonus]]&gt;0,Tabla22[[#This Row],[No wages]]-$C$4,"")</f>
        <v>75431.387408227834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4491</v>
      </c>
      <c r="N105" s="73">
        <f>IF(Tabla22[[#This Row],[Req.2]]&gt;0,(Tabla22[[#This Row],[Base price2]]-LOOKUP(Tabla22[[#This Row],[Product2]],$R$18:$R$23,$S$18:$S$23))*Tabla22[[#This Row],[Req.2]],0)</f>
        <v>33788</v>
      </c>
      <c r="O105" s="74">
        <f>SUM(Tabla22[[#This Row],[Bonus1]:[p2]])</f>
        <v>52350.1924</v>
      </c>
      <c r="P105" s="73">
        <f>IF(Tabla22[[#This Row],[QualityBonus]]&gt;0,Tabla22[[#This Row],[No wages]]-$C$4,"")</f>
        <v>5480.3668082278382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26128</v>
      </c>
      <c r="N106" s="73">
        <f>IF(Tabla22[[#This Row],[Req.2]]&gt;0,(Tabla22[[#This Row],[Base price2]]-LOOKUP(Tabla22[[#This Row],[Product2]],$R$18:$R$23,$S$18:$S$23))*Tabla22[[#This Row],[Req.2]],0)</f>
        <v>13870</v>
      </c>
      <c r="O106" s="74">
        <f>SUM(Tabla22[[#This Row],[Bonus1]:[p2]])</f>
        <v>74134.317599999995</v>
      </c>
      <c r="P106" s="73">
        <f>IF(Tabla22[[#This Row],[QualityBonus]]&gt;0,Tabla22[[#This Row],[No wages]]-$C$4,"")</f>
        <v>27264.492008227833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15638</v>
      </c>
      <c r="N107" s="73">
        <f>IF(Tabla22[[#This Row],[Req.2]]&gt;0,(Tabla22[[#This Row],[Base price2]]-LOOKUP(Tabla22[[#This Row],[Product2]],$R$18:$R$23,$S$18:$S$23))*Tabla22[[#This Row],[Req.2]],0)</f>
        <v>20104</v>
      </c>
      <c r="O107" s="74">
        <f>SUM(Tabla22[[#This Row],[Bonus1]:[p2]])</f>
        <v>78354.940799999997</v>
      </c>
      <c r="P107" s="73">
        <f>IF(Tabla22[[#This Row],[QualityBonus]]&gt;0,Tabla22[[#This Row],[No wages]]-$C$4,"")</f>
        <v>31485.115208227835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22869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28791.1368</v>
      </c>
      <c r="P108" s="73">
        <f>IF(Tabla22[[#This Row],[QualityBonus]]&gt;0,Tabla22[[#This Row],[No wages]]-$C$4,"")</f>
        <v>-18078.688791772161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3985.5445000000004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7933</v>
      </c>
      <c r="N109" s="73">
        <f>IF(Tabla22[[#This Row],[Req.2]]&gt;0,(Tabla22[[#This Row],[Base price2]]-LOOKUP(Tabla22[[#This Row],[Product2]],$R$18:$R$23,$S$18:$S$23))*Tabla22[[#This Row],[Req.2]],0)</f>
        <v>19530</v>
      </c>
      <c r="O109" s="74">
        <f>SUM(Tabla22[[#This Row],[Bonus1]:[p2]])</f>
        <v>37945.860500000003</v>
      </c>
      <c r="P109" s="73">
        <f>IF(Tabla22[[#This Row],[QualityBonus]]&gt;0,Tabla22[[#This Row],[No wages]]-$C$4,"")</f>
        <v>-8923.9650917721592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62308.022400000002</v>
      </c>
      <c r="L110" s="73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4">
        <f>IFERROR((Tabla22[[#This Row],[Base price1]]-LOOKUP(Tabla22[[#This Row],[Product]],$R$18:$R$23,$S$18:$S$23))*Tabla22[[#This Row],[Req.]],0)</f>
        <v>26936</v>
      </c>
      <c r="N110" s="73">
        <f>IF(Tabla22[[#This Row],[Req.2]]&gt;0,(Tabla22[[#This Row],[Base price2]]-LOOKUP(Tabla22[[#This Row],[Product2]],$R$18:$R$23,$S$18:$S$23))*Tabla22[[#This Row],[Req.2]],0)</f>
        <v>27180</v>
      </c>
      <c r="O110" s="74">
        <f>SUM(Tabla22[[#This Row],[Bonus1]:[p2]])</f>
        <v>132085.9124</v>
      </c>
      <c r="P110" s="73">
        <f>IF(Tabla22[[#This Row],[QualityBonus]]&gt;0,Tabla22[[#This Row],[No wages]]-$C$4,"")</f>
        <v>85216.086808227847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15092.226000000001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4">
        <f>IFERROR((Tabla22[[#This Row],[Base price1]]-LOOKUP(Tabla22[[#This Row],[Product]],$R$18:$R$23,$S$18:$S$23))*Tabla22[[#This Row],[Req.]],0)</f>
        <v>9988</v>
      </c>
      <c r="N111" s="71">
        <f>IF(Tabla22[[#This Row],[Req.2]]&gt;0,(Tabla22[[#This Row],[Base price2]]-LOOKUP(Tabla22[[#This Row],[Product2]],$R$18:$R$23,$S$18:$S$23))*Tabla22[[#This Row],[Req.2]],0)</f>
        <v>31869</v>
      </c>
      <c r="O111" s="74">
        <f>SUM(Tabla22[[#This Row],[Bonus1]:[p2]])</f>
        <v>69066.776500000007</v>
      </c>
      <c r="P111" s="71">
        <f>IF(Tabla22[[#This Row],[QualityBonus]]&gt;0,Tabla22[[#This Row],[No wages]]-$C$4,"")</f>
        <v>22196.950908227846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90101.590800000005</v>
      </c>
      <c r="L112" s="72">
        <f>IF(Tabla22[[#This Row],[Req.2]]&gt;0,LOOKUP(Tabla22[[#This Row],[Product2]],$R$18:$R$23,$T$18:$T$23)*Tabla22[[#This Row],[Base price2]]*Tabla22[[#This Row],[Req.2]]*Tabla22[[#This Row],[QualityBonus]],0)</f>
        <v>23685.78</v>
      </c>
      <c r="M112" s="75">
        <f>IFERROR((Tabla22[[#This Row],[Base price1]]-LOOKUP(Tabla22[[#This Row],[Product]],$R$18:$R$23,$S$18:$S$23))*Tabla22[[#This Row],[Req.]],0)</f>
        <v>17479</v>
      </c>
      <c r="N112" s="72">
        <f>IF(Tabla22[[#This Row],[Req.2]]&gt;0,(Tabla22[[#This Row],[Base price2]]-LOOKUP(Tabla22[[#This Row],[Product2]],$R$18:$R$23,$S$18:$S$23))*Tabla22[[#This Row],[Req.2]],0)</f>
        <v>4150</v>
      </c>
      <c r="O112" s="75">
        <f>SUM(Tabla22[[#This Row],[Bonus1]:[p2]])</f>
        <v>135416.3708</v>
      </c>
      <c r="P112" s="72">
        <f>IF(Tabla22[[#This Row],[QualityBonus]]&gt;0,Tabla22[[#This Row],[No wages]]-$C$4,"")</f>
        <v>88546.54520822785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7070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24029.279999999999</v>
      </c>
      <c r="P113" s="73">
        <f>IF(Tabla22[[#This Row],[QualityBonus]]&gt;0,Tabla22[[#This Row],[No wages]]-$C$4,"")</f>
        <v>-22840.545591772163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9256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27632.467199999999</v>
      </c>
      <c r="P114" s="73">
        <f>IF(Tabla22[[#This Row],[QualityBonus]]&gt;0,Tabla22[[#This Row],[No wages]]-$C$4,"")</f>
        <v>-19237.358391772163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1637</v>
      </c>
      <c r="N115" s="73">
        <f>IF(Tabla22[[#This Row],[Req.2]]&gt;0,(Tabla22[[#This Row],[Base price2]]-LOOKUP(Tabla22[[#This Row],[Product2]],$R$18:$R$23,$S$18:$S$23))*Tabla22[[#This Row],[Req.2]],0)</f>
        <v>19638</v>
      </c>
      <c r="O115" s="74">
        <f>SUM(Tabla22[[#This Row],[Bonus1]:[p2]])</f>
        <v>42350.75</v>
      </c>
      <c r="P115" s="73">
        <f>IF(Tabla22[[#This Row],[QualityBonus]]&gt;0,Tabla22[[#This Row],[No wages]]-$C$4,"")</f>
        <v>-4519.0755917721617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4">
        <f>IFERROR((Tabla22[[#This Row],[Base price1]]-LOOKUP(Tabla22[[#This Row],[Product]],$R$18:$R$23,$S$18:$S$23))*Tabla22[[#This Row],[Req.]],0)</f>
        <v>20100</v>
      </c>
      <c r="N116" s="73">
        <f>IF(Tabla22[[#This Row],[Req.2]]&gt;0,(Tabla22[[#This Row],[Base price2]]-LOOKUP(Tabla22[[#This Row],[Product2]],$R$18:$R$23,$S$18:$S$23))*Tabla22[[#This Row],[Req.2]],0)</f>
        <v>8634</v>
      </c>
      <c r="O116" s="74">
        <f>SUM(Tabla22[[#This Row],[Bonus1]:[p2]])</f>
        <v>53161.288</v>
      </c>
      <c r="P116" s="73">
        <f>IF(Tabla22[[#This Row],[QualityBonus]]&gt;0,Tabla22[[#This Row],[No wages]]-$C$4,"")</f>
        <v>6291.4624082278388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196</v>
      </c>
      <c r="N117" s="73">
        <f>IF(Tabla22[[#This Row],[Req.2]]&gt;0,(Tabla22[[#This Row],[Base price2]]-LOOKUP(Tabla22[[#This Row],[Product2]],$R$18:$R$23,$S$18:$S$23))*Tabla22[[#This Row],[Req.2]],0)</f>
        <v>15336</v>
      </c>
      <c r="O117" s="74">
        <f>SUM(Tabla22[[#This Row],[Bonus1]:[p2]])</f>
        <v>39103.233600000007</v>
      </c>
      <c r="P117" s="73">
        <f>IF(Tabla22[[#This Row],[QualityBonus]]&gt;0,Tabla22[[#This Row],[No wages]]-$C$4,"")</f>
        <v>-7766.5919917721549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30553.200000000004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-5200</v>
      </c>
      <c r="N118" s="73">
        <f>IF(Tabla22[[#This Row],[Req.2]]&gt;0,(Tabla22[[#This Row],[Base price2]]-LOOKUP(Tabla22[[#This Row],[Product2]],$R$18:$R$23,$S$18:$S$23))*Tabla22[[#This Row],[Req.2]],0)</f>
        <v>24624</v>
      </c>
      <c r="O118" s="74">
        <f>SUM(Tabla22[[#This Row],[Bonus1]:[p2]])</f>
        <v>58887.804800000005</v>
      </c>
      <c r="P118" s="73">
        <f>IF(Tabla22[[#This Row],[QualityBonus]]&gt;0,Tabla22[[#This Row],[No wages]]-$C$4,"")</f>
        <v>12017.979208227844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48325.532800000001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-28254</v>
      </c>
      <c r="N119" s="73">
        <f>IF(Tabla22[[#This Row],[Req.2]]&gt;0,(Tabla22[[#This Row],[Base price2]]-LOOKUP(Tabla22[[#This Row],[Product2]],$R$18:$R$23,$S$18:$S$23))*Tabla22[[#This Row],[Req.2]],0)</f>
        <v>2699</v>
      </c>
      <c r="O119" s="74">
        <f>SUM(Tabla22[[#This Row],[Bonus1]:[p2]])</f>
        <v>32196.175999999999</v>
      </c>
      <c r="P119" s="73">
        <f>IF(Tabla22[[#This Row],[QualityBonus]]&gt;0,Tabla22[[#This Row],[No wages]]-$C$4,"")</f>
        <v>-14673.649591772162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28953.852800000001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-5948</v>
      </c>
      <c r="N120" s="73">
        <f>IF(Tabla22[[#This Row],[Req.2]]&gt;0,(Tabla22[[#This Row],[Base price2]]-LOOKUP(Tabla22[[#This Row],[Product2]],$R$18:$R$23,$S$18:$S$23))*Tabla22[[#This Row],[Req.2]],0)</f>
        <v>25355</v>
      </c>
      <c r="O120" s="74">
        <f>SUM(Tabla22[[#This Row],[Bonus1]:[p2]])</f>
        <v>61398.824800000002</v>
      </c>
      <c r="P120" s="73">
        <f>IF(Tabla22[[#This Row],[QualityBonus]]&gt;0,Tabla22[[#This Row],[No wages]]-$C$4,"")</f>
        <v>14528.99920822784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22775</v>
      </c>
      <c r="N121" s="73">
        <f>IF(Tabla22[[#This Row],[Req.2]]&gt;0,(Tabla22[[#This Row],[Base price2]]-LOOKUP(Tabla22[[#This Row],[Product2]],$R$18:$R$23,$S$18:$S$23))*Tabla22[[#This Row],[Req.2]],0)</f>
        <v>14872</v>
      </c>
      <c r="O121" s="74">
        <f>SUM(Tabla22[[#This Row],[Bonus1]:[p2]])</f>
        <v>59305.915199999996</v>
      </c>
      <c r="P121" s="73">
        <f>IF(Tabla22[[#This Row],[QualityBonus]]&gt;0,Tabla22[[#This Row],[No wages]]-$C$4,"")</f>
        <v>12436.089608227834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16372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28503.222399999999</v>
      </c>
      <c r="P122" s="73">
        <f>IF(Tabla22[[#This Row],[QualityBonus]]&gt;0,Tabla22[[#This Row],[No wages]]-$C$4,"")</f>
        <v>-18366.603191772163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7196.201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4663</v>
      </c>
      <c r="N123" s="73">
        <f>IF(Tabla22[[#This Row],[Req.2]]&gt;0,(Tabla22[[#This Row],[Base price2]]-LOOKUP(Tabla22[[#This Row],[Product2]],$R$18:$R$23,$S$18:$S$23))*Tabla22[[#This Row],[Req.2]],0)</f>
        <v>9282</v>
      </c>
      <c r="O123" s="74">
        <f>SUM(Tabla22[[#This Row],[Bonus1]:[p2]])</f>
        <v>29033.692199999998</v>
      </c>
      <c r="P123" s="73">
        <f>IF(Tabla22[[#This Row],[QualityBonus]]&gt;0,Tabla22[[#This Row],[No wages]]-$C$4,"")</f>
        <v>-17836.133391772164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13165.251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14074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27239.251</v>
      </c>
      <c r="P124" s="73">
        <f>IF(Tabla22[[#This Row],[QualityBonus]]&gt;0,Tabla22[[#This Row],[No wages]]-$C$4,"")</f>
        <v>-19630.574591772162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3743.5230000000001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7421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11164.523000000001</v>
      </c>
      <c r="P125" s="73">
        <f>IF(Tabla22[[#This Row],[QualityBonus]]&gt;0,Tabla22[[#This Row],[No wages]]-$C$4,"")</f>
        <v>-35705.302591772161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4">
        <f>IFERROR((Tabla22[[#This Row],[Base price1]]-LOOKUP(Tabla22[[#This Row],[Product]],$R$18:$R$23,$S$18:$S$23))*Tabla22[[#This Row],[Req.]],0)</f>
        <v>19544</v>
      </c>
      <c r="N126" s="73">
        <f>IF(Tabla22[[#This Row],[Req.2]]&gt;0,(Tabla22[[#This Row],[Base price2]]-LOOKUP(Tabla22[[#This Row],[Product2]],$R$18:$R$23,$S$18:$S$23))*Tabla22[[#This Row],[Req.2]],0)</f>
        <v>-12108</v>
      </c>
      <c r="O126" s="74">
        <f>SUM(Tabla22[[#This Row],[Bonus1]:[p2]])</f>
        <v>55968.739199999996</v>
      </c>
      <c r="P126" s="73">
        <f>IF(Tabla22[[#This Row],[QualityBonus]]&gt;0,Tabla22[[#This Row],[No wages]]-$C$4,"")</f>
        <v>9098.9136082278346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-188</v>
      </c>
      <c r="N127" s="73">
        <f>IF(Tabla22[[#This Row],[Req.2]]&gt;0,(Tabla22[[#This Row],[Base price2]]-LOOKUP(Tabla22[[#This Row],[Product2]],$R$18:$R$23,$S$18:$S$23))*Tabla22[[#This Row],[Req.2]],0)</f>
        <v>14319</v>
      </c>
      <c r="O127" s="74">
        <f>SUM(Tabla22[[#This Row],[Bonus1]:[p2]])</f>
        <v>24101.227200000001</v>
      </c>
      <c r="P127" s="73">
        <f>IF(Tabla22[[#This Row],[QualityBonus]]&gt;0,Tabla22[[#This Row],[No wages]]-$C$4,"")</f>
        <v>-22768.598391772161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19116.1872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-12308</v>
      </c>
      <c r="N128" s="73">
        <f>IF(Tabla22[[#This Row],[Req.2]]&gt;0,(Tabla22[[#This Row],[Base price2]]-LOOKUP(Tabla22[[#This Row],[Product2]],$R$18:$R$23,$S$18:$S$23))*Tabla22[[#This Row],[Req.2]],0)</f>
        <v>8648</v>
      </c>
      <c r="O128" s="74">
        <f>SUM(Tabla22[[#This Row],[Bonus1]:[p2]])</f>
        <v>22513.784</v>
      </c>
      <c r="P128" s="73">
        <f>IF(Tabla22[[#This Row],[QualityBonus]]&gt;0,Tabla22[[#This Row],[No wages]]-$C$4,"")</f>
        <v>-24356.041591772162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4">
        <f>IFERROR((Tabla22[[#This Row],[Base price1]]-LOOKUP(Tabla22[[#This Row],[Product]],$R$18:$R$23,$S$18:$S$23))*Tabla22[[#This Row],[Req.]],0)</f>
        <v>21565</v>
      </c>
      <c r="N129" s="73">
        <f>IF(Tabla22[[#This Row],[Req.2]]&gt;0,(Tabla22[[#This Row],[Base price2]]-LOOKUP(Tabla22[[#This Row],[Product2]],$R$18:$R$23,$S$18:$S$23))*Tabla22[[#This Row],[Req.2]],0)</f>
        <v>9858</v>
      </c>
      <c r="O129" s="74">
        <f>SUM(Tabla22[[#This Row],[Bonus1]:[p2]])</f>
        <v>52587.89</v>
      </c>
      <c r="P129" s="73">
        <f>IF(Tabla22[[#This Row],[QualityBonus]]&gt;0,Tabla22[[#This Row],[No wages]]-$C$4,"")</f>
        <v>5718.0644082278377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9984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15878.4768</v>
      </c>
      <c r="P130" s="73">
        <f>IF(Tabla22[[#This Row],[QualityBonus]]&gt;0,Tabla22[[#This Row],[No wages]]-$C$4,"")</f>
        <v>-30991.348791772161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25208</v>
      </c>
      <c r="N131" s="73">
        <f>IF(Tabla22[[#This Row],[Req.2]]&gt;0,(Tabla22[[#This Row],[Base price2]]-LOOKUP(Tabla22[[#This Row],[Product2]],$R$18:$R$23,$S$18:$S$23))*Tabla22[[#This Row],[Req.2]],0)</f>
        <v>3526</v>
      </c>
      <c r="O131" s="74">
        <f>SUM(Tabla22[[#This Row],[Bonus1]:[p2]])</f>
        <v>43910.404800000004</v>
      </c>
      <c r="P131" s="73">
        <f>IF(Tabla22[[#This Row],[QualityBonus]]&gt;0,Tabla22[[#This Row],[No wages]]-$C$4,"")</f>
        <v>-2959.4207917721578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4">
        <f>IFERROR((Tabla22[[#This Row],[Base price1]]-LOOKUP(Tabla22[[#This Row],[Product]],$R$18:$R$23,$S$18:$S$23))*Tabla22[[#This Row],[Req.]],0)</f>
        <v>16636</v>
      </c>
      <c r="N132" s="73">
        <f>IF(Tabla22[[#This Row],[Req.2]]&gt;0,(Tabla22[[#This Row],[Base price2]]-LOOKUP(Tabla22[[#This Row],[Product2]],$R$18:$R$23,$S$18:$S$23))*Tabla22[[#This Row],[Req.2]],0)</f>
        <v>9618</v>
      </c>
      <c r="O132" s="74">
        <f>SUM(Tabla22[[#This Row],[Bonus1]:[p2]])</f>
        <v>47645.195399999997</v>
      </c>
      <c r="P132" s="73">
        <f>IF(Tabla22[[#This Row],[QualityBonus]]&gt;0,Tabla22[[#This Row],[No wages]]-$C$4,"")</f>
        <v>775.36980822783516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7346.5439999999999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7728</v>
      </c>
      <c r="N133" s="72">
        <f>IF(Tabla22[[#This Row],[Req.2]]&gt;0,(Tabla22[[#This Row],[Base price2]]-LOOKUP(Tabla22[[#This Row],[Product2]],$R$18:$R$23,$S$18:$S$23))*Tabla22[[#This Row],[Req.2]],0)</f>
        <v>11550</v>
      </c>
      <c r="O133" s="75">
        <f>SUM(Tabla22[[#This Row],[Bonus1]:[p2]])</f>
        <v>34491.623999999996</v>
      </c>
      <c r="P133" s="72">
        <f>IF(Tabla22[[#This Row],[QualityBonus]]&gt;0,Tabla22[[#This Row],[No wages]]-$C$4,"")</f>
        <v>-12378.201591772166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17587.18</v>
      </c>
      <c r="M134" s="76">
        <f>IFERROR((Tabla22[[#This Row],[Base price1]]-LOOKUP(Tabla22[[#This Row],[Product]],$R$18:$R$23,$S$18:$S$23))*Tabla22[[#This Row],[Req.]],0)</f>
        <v>5348</v>
      </c>
      <c r="N134" s="78">
        <f>IF(Tabla22[[#This Row],[Req.2]]&gt;0,(Tabla22[[#This Row],[Base price2]]-LOOKUP(Tabla22[[#This Row],[Product2]],$R$18:$R$23,$S$18:$S$23))*Tabla22[[#This Row],[Req.2]],0)</f>
        <v>13640</v>
      </c>
      <c r="O134" s="71">
        <f>SUM(Tabla22[[#This Row],[Bonus1]:[p2]])</f>
        <v>55872.400800000003</v>
      </c>
      <c r="P134" s="73">
        <f>IF(Tabla22[[#This Row],[QualityBonus]]&gt;0,Tabla22[[#This Row],[No wages]]-$C$4,"")</f>
        <v>9002.5752082278414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16431</v>
      </c>
      <c r="N135" s="79">
        <f>IF(Tabla22[[#This Row],[Req.2]]&gt;0,(Tabla22[[#This Row],[Base price2]]-LOOKUP(Tabla22[[#This Row],[Product2]],$R$18:$R$23,$S$18:$S$23))*Tabla22[[#This Row],[Req.2]],0)</f>
        <v>10532</v>
      </c>
      <c r="O135" s="71">
        <f>SUM(Tabla22[[#This Row],[Bonus1]:[p2]])</f>
        <v>59402.9568</v>
      </c>
      <c r="P135" s="73">
        <f>IF(Tabla22[[#This Row],[QualityBonus]]&gt;0,Tabla22[[#This Row],[No wages]]-$C$4,"")</f>
        <v>12533.131208227838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3718</v>
      </c>
      <c r="N136" s="79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8915.2648000000008</v>
      </c>
      <c r="P136" s="73">
        <f>IF(Tabla22[[#This Row],[QualityBonus]]&gt;0,Tabla22[[#This Row],[No wages]]-$C$4,"")</f>
        <v>-37954.560791772165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21565</v>
      </c>
      <c r="N137" s="79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37817.486000000004</v>
      </c>
      <c r="P137" s="73">
        <f>IF(Tabla22[[#This Row],[QualityBonus]]&gt;0,Tabla22[[#This Row],[No wages]]-$C$4,"")</f>
        <v>-9052.3395917721573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60292.730400000008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38" s="74">
        <f>IFERROR((Tabla22[[#This Row],[Base price1]]-LOOKUP(Tabla22[[#This Row],[Product]],$R$18:$R$23,$S$18:$S$23))*Tabla22[[#This Row],[Req.]],0)</f>
        <v>-29673</v>
      </c>
      <c r="N138" s="79">
        <f>IF(Tabla22[[#This Row],[Req.2]]&gt;0,(Tabla22[[#This Row],[Base price2]]-LOOKUP(Tabla22[[#This Row],[Product2]],$R$18:$R$23,$S$18:$S$23))*Tabla22[[#This Row],[Req.2]],0)</f>
        <v>3628</v>
      </c>
      <c r="O138" s="73">
        <f>SUM(Tabla22[[#This Row],[Bonus1]:[p2]])</f>
        <v>87991.462400000019</v>
      </c>
      <c r="P138" s="73">
        <f>IF(Tabla22[[#This Row],[QualityBonus]]&gt;0,Tabla22[[#This Row],[No wages]]-$C$4,"")</f>
        <v>41121.636808227857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21075.434999999998</v>
      </c>
      <c r="L139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4">
        <f>IFERROR((Tabla22[[#This Row],[Base price1]]-LOOKUP(Tabla22[[#This Row],[Product]],$R$18:$R$23,$S$18:$S$23))*Tabla22[[#This Row],[Req.]],0)</f>
        <v>15345</v>
      </c>
      <c r="N139" s="79">
        <f>IF(Tabla22[[#This Row],[Req.2]]&gt;0,(Tabla22[[#This Row],[Base price2]]-LOOKUP(Tabla22[[#This Row],[Product2]],$R$18:$R$23,$S$18:$S$23))*Tabla22[[#This Row],[Req.2]],0)</f>
        <v>-36492</v>
      </c>
      <c r="O139" s="73">
        <f>SUM(Tabla22[[#This Row],[Bonus1]:[p2]])</f>
        <v>161452.8222</v>
      </c>
      <c r="P139" s="73">
        <f>IF(Tabla22[[#This Row],[QualityBonus]]&gt;0,Tabla22[[#This Row],[No wages]]-$C$4,"")</f>
        <v>114582.99660822784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40" s="74">
        <f>IFERROR((Tabla22[[#This Row],[Base price1]]-LOOKUP(Tabla22[[#This Row],[Product]],$R$18:$R$23,$S$18:$S$23))*Tabla22[[#This Row],[Req.]],0)</f>
        <v>23272</v>
      </c>
      <c r="N140" s="79">
        <f>IF(Tabla22[[#This Row],[Req.2]]&gt;0,(Tabla22[[#This Row],[Base price2]]-LOOKUP(Tabla22[[#This Row],[Product2]],$R$18:$R$23,$S$18:$S$23))*Tabla22[[#This Row],[Req.2]],0)</f>
        <v>18573</v>
      </c>
      <c r="O140" s="73">
        <f>SUM(Tabla22[[#This Row],[Bonus1]:[p2]])</f>
        <v>95899.627200000003</v>
      </c>
      <c r="P140" s="73">
        <f>IF(Tabla22[[#This Row],[QualityBonus]]&gt;0,Tabla22[[#This Row],[No wages]]-$C$4,"")</f>
        <v>49029.801608227841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54139.68</v>
      </c>
      <c r="L141" s="73">
        <f>IF(Tabla22[[#This Row],[Req.2]]&gt;0,LOOKUP(Tabla22[[#This Row],[Product2]],$R$18:$R$23,$T$18:$T$23)*Tabla22[[#This Row],[Base price2]]*Tabla22[[#This Row],[Req.2]]*Tabla22[[#This Row],[QualityBonus]],0)</f>
        <v>21588.48</v>
      </c>
      <c r="M141" s="74">
        <f>IFERROR((Tabla22[[#This Row],[Base price1]]-LOOKUP(Tabla22[[#This Row],[Product]],$R$18:$R$23,$S$18:$S$23))*Tabla22[[#This Row],[Req.]],0)</f>
        <v>3164</v>
      </c>
      <c r="N141" s="79">
        <f>IF(Tabla22[[#This Row],[Req.2]]&gt;0,(Tabla22[[#This Row],[Base price2]]-LOOKUP(Tabla22[[#This Row],[Product2]],$R$18:$R$23,$S$18:$S$23))*Tabla22[[#This Row],[Req.2]],0)</f>
        <v>23904</v>
      </c>
      <c r="O141" s="73">
        <f>SUM(Tabla22[[#This Row],[Bonus1]:[p2]])</f>
        <v>102796.16</v>
      </c>
      <c r="P141" s="73">
        <f>IF(Tabla22[[#This Row],[QualityBonus]]&gt;0,Tabla22[[#This Row],[No wages]]-$C$4,"")</f>
        <v>55926.334408227842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16040</v>
      </c>
      <c r="N142" s="79">
        <f>IF(Tabla22[[#This Row],[Req.2]]&gt;0,(Tabla22[[#This Row],[Base price2]]-LOOKUP(Tabla22[[#This Row],[Product2]],$R$18:$R$23,$S$18:$S$23))*Tabla22[[#This Row],[Req.2]],0)</f>
        <v>12939</v>
      </c>
      <c r="O142" s="73">
        <f>SUM(Tabla22[[#This Row],[Bonus1]:[p2]])</f>
        <v>70875.839200000002</v>
      </c>
      <c r="P142" s="73">
        <f>IF(Tabla22[[#This Row],[QualityBonus]]&gt;0,Tabla22[[#This Row],[No wages]]-$C$4,"")</f>
        <v>24006.01360822784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4199.7220000000007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4753</v>
      </c>
      <c r="N143" s="79">
        <f>IF(Tabla22[[#This Row],[Req.2]]&gt;0,(Tabla22[[#This Row],[Base price2]]-LOOKUP(Tabla22[[#This Row],[Product2]],$R$18:$R$23,$S$18:$S$23))*Tabla22[[#This Row],[Req.2]],0)</f>
        <v>2812</v>
      </c>
      <c r="O143" s="73">
        <f>SUM(Tabla22[[#This Row],[Bonus1]:[p2]])</f>
        <v>21166.392400000001</v>
      </c>
      <c r="P143" s="73">
        <f>IF(Tabla22[[#This Row],[QualityBonus]]&gt;0,Tabla22[[#This Row],[No wages]]-$C$4,"")</f>
        <v>-25703.433191772161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44" s="74">
        <f>IFERROR((Tabla22[[#This Row],[Base price1]]-LOOKUP(Tabla22[[#This Row],[Product]],$R$18:$R$23,$S$18:$S$23))*Tabla22[[#This Row],[Req.]],0)</f>
        <v>23390</v>
      </c>
      <c r="N144" s="79">
        <f>IF(Tabla22[[#This Row],[Req.2]]&gt;0,(Tabla22[[#This Row],[Base price2]]-LOOKUP(Tabla22[[#This Row],[Product2]],$R$18:$R$23,$S$18:$S$23))*Tabla22[[#This Row],[Req.2]],0)</f>
        <v>18165</v>
      </c>
      <c r="O144" s="73">
        <f>SUM(Tabla22[[#This Row],[Bonus1]:[p2]])</f>
        <v>114693.6495</v>
      </c>
      <c r="P144" s="73">
        <f>IF(Tabla22[[#This Row],[QualityBonus]]&gt;0,Tabla22[[#This Row],[No wages]]-$C$4,"")</f>
        <v>67823.823908227845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11930</v>
      </c>
      <c r="N145" s="79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20477.112000000001</v>
      </c>
      <c r="P145" s="73">
        <f>IF(Tabla22[[#This Row],[QualityBonus]]&gt;0,Tabla22[[#This Row],[No wages]]-$C$4,"")</f>
        <v>-26392.713591772161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6783</v>
      </c>
      <c r="N146" s="79">
        <f>IF(Tabla22[[#This Row],[Req.2]]&gt;0,(Tabla22[[#This Row],[Base price2]]-LOOKUP(Tabla22[[#This Row],[Product2]],$R$18:$R$23,$S$18:$S$23))*Tabla22[[#This Row],[Req.2]],0)</f>
        <v>13671</v>
      </c>
      <c r="O146" s="73">
        <f>SUM(Tabla22[[#This Row],[Bonus1]:[p2]])</f>
        <v>55730.9352</v>
      </c>
      <c r="P146" s="73">
        <f>IF(Tabla22[[#This Row],[QualityBonus]]&gt;0,Tabla22[[#This Row],[No wages]]-$C$4,"")</f>
        <v>8861.1096082278382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8164</v>
      </c>
      <c r="N147" s="79">
        <f>IF(Tabla22[[#This Row],[Req.2]]&gt;0,(Tabla22[[#This Row],[Base price2]]-LOOKUP(Tabla22[[#This Row],[Product2]],$R$18:$R$23,$S$18:$S$23))*Tabla22[[#This Row],[Req.2]],0)</f>
        <v>6416</v>
      </c>
      <c r="O147" s="73">
        <f>SUM(Tabla22[[#This Row],[Bonus1]:[p2]])</f>
        <v>35992.608</v>
      </c>
      <c r="P147" s="73">
        <f>IF(Tabla22[[#This Row],[QualityBonus]]&gt;0,Tabla22[[#This Row],[No wages]]-$C$4,"")</f>
        <v>-10877.217591772162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14407.312</v>
      </c>
      <c r="M148" s="74">
        <f>IFERROR((Tabla22[[#This Row],[Base price1]]-LOOKUP(Tabla22[[#This Row],[Product]],$R$18:$R$23,$S$18:$S$23))*Tabla22[[#This Row],[Req.]],0)</f>
        <v>21840</v>
      </c>
      <c r="N148" s="79">
        <f>IF(Tabla22[[#This Row],[Req.2]]&gt;0,(Tabla22[[#This Row],[Base price2]]-LOOKUP(Tabla22[[#This Row],[Product2]],$R$18:$R$23,$S$18:$S$23))*Tabla22[[#This Row],[Req.2]],0)</f>
        <v>4188</v>
      </c>
      <c r="O148" s="73">
        <f>SUM(Tabla22[[#This Row],[Bonus1]:[p2]])</f>
        <v>59565.04</v>
      </c>
      <c r="P148" s="73">
        <f>IF(Tabla22[[#This Row],[QualityBonus]]&gt;0,Tabla22[[#This Row],[No wages]]-$C$4,"")</f>
        <v>12695.214408227839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5396</v>
      </c>
      <c r="N149" s="79">
        <f>IF(Tabla22[[#This Row],[Req.2]]&gt;0,(Tabla22[[#This Row],[Base price2]]-LOOKUP(Tabla22[[#This Row],[Product2]],$R$18:$R$23,$S$18:$S$23))*Tabla22[[#This Row],[Req.2]],0)</f>
        <v>31340</v>
      </c>
      <c r="O149" s="73">
        <f>SUM(Tabla22[[#This Row],[Bonus1]:[p2]])</f>
        <v>92867.487999999998</v>
      </c>
      <c r="P149" s="73">
        <f>IF(Tabla22[[#This Row],[QualityBonus]]&gt;0,Tabla22[[#This Row],[No wages]]-$C$4,"")</f>
        <v>45997.662408227836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13552.771999999999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10854</v>
      </c>
      <c r="N150" s="79">
        <f>IF(Tabla22[[#This Row],[Req.2]]&gt;0,(Tabla22[[#This Row],[Base price2]]-LOOKUP(Tabla22[[#This Row],[Product2]],$R$18:$R$23,$S$18:$S$23))*Tabla22[[#This Row],[Req.2]],0)</f>
        <v>1188</v>
      </c>
      <c r="O150" s="73">
        <f>SUM(Tabla22[[#This Row],[Bonus1]:[p2]])</f>
        <v>40433.319199999998</v>
      </c>
      <c r="P150" s="73">
        <f>IF(Tabla22[[#This Row],[QualityBonus]]&gt;0,Tabla22[[#This Row],[No wages]]-$C$4,"")</f>
        <v>-6436.5063917721636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1302</v>
      </c>
      <c r="N151" s="79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16214.229599999999</v>
      </c>
      <c r="P151" s="73">
        <f>IF(Tabla22[[#This Row],[QualityBonus]]&gt;0,Tabla22[[#This Row],[No wages]]-$C$4,"")</f>
        <v>-30655.595991772163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7708</v>
      </c>
      <c r="N152" s="79">
        <f>IF(Tabla22[[#This Row],[Req.2]]&gt;0,(Tabla22[[#This Row],[Base price2]]-LOOKUP(Tabla22[[#This Row],[Product2]],$R$18:$R$23,$S$18:$S$23))*Tabla22[[#This Row],[Req.2]],0)</f>
        <v>17548</v>
      </c>
      <c r="O152" s="73">
        <f>SUM(Tabla22[[#This Row],[Bonus1]:[p2]])</f>
        <v>47821.065600000002</v>
      </c>
      <c r="P152" s="73">
        <f>IF(Tabla22[[#This Row],[QualityBonus]]&gt;0,Tabla22[[#This Row],[No wages]]-$C$4,"")</f>
        <v>951.24000822784001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43923.032399999996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-13251</v>
      </c>
      <c r="N153" s="79">
        <f>IF(Tabla22[[#This Row],[Req.2]]&gt;0,(Tabla22[[#This Row],[Base price2]]-LOOKUP(Tabla22[[#This Row],[Product2]],$R$18:$R$23,$S$18:$S$23))*Tabla22[[#This Row],[Req.2]],0)</f>
        <v>3963</v>
      </c>
      <c r="O153" s="73">
        <f>SUM(Tabla22[[#This Row],[Bonus1]:[p2]])</f>
        <v>50721.331199999993</v>
      </c>
      <c r="P153" s="73">
        <f>IF(Tabla22[[#This Row],[QualityBonus]]&gt;0,Tabla22[[#This Row],[No wages]]-$C$4,"")</f>
        <v>3851.5056082278315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69184.569600000003</v>
      </c>
      <c r="L154" s="72">
        <f>IF(Tabla22[[#This Row],[Req.2]]&gt;0,LOOKUP(Tabla22[[#This Row],[Product2]],$R$18:$R$23,$T$18:$T$23)*Tabla22[[#This Row],[Base price2]]*Tabla22[[#This Row],[Req.2]]*Tabla22[[#This Row],[QualityBonus]],0)</f>
        <v>30289.447</v>
      </c>
      <c r="M154" s="75">
        <f>IFERROR((Tabla22[[#This Row],[Base price1]]-LOOKUP(Tabla22[[#This Row],[Product]],$R$18:$R$23,$S$18:$S$23))*Tabla22[[#This Row],[Req.]],0)</f>
        <v>-5352</v>
      </c>
      <c r="N154" s="80">
        <f>IF(Tabla22[[#This Row],[Req.2]]&gt;0,(Tabla22[[#This Row],[Base price2]]-LOOKUP(Tabla22[[#This Row],[Product2]],$R$18:$R$23,$S$18:$S$23))*Tabla22[[#This Row],[Req.2]],0)</f>
        <v>6338</v>
      </c>
      <c r="O154" s="72">
        <f>SUM(Tabla22[[#This Row],[Bonus1]:[p2]])</f>
        <v>100460.0166</v>
      </c>
      <c r="P154" s="72">
        <f>IF(Tabla22[[#This Row],[QualityBonus]]&gt;0,Tabla22[[#This Row],[No wages]]-$C$4,"")</f>
        <v>53590.191008227841</v>
      </c>
    </row>
    <row r="155" spans="1:16" x14ac:dyDescent="0.25">
      <c r="A155" s="13">
        <v>139</v>
      </c>
      <c r="B155" s="13" t="s">
        <v>66</v>
      </c>
      <c r="C155" s="66">
        <v>2.9899999999999999E-2</v>
      </c>
      <c r="D155" s="2" t="s">
        <v>55</v>
      </c>
      <c r="E155" s="73">
        <v>80674</v>
      </c>
      <c r="F155" s="5">
        <v>2</v>
      </c>
      <c r="G155" s="2" t="s">
        <v>54</v>
      </c>
      <c r="H155" s="73">
        <v>58820</v>
      </c>
      <c r="I155" s="5">
        <v>2</v>
      </c>
      <c r="J155" s="74">
        <f>Tabla22[[#This Row],[Base price1]]*Tabla22[[#This Row],[Req.]]+Tabla22[[#This Row],[Base price2]]*Tabla22[[#This Row],[Req.2]]</f>
        <v>278988</v>
      </c>
      <c r="K155" s="73">
        <f>IFERROR(LOOKUP(Tabla22[[#This Row],[Product]],$R$18:$R$23,$T$18:$T$23)*Tabla22[[#This Row],[QualityBonus]]*Tabla22[[#This Row],[Base price1]]*Tabla22[[#This Row],[Req.]],0)</f>
        <v>19297.220799999999</v>
      </c>
      <c r="L155" s="73">
        <f>IF(Tabla22[[#This Row],[Req.2]]&gt;0,LOOKUP(Tabla22[[#This Row],[Product2]],$R$18:$R$23,$T$18:$T$23)*Tabla22[[#This Row],[Base price2]]*Tabla22[[#This Row],[Req.2]]*Tabla22[[#This Row],[QualityBonus]],0)</f>
        <v>17587.18</v>
      </c>
      <c r="M155" s="74">
        <f>IFERROR((Tabla22[[#This Row],[Base price1]]-LOOKUP(Tabla22[[#This Row],[Product]],$R$18:$R$23,$S$18:$S$23))*Tabla22[[#This Row],[Req.]],0)</f>
        <v>5348</v>
      </c>
      <c r="N155" s="79">
        <f>IF(Tabla22[[#This Row],[Req.2]]&gt;0,(Tabla22[[#This Row],[Base price2]]-LOOKUP(Tabla22[[#This Row],[Product2]],$R$18:$R$23,$S$18:$S$23))*Tabla22[[#This Row],[Req.2]],0)</f>
        <v>13640</v>
      </c>
      <c r="O155" s="73">
        <f>SUM(Tabla22[[#This Row],[Bonus1]:[p2]])</f>
        <v>55872.400800000003</v>
      </c>
      <c r="P155" s="73">
        <f>IF(Tabla22[[#This Row],[QualityBonus]]&gt;0,Tabla22[[#This Row],[No wages]]-$C$4,"")</f>
        <v>9002.5752082278414</v>
      </c>
    </row>
    <row r="156" spans="1:16" x14ac:dyDescent="0.25">
      <c r="A156" s="13">
        <v>140</v>
      </c>
      <c r="B156" s="13" t="s">
        <v>66</v>
      </c>
      <c r="C156" s="66">
        <v>1.84E-2</v>
      </c>
      <c r="D156" s="2" t="s">
        <v>53</v>
      </c>
      <c r="E156" s="73">
        <v>39677</v>
      </c>
      <c r="F156" s="5">
        <v>3</v>
      </c>
      <c r="G156" s="2" t="s">
        <v>57</v>
      </c>
      <c r="H156" s="73">
        <v>83266</v>
      </c>
      <c r="I156" s="5">
        <v>2</v>
      </c>
      <c r="J156" s="74">
        <f>Tabla22[[#This Row],[Base price1]]*Tabla22[[#This Row],[Req.]]+Tabla22[[#This Row],[Base price2]]*Tabla22[[#This Row],[Req.2]]</f>
        <v>285563</v>
      </c>
      <c r="K156" s="73">
        <f>IFERROR(LOOKUP(Tabla22[[#This Row],[Product]],$R$18:$R$23,$T$18:$T$23)*Tabla22[[#This Row],[QualityBonus]]*Tabla22[[#This Row],[Base price1]]*Tabla22[[#This Row],[Req.]],0)</f>
        <v>8760.6815999999999</v>
      </c>
      <c r="L156" s="73">
        <f>IF(Tabla22[[#This Row],[Req.2]]&gt;0,LOOKUP(Tabla22[[#This Row],[Product2]],$R$18:$R$23,$T$18:$T$23)*Tabla22[[#This Row],[Base price2]]*Tabla22[[#This Row],[Req.2]]*Tabla22[[#This Row],[QualityBonus]],0)</f>
        <v>12256.7552</v>
      </c>
      <c r="M156" s="74">
        <f>IFERROR((Tabla22[[#This Row],[Base price1]]-LOOKUP(Tabla22[[#This Row],[Product]],$R$18:$R$23,$S$18:$S$23))*Tabla22[[#This Row],[Req.]],0)</f>
        <v>16431</v>
      </c>
      <c r="N156" s="79">
        <f>IF(Tabla22[[#This Row],[Req.2]]&gt;0,(Tabla22[[#This Row],[Base price2]]-LOOKUP(Tabla22[[#This Row],[Product2]],$R$18:$R$23,$S$18:$S$23))*Tabla22[[#This Row],[Req.2]],0)</f>
        <v>10532</v>
      </c>
      <c r="O156" s="73">
        <f>SUM(Tabla22[[#This Row],[Bonus1]:[p2]])</f>
        <v>47980.436799999996</v>
      </c>
      <c r="P156" s="73">
        <f>IF(Tabla22[[#This Row],[QualityBonus]]&gt;0,Tabla22[[#This Row],[No wages]]-$C$4,"")</f>
        <v>1110.6112082278341</v>
      </c>
    </row>
    <row r="157" spans="1:16" x14ac:dyDescent="0.25">
      <c r="A157" s="13">
        <v>141</v>
      </c>
      <c r="B157" s="13" t="s">
        <v>66</v>
      </c>
      <c r="C157" s="66">
        <v>1.5900000000000001E-2</v>
      </c>
      <c r="D157" s="2" t="s">
        <v>55</v>
      </c>
      <c r="E157" s="73">
        <v>81718</v>
      </c>
      <c r="F157" s="5">
        <v>1</v>
      </c>
      <c r="G157" s="2"/>
      <c r="H157" s="73"/>
      <c r="I157" s="5"/>
      <c r="J157" s="74">
        <f>Tabla22[[#This Row],[Base price1]]*Tabla22[[#This Row],[Req.]]+Tabla22[[#This Row],[Base price2]]*Tabla22[[#This Row],[Req.2]]</f>
        <v>81718</v>
      </c>
      <c r="K157" s="73">
        <f>IFERROR(LOOKUP(Tabla22[[#This Row],[Product]],$R$18:$R$23,$T$18:$T$23)*Tabla22[[#This Row],[QualityBonus]]*Tabla22[[#This Row],[Base price1]]*Tabla22[[#This Row],[Req.]],0)</f>
        <v>5197.2647999999999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3718</v>
      </c>
      <c r="N157" s="79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8915.2648000000008</v>
      </c>
      <c r="P157" s="73">
        <f>IF(Tabla22[[#This Row],[QualityBonus]]&gt;0,Tabla22[[#This Row],[No wages]]-$C$4,"")</f>
        <v>-37954.560791772165</v>
      </c>
    </row>
    <row r="158" spans="1:16" x14ac:dyDescent="0.25">
      <c r="A158" s="13">
        <v>142</v>
      </c>
      <c r="B158" s="13" t="s">
        <v>66</v>
      </c>
      <c r="C158" s="66">
        <v>2.1100000000000001E-2</v>
      </c>
      <c r="D158" s="2" t="s">
        <v>53</v>
      </c>
      <c r="E158" s="73">
        <v>38513</v>
      </c>
      <c r="F158" s="5">
        <v>5</v>
      </c>
      <c r="G158" s="2"/>
      <c r="H158" s="73"/>
      <c r="I158" s="5"/>
      <c r="J158" s="74">
        <f>Tabla22[[#This Row],[Base price1]]*Tabla22[[#This Row],[Req.]]+Tabla22[[#This Row],[Base price2]]*Tabla22[[#This Row],[Req.2]]</f>
        <v>192565</v>
      </c>
      <c r="K158" s="73">
        <f>IFERROR(LOOKUP(Tabla22[[#This Row],[Product]],$R$18:$R$23,$T$18:$T$23)*Tabla22[[#This Row],[QualityBonus]]*Tabla22[[#This Row],[Base price1]]*Tabla22[[#This Row],[Req.]],0)</f>
        <v>16252.486000000001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21565</v>
      </c>
      <c r="N158" s="79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37817.486000000004</v>
      </c>
      <c r="P158" s="73">
        <f>IF(Tabla22[[#This Row],[QualityBonus]]&gt;0,Tabla22[[#This Row],[No wages]]-$C$4,"")</f>
        <v>-9052.3395917721573</v>
      </c>
    </row>
    <row r="159" spans="1:16" x14ac:dyDescent="0.25">
      <c r="A159" s="13">
        <v>143</v>
      </c>
      <c r="B159" s="13" t="s">
        <v>66</v>
      </c>
      <c r="C159" s="66">
        <v>2.3800000000000002E-2</v>
      </c>
      <c r="D159" s="2" t="s">
        <v>56</v>
      </c>
      <c r="E159" s="73">
        <v>211109</v>
      </c>
      <c r="F159" s="5">
        <v>3</v>
      </c>
      <c r="G159" s="2" t="s">
        <v>52</v>
      </c>
      <c r="H159" s="73">
        <v>112907</v>
      </c>
      <c r="I159" s="5">
        <v>4</v>
      </c>
      <c r="J159" s="74">
        <f>Tabla22[[#This Row],[Base price1]]*Tabla22[[#This Row],[Req.]]+Tabla22[[#This Row],[Base price2]]*Tabla22[[#This Row],[Req.2]]</f>
        <v>1084955</v>
      </c>
      <c r="K159" s="73">
        <f>IFERROR(LOOKUP(Tabla22[[#This Row],[Product]],$R$18:$R$23,$T$18:$T$23)*Tabla22[[#This Row],[QualityBonus]]*Tabla22[[#This Row],[Base price1]]*Tabla22[[#This Row],[Req.]],0)</f>
        <v>60292.730400000008</v>
      </c>
      <c r="L159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59" s="74">
        <f>IFERROR((Tabla22[[#This Row],[Base price1]]-LOOKUP(Tabla22[[#This Row],[Product]],$R$18:$R$23,$S$18:$S$23))*Tabla22[[#This Row],[Req.]],0)</f>
        <v>-29673</v>
      </c>
      <c r="N159" s="79">
        <f>IF(Tabla22[[#This Row],[Req.2]]&gt;0,(Tabla22[[#This Row],[Base price2]]-LOOKUP(Tabla22[[#This Row],[Product2]],$R$18:$R$23,$S$18:$S$23))*Tabla22[[#This Row],[Req.2]],0)</f>
        <v>3628</v>
      </c>
      <c r="O159" s="73">
        <f>SUM(Tabla22[[#This Row],[Bonus1]:[p2]])</f>
        <v>87991.462400000019</v>
      </c>
      <c r="P159" s="73">
        <f>IF(Tabla22[[#This Row],[QualityBonus]]&gt;0,Tabla22[[#This Row],[No wages]]-$C$4,"")</f>
        <v>41121.636808227857</v>
      </c>
    </row>
    <row r="160" spans="1:16" x14ac:dyDescent="0.25">
      <c r="A160" s="13">
        <v>144</v>
      </c>
      <c r="B160" s="13" t="s">
        <v>66</v>
      </c>
      <c r="C160" s="66">
        <v>2.46E-2</v>
      </c>
      <c r="D160" s="2" t="s">
        <v>54</v>
      </c>
      <c r="E160" s="73">
        <v>57115</v>
      </c>
      <c r="F160" s="5">
        <v>3</v>
      </c>
      <c r="G160" s="2" t="s">
        <v>27</v>
      </c>
      <c r="H160" s="73">
        <v>820754</v>
      </c>
      <c r="I160" s="5">
        <v>2</v>
      </c>
      <c r="J160" s="74">
        <f>Tabla22[[#This Row],[Base price1]]*Tabla22[[#This Row],[Req.]]+Tabla22[[#This Row],[Base price2]]*Tabla22[[#This Row],[Req.2]]</f>
        <v>1812853</v>
      </c>
      <c r="K160" s="73">
        <f>IFERROR(LOOKUP(Tabla22[[#This Row],[Product]],$R$18:$R$23,$T$18:$T$23)*Tabla22[[#This Row],[QualityBonus]]*Tabla22[[#This Row],[Base price1]]*Tabla22[[#This Row],[Req.]],0)</f>
        <v>21075.434999999998</v>
      </c>
      <c r="L160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60" s="74">
        <f>IFERROR((Tabla22[[#This Row],[Base price1]]-LOOKUP(Tabla22[[#This Row],[Product]],$R$18:$R$23,$S$18:$S$23))*Tabla22[[#This Row],[Req.]],0)</f>
        <v>15345</v>
      </c>
      <c r="N160" s="79">
        <f>IF(Tabla22[[#This Row],[Req.2]]&gt;0,(Tabla22[[#This Row],[Base price2]]-LOOKUP(Tabla22[[#This Row],[Product2]],$R$18:$R$23,$S$18:$S$23))*Tabla22[[#This Row],[Req.2]],0)</f>
        <v>-36492</v>
      </c>
      <c r="O160" s="73">
        <f>SUM(Tabla22[[#This Row],[Bonus1]:[p2]])</f>
        <v>161452.8222</v>
      </c>
      <c r="P160" s="73">
        <f>IF(Tabla22[[#This Row],[QualityBonus]]&gt;0,Tabla22[[#This Row],[No wages]]-$C$4,"")</f>
        <v>114582.99660822784</v>
      </c>
    </row>
    <row r="161" spans="1:16" x14ac:dyDescent="0.25">
      <c r="A161" s="13">
        <v>145</v>
      </c>
      <c r="B161" s="13" t="s">
        <v>66</v>
      </c>
      <c r="C161" s="66">
        <v>2.24E-2</v>
      </c>
      <c r="D161" s="2" t="s">
        <v>53</v>
      </c>
      <c r="E161" s="73">
        <v>40018</v>
      </c>
      <c r="F161" s="5">
        <v>4</v>
      </c>
      <c r="G161" s="2" t="s">
        <v>52</v>
      </c>
      <c r="H161" s="73">
        <v>118191</v>
      </c>
      <c r="I161" s="5">
        <v>3</v>
      </c>
      <c r="J161" s="74">
        <f>Tabla22[[#This Row],[Base price1]]*Tabla22[[#This Row],[Req.]]+Tabla22[[#This Row],[Base price2]]*Tabla22[[#This Row],[Req.2]]</f>
        <v>514645</v>
      </c>
      <c r="K161" s="73">
        <f>IFERROR(LOOKUP(Tabla22[[#This Row],[Product]],$R$18:$R$23,$T$18:$T$23)*Tabla22[[#This Row],[QualityBonus]]*Tabla22[[#This Row],[Base price1]]*Tabla22[[#This Row],[Req.]],0)</f>
        <v>14342.4512</v>
      </c>
      <c r="L161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61" s="74">
        <f>IFERROR((Tabla22[[#This Row],[Base price1]]-LOOKUP(Tabla22[[#This Row],[Product]],$R$18:$R$23,$S$18:$S$23))*Tabla22[[#This Row],[Req.]],0)</f>
        <v>23272</v>
      </c>
      <c r="N161" s="79">
        <f>IF(Tabla22[[#This Row],[Req.2]]&gt;0,(Tabla22[[#This Row],[Base price2]]-LOOKUP(Tabla22[[#This Row],[Product2]],$R$18:$R$23,$S$18:$S$23))*Tabla22[[#This Row],[Req.2]],0)</f>
        <v>18573</v>
      </c>
      <c r="O161" s="73">
        <f>SUM(Tabla22[[#This Row],[Bonus1]:[p2]])</f>
        <v>95899.627200000003</v>
      </c>
      <c r="P161" s="73">
        <f>IF(Tabla22[[#This Row],[QualityBonus]]&gt;0,Tabla22[[#This Row],[No wages]]-$C$4,"")</f>
        <v>49029.801608227841</v>
      </c>
    </row>
    <row r="162" spans="1:16" x14ac:dyDescent="0.25">
      <c r="A162" s="13">
        <v>146</v>
      </c>
      <c r="B162" s="13" t="s">
        <v>66</v>
      </c>
      <c r="C162" s="66">
        <v>2.4E-2</v>
      </c>
      <c r="D162" s="2" t="s">
        <v>52</v>
      </c>
      <c r="E162" s="73">
        <v>112791</v>
      </c>
      <c r="F162" s="5">
        <v>4</v>
      </c>
      <c r="G162" s="2" t="s">
        <v>54</v>
      </c>
      <c r="H162" s="73">
        <v>59968</v>
      </c>
      <c r="I162" s="5">
        <v>3</v>
      </c>
      <c r="J162" s="74">
        <f>Tabla22[[#This Row],[Base price1]]*Tabla22[[#This Row],[Req.]]+Tabla22[[#This Row],[Base price2]]*Tabla22[[#This Row],[Req.2]]</f>
        <v>631068</v>
      </c>
      <c r="K162" s="73">
        <f>IFERROR(LOOKUP(Tabla22[[#This Row],[Product]],$R$18:$R$23,$T$18:$T$23)*Tabla22[[#This Row],[QualityBonus]]*Tabla22[[#This Row],[Base price1]]*Tabla22[[#This Row],[Req.]],0)</f>
        <v>54139.68</v>
      </c>
      <c r="L162" s="73">
        <f>IF(Tabla22[[#This Row],[Req.2]]&gt;0,LOOKUP(Tabla22[[#This Row],[Product2]],$R$18:$R$23,$T$18:$T$23)*Tabla22[[#This Row],[Base price2]]*Tabla22[[#This Row],[Req.2]]*Tabla22[[#This Row],[QualityBonus]],0)</f>
        <v>21588.48</v>
      </c>
      <c r="M162" s="74">
        <f>IFERROR((Tabla22[[#This Row],[Base price1]]-LOOKUP(Tabla22[[#This Row],[Product]],$R$18:$R$23,$S$18:$S$23))*Tabla22[[#This Row],[Req.]],0)</f>
        <v>3164</v>
      </c>
      <c r="N162" s="79">
        <f>IF(Tabla22[[#This Row],[Req.2]]&gt;0,(Tabla22[[#This Row],[Base price2]]-LOOKUP(Tabla22[[#This Row],[Product2]],$R$18:$R$23,$S$18:$S$23))*Tabla22[[#This Row],[Req.2]],0)</f>
        <v>23904</v>
      </c>
      <c r="O162" s="73">
        <f>SUM(Tabla22[[#This Row],[Bonus1]:[p2]])</f>
        <v>102796.16</v>
      </c>
      <c r="P162" s="73">
        <f>IF(Tabla22[[#This Row],[QualityBonus]]&gt;0,Tabla22[[#This Row],[No wages]]-$C$4,"")</f>
        <v>55926.334408227842</v>
      </c>
    </row>
    <row r="163" spans="1:16" x14ac:dyDescent="0.25">
      <c r="A163" s="13">
        <v>147</v>
      </c>
      <c r="B163" s="13" t="s">
        <v>66</v>
      </c>
      <c r="C163" s="66">
        <v>2.6200000000000001E-2</v>
      </c>
      <c r="D163" s="2" t="s">
        <v>53</v>
      </c>
      <c r="E163" s="73">
        <v>38210</v>
      </c>
      <c r="F163" s="5">
        <v>4</v>
      </c>
      <c r="G163" s="2" t="s">
        <v>57</v>
      </c>
      <c r="H163" s="73">
        <v>82313</v>
      </c>
      <c r="I163" s="5">
        <v>3</v>
      </c>
      <c r="J163" s="74">
        <f>Tabla22[[#This Row],[Base price1]]*Tabla22[[#This Row],[Req.]]+Tabla22[[#This Row],[Base price2]]*Tabla22[[#This Row],[Req.2]]</f>
        <v>399779</v>
      </c>
      <c r="K163" s="73">
        <f>IFERROR(LOOKUP(Tabla22[[#This Row],[Product]],$R$18:$R$23,$T$18:$T$23)*Tabla22[[#This Row],[QualityBonus]]*Tabla22[[#This Row],[Base price1]]*Tabla22[[#This Row],[Req.]],0)</f>
        <v>16017.632000000001</v>
      </c>
      <c r="L163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63" s="74">
        <f>IFERROR((Tabla22[[#This Row],[Base price1]]-LOOKUP(Tabla22[[#This Row],[Product]],$R$18:$R$23,$S$18:$S$23))*Tabla22[[#This Row],[Req.]],0)</f>
        <v>16040</v>
      </c>
      <c r="N163" s="79">
        <f>IF(Tabla22[[#This Row],[Req.2]]&gt;0,(Tabla22[[#This Row],[Base price2]]-LOOKUP(Tabla22[[#This Row],[Product2]],$R$18:$R$23,$S$18:$S$23))*Tabla22[[#This Row],[Req.2]],0)</f>
        <v>12939</v>
      </c>
      <c r="O163" s="73">
        <f>SUM(Tabla22[[#This Row],[Bonus1]:[p2]])</f>
        <v>70875.839200000002</v>
      </c>
      <c r="P163" s="73">
        <f>IF(Tabla22[[#This Row],[QualityBonus]]&gt;0,Tabla22[[#This Row],[No wages]]-$C$4,"")</f>
        <v>24006.01360822784</v>
      </c>
    </row>
    <row r="164" spans="1:16" x14ac:dyDescent="0.25">
      <c r="A164" s="13">
        <v>148</v>
      </c>
      <c r="B164" s="13" t="s">
        <v>66</v>
      </c>
      <c r="C164" s="66">
        <v>1.4800000000000001E-2</v>
      </c>
      <c r="D164" s="2" t="s">
        <v>54</v>
      </c>
      <c r="E164" s="73">
        <v>56753</v>
      </c>
      <c r="F164" s="5">
        <v>1</v>
      </c>
      <c r="G164" s="2" t="s">
        <v>57</v>
      </c>
      <c r="H164" s="73">
        <v>79406</v>
      </c>
      <c r="I164" s="5">
        <v>2</v>
      </c>
      <c r="J164" s="74">
        <f>Tabla22[[#This Row],[Base price1]]*Tabla22[[#This Row],[Req.]]+Tabla22[[#This Row],[Base price2]]*Tabla22[[#This Row],[Req.2]]</f>
        <v>215565</v>
      </c>
      <c r="K164" s="73">
        <f>IFERROR(LOOKUP(Tabla22[[#This Row],[Product]],$R$18:$R$23,$T$18:$T$23)*Tabla22[[#This Row],[QualityBonus]]*Tabla22[[#This Row],[Base price1]]*Tabla22[[#This Row],[Req.]],0)</f>
        <v>4199.7220000000007</v>
      </c>
      <c r="L164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64" s="74">
        <f>IFERROR((Tabla22[[#This Row],[Base price1]]-LOOKUP(Tabla22[[#This Row],[Product]],$R$18:$R$23,$S$18:$S$23))*Tabla22[[#This Row],[Req.]],0)</f>
        <v>4753</v>
      </c>
      <c r="N164" s="79">
        <f>IF(Tabla22[[#This Row],[Req.2]]&gt;0,(Tabla22[[#This Row],[Base price2]]-LOOKUP(Tabla22[[#This Row],[Product2]],$R$18:$R$23,$S$18:$S$23))*Tabla22[[#This Row],[Req.2]],0)</f>
        <v>2812</v>
      </c>
      <c r="O164" s="73">
        <f>SUM(Tabla22[[#This Row],[Bonus1]:[p2]])</f>
        <v>21166.392400000001</v>
      </c>
      <c r="P164" s="73">
        <f>IF(Tabla22[[#This Row],[QualityBonus]]&gt;0,Tabla22[[#This Row],[No wages]]-$C$4,"")</f>
        <v>-25703.433191772161</v>
      </c>
    </row>
    <row r="165" spans="1:16" x14ac:dyDescent="0.25">
      <c r="A165" s="13">
        <v>149</v>
      </c>
      <c r="B165" s="13" t="s">
        <v>66</v>
      </c>
      <c r="C165" s="66">
        <v>2.87E-2</v>
      </c>
      <c r="D165" s="2" t="s">
        <v>53</v>
      </c>
      <c r="E165" s="73">
        <v>38878</v>
      </c>
      <c r="F165" s="5">
        <v>5</v>
      </c>
      <c r="G165" s="2" t="s">
        <v>52</v>
      </c>
      <c r="H165" s="73">
        <v>118055</v>
      </c>
      <c r="I165" s="5">
        <v>3</v>
      </c>
      <c r="J165" s="74">
        <f>Tabla22[[#This Row],[Base price1]]*Tabla22[[#This Row],[Req.]]+Tabla22[[#This Row],[Base price2]]*Tabla22[[#This Row],[Req.2]]</f>
        <v>548555</v>
      </c>
      <c r="K165" s="73">
        <f>IFERROR(LOOKUP(Tabla22[[#This Row],[Product]],$R$18:$R$23,$T$18:$T$23)*Tabla22[[#This Row],[QualityBonus]]*Tabla22[[#This Row],[Base price1]]*Tabla22[[#This Row],[Req.]],0)</f>
        <v>22315.972000000002</v>
      </c>
      <c r="L165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65" s="74">
        <f>IFERROR((Tabla22[[#This Row],[Base price1]]-LOOKUP(Tabla22[[#This Row],[Product]],$R$18:$R$23,$S$18:$S$23))*Tabla22[[#This Row],[Req.]],0)</f>
        <v>23390</v>
      </c>
      <c r="N165" s="79">
        <f>IF(Tabla22[[#This Row],[Req.2]]&gt;0,(Tabla22[[#This Row],[Base price2]]-LOOKUP(Tabla22[[#This Row],[Product2]],$R$18:$R$23,$S$18:$S$23))*Tabla22[[#This Row],[Req.2]],0)</f>
        <v>18165</v>
      </c>
      <c r="O165" s="73">
        <f>SUM(Tabla22[[#This Row],[Bonus1]:[p2]])</f>
        <v>114693.6495</v>
      </c>
      <c r="P165" s="73">
        <f>IF(Tabla22[[#This Row],[QualityBonus]]&gt;0,Tabla22[[#This Row],[No wages]]-$C$4,"")</f>
        <v>67823.823908227845</v>
      </c>
    </row>
    <row r="166" spans="1:16" x14ac:dyDescent="0.25">
      <c r="A166" s="13">
        <v>150</v>
      </c>
      <c r="B166" s="13" t="s">
        <v>66</v>
      </c>
      <c r="C166" s="66">
        <v>2.6599999999999999E-2</v>
      </c>
      <c r="D166" s="2" t="s">
        <v>53</v>
      </c>
      <c r="E166" s="73">
        <v>40165</v>
      </c>
      <c r="F166" s="5">
        <v>2</v>
      </c>
      <c r="G166" s="2"/>
      <c r="H166" s="73"/>
      <c r="I166" s="5"/>
      <c r="J166" s="74">
        <f>Tabla22[[#This Row],[Base price1]]*Tabla22[[#This Row],[Req.]]+Tabla22[[#This Row],[Base price2]]*Tabla22[[#This Row],[Req.2]]</f>
        <v>80330</v>
      </c>
      <c r="K166" s="73">
        <f>IFERROR(LOOKUP(Tabla22[[#This Row],[Product]],$R$18:$R$23,$T$18:$T$23)*Tabla22[[#This Row],[QualityBonus]]*Tabla22[[#This Row],[Base price1]]*Tabla22[[#This Row],[Req.]],0)</f>
        <v>8547.1119999999992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11930</v>
      </c>
      <c r="N166" s="79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20477.112000000001</v>
      </c>
      <c r="P166" s="73">
        <f>IF(Tabla22[[#This Row],[QualityBonus]]&gt;0,Tabla22[[#This Row],[No wages]]-$C$4,"")</f>
        <v>-26392.713591772161</v>
      </c>
    </row>
    <row r="167" spans="1:16" x14ac:dyDescent="0.25">
      <c r="A167" s="13">
        <v>151</v>
      </c>
      <c r="B167" s="13" t="s">
        <v>66</v>
      </c>
      <c r="C167" s="66">
        <v>2.47E-2</v>
      </c>
      <c r="D167" s="2" t="s">
        <v>55</v>
      </c>
      <c r="E167" s="73">
        <v>80261</v>
      </c>
      <c r="F167" s="5">
        <v>3</v>
      </c>
      <c r="G167" s="2" t="s">
        <v>53</v>
      </c>
      <c r="H167" s="73">
        <v>38757</v>
      </c>
      <c r="I167" s="5">
        <v>3</v>
      </c>
      <c r="J167" s="74">
        <f>Tabla22[[#This Row],[Base price1]]*Tabla22[[#This Row],[Req.]]+Tabla22[[#This Row],[Base price2]]*Tabla22[[#This Row],[Req.2]]</f>
        <v>357054</v>
      </c>
      <c r="K167" s="73">
        <f>IFERROR(LOOKUP(Tabla22[[#This Row],[Product]],$R$18:$R$23,$T$18:$T$23)*Tabla22[[#This Row],[QualityBonus]]*Tabla22[[#This Row],[Base price1]]*Tabla22[[#This Row],[Req.]],0)</f>
        <v>23789.360399999998</v>
      </c>
      <c r="L167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67" s="74">
        <f>IFERROR((Tabla22[[#This Row],[Base price1]]-LOOKUP(Tabla22[[#This Row],[Product]],$R$18:$R$23,$S$18:$S$23))*Tabla22[[#This Row],[Req.]],0)</f>
        <v>6783</v>
      </c>
      <c r="N167" s="79">
        <f>IF(Tabla22[[#This Row],[Req.2]]&gt;0,(Tabla22[[#This Row],[Base price2]]-LOOKUP(Tabla22[[#This Row],[Product2]],$R$18:$R$23,$S$18:$S$23))*Tabla22[[#This Row],[Req.2]],0)</f>
        <v>13671</v>
      </c>
      <c r="O167" s="73">
        <f>SUM(Tabla22[[#This Row],[Bonus1]:[p2]])</f>
        <v>55730.9352</v>
      </c>
      <c r="P167" s="73">
        <f>IF(Tabla22[[#This Row],[QualityBonus]]&gt;0,Tabla22[[#This Row],[No wages]]-$C$4,"")</f>
        <v>8861.1096082278382</v>
      </c>
    </row>
    <row r="168" spans="1:16" x14ac:dyDescent="0.25">
      <c r="A168" s="13">
        <v>152</v>
      </c>
      <c r="B168" s="13" t="s">
        <v>66</v>
      </c>
      <c r="C168" s="66">
        <v>2.24E-2</v>
      </c>
      <c r="D168" s="2" t="s">
        <v>53</v>
      </c>
      <c r="E168" s="73">
        <v>38282</v>
      </c>
      <c r="F168" s="5">
        <v>2</v>
      </c>
      <c r="G168" s="2" t="s">
        <v>57</v>
      </c>
      <c r="H168" s="73">
        <v>81208</v>
      </c>
      <c r="I168" s="5">
        <v>2</v>
      </c>
      <c r="J168" s="74">
        <f>Tabla22[[#This Row],[Base price1]]*Tabla22[[#This Row],[Req.]]+Tabla22[[#This Row],[Base price2]]*Tabla22[[#This Row],[Req.2]]</f>
        <v>238980</v>
      </c>
      <c r="K168" s="73">
        <f>IFERROR(LOOKUP(Tabla22[[#This Row],[Product]],$R$18:$R$23,$T$18:$T$23)*Tabla22[[#This Row],[QualityBonus]]*Tabla22[[#This Row],[Base price1]]*Tabla22[[#This Row],[Req.]],0)</f>
        <v>6860.1343999999999</v>
      </c>
      <c r="L168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68" s="74">
        <f>IFERROR((Tabla22[[#This Row],[Base price1]]-LOOKUP(Tabla22[[#This Row],[Product]],$R$18:$R$23,$S$18:$S$23))*Tabla22[[#This Row],[Req.]],0)</f>
        <v>8164</v>
      </c>
      <c r="N168" s="79">
        <f>IF(Tabla22[[#This Row],[Req.2]]&gt;0,(Tabla22[[#This Row],[Base price2]]-LOOKUP(Tabla22[[#This Row],[Product2]],$R$18:$R$23,$S$18:$S$23))*Tabla22[[#This Row],[Req.2]],0)</f>
        <v>6416</v>
      </c>
      <c r="O168" s="73">
        <f>SUM(Tabla22[[#This Row],[Bonus1]:[p2]])</f>
        <v>35992.608</v>
      </c>
      <c r="P168" s="73">
        <f>IF(Tabla22[[#This Row],[QualityBonus]]&gt;0,Tabla22[[#This Row],[No wages]]-$C$4,"")</f>
        <v>-10877.217591772162</v>
      </c>
    </row>
    <row r="169" spans="1:16" x14ac:dyDescent="0.25">
      <c r="A169" s="13">
        <v>153</v>
      </c>
      <c r="B169" s="13" t="s">
        <v>66</v>
      </c>
      <c r="C169" s="66">
        <v>2.4799999999999999E-2</v>
      </c>
      <c r="D169" s="2" t="s">
        <v>53</v>
      </c>
      <c r="E169" s="73">
        <v>38568</v>
      </c>
      <c r="F169" s="5">
        <v>5</v>
      </c>
      <c r="G169" s="2" t="s">
        <v>52</v>
      </c>
      <c r="H169" s="73">
        <v>116188</v>
      </c>
      <c r="I169" s="5">
        <v>1</v>
      </c>
      <c r="J169" s="74">
        <f>Tabla22[[#This Row],[Base price1]]*Tabla22[[#This Row],[Req.]]+Tabla22[[#This Row],[Base price2]]*Tabla22[[#This Row],[Req.2]]</f>
        <v>309028</v>
      </c>
      <c r="K169" s="73">
        <f>IFERROR(LOOKUP(Tabla22[[#This Row],[Product]],$R$18:$R$23,$T$18:$T$23)*Tabla22[[#This Row],[QualityBonus]]*Tabla22[[#This Row],[Base price1]]*Tabla22[[#This Row],[Req.]],0)</f>
        <v>19129.727999999999</v>
      </c>
      <c r="L169" s="73">
        <f>IF(Tabla22[[#This Row],[Req.2]]&gt;0,LOOKUP(Tabla22[[#This Row],[Product2]],$R$18:$R$23,$T$18:$T$23)*Tabla22[[#This Row],[Base price2]]*Tabla22[[#This Row],[Req.2]]*Tabla22[[#This Row],[QualityBonus]],0)</f>
        <v>14407.312</v>
      </c>
      <c r="M169" s="74">
        <f>IFERROR((Tabla22[[#This Row],[Base price1]]-LOOKUP(Tabla22[[#This Row],[Product]],$R$18:$R$23,$S$18:$S$23))*Tabla22[[#This Row],[Req.]],0)</f>
        <v>21840</v>
      </c>
      <c r="N169" s="79">
        <f>IF(Tabla22[[#This Row],[Req.2]]&gt;0,(Tabla22[[#This Row],[Base price2]]-LOOKUP(Tabla22[[#This Row],[Product2]],$R$18:$R$23,$S$18:$S$23))*Tabla22[[#This Row],[Req.2]],0)</f>
        <v>4188</v>
      </c>
      <c r="O169" s="73">
        <f>SUM(Tabla22[[#This Row],[Bonus1]:[p2]])</f>
        <v>59565.04</v>
      </c>
      <c r="P169" s="73">
        <f>IF(Tabla22[[#This Row],[QualityBonus]]&gt;0,Tabla22[[#This Row],[No wages]]-$C$4,"")</f>
        <v>12695.214408227839</v>
      </c>
    </row>
    <row r="170" spans="1:16" x14ac:dyDescent="0.25">
      <c r="A170" s="13">
        <v>154</v>
      </c>
      <c r="B170" s="13" t="s">
        <v>66</v>
      </c>
      <c r="C170" s="66">
        <v>2.7E-2</v>
      </c>
      <c r="D170" s="2" t="s">
        <v>55</v>
      </c>
      <c r="E170" s="73">
        <v>79349</v>
      </c>
      <c r="F170" s="5">
        <v>4</v>
      </c>
      <c r="G170" s="2" t="s">
        <v>53</v>
      </c>
      <c r="H170" s="73">
        <v>40468</v>
      </c>
      <c r="I170" s="5">
        <v>5</v>
      </c>
      <c r="J170" s="74">
        <f>Tabla22[[#This Row],[Base price1]]*Tabla22[[#This Row],[Req.]]+Tabla22[[#This Row],[Base price2]]*Tabla22[[#This Row],[Req.2]]</f>
        <v>519736</v>
      </c>
      <c r="K170" s="73">
        <f>IFERROR(LOOKUP(Tabla22[[#This Row],[Product]],$R$18:$R$23,$T$18:$T$23)*Tabla22[[#This Row],[QualityBonus]]*Tabla22[[#This Row],[Base price1]]*Tabla22[[#This Row],[Req.]],0)</f>
        <v>34278.767999999996</v>
      </c>
      <c r="L170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70" s="74">
        <f>IFERROR((Tabla22[[#This Row],[Base price1]]-LOOKUP(Tabla22[[#This Row],[Product]],$R$18:$R$23,$S$18:$S$23))*Tabla22[[#This Row],[Req.]],0)</f>
        <v>5396</v>
      </c>
      <c r="N170" s="79">
        <f>IF(Tabla22[[#This Row],[Req.2]]&gt;0,(Tabla22[[#This Row],[Base price2]]-LOOKUP(Tabla22[[#This Row],[Product2]],$R$18:$R$23,$S$18:$S$23))*Tabla22[[#This Row],[Req.2]],0)</f>
        <v>31340</v>
      </c>
      <c r="O170" s="73">
        <f>SUM(Tabla22[[#This Row],[Bonus1]:[p2]])</f>
        <v>92867.487999999998</v>
      </c>
      <c r="P170" s="73">
        <f>IF(Tabla22[[#This Row],[QualityBonus]]&gt;0,Tabla22[[#This Row],[No wages]]-$C$4,"")</f>
        <v>45997.662408227836</v>
      </c>
    </row>
    <row r="171" spans="1:16" x14ac:dyDescent="0.25">
      <c r="A171" s="13">
        <v>155</v>
      </c>
      <c r="B171" s="13" t="s">
        <v>66</v>
      </c>
      <c r="C171" s="66">
        <v>2.3599999999999999E-2</v>
      </c>
      <c r="D171" s="2" t="s">
        <v>54</v>
      </c>
      <c r="E171" s="73">
        <v>57427</v>
      </c>
      <c r="F171" s="5">
        <v>2</v>
      </c>
      <c r="G171" s="2" t="s">
        <v>57</v>
      </c>
      <c r="H171" s="73">
        <v>78594</v>
      </c>
      <c r="I171" s="5">
        <v>2</v>
      </c>
      <c r="J171" s="74">
        <f>Tabla22[[#This Row],[Base price1]]*Tabla22[[#This Row],[Req.]]+Tabla22[[#This Row],[Base price2]]*Tabla22[[#This Row],[Req.2]]</f>
        <v>272042</v>
      </c>
      <c r="K171" s="73">
        <f>IFERROR(LOOKUP(Tabla22[[#This Row],[Product]],$R$18:$R$23,$T$18:$T$23)*Tabla22[[#This Row],[QualityBonus]]*Tabla22[[#This Row],[Base price1]]*Tabla22[[#This Row],[Req.]],0)</f>
        <v>13552.771999999999</v>
      </c>
      <c r="L171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71" s="74">
        <f>IFERROR((Tabla22[[#This Row],[Base price1]]-LOOKUP(Tabla22[[#This Row],[Product]],$R$18:$R$23,$S$18:$S$23))*Tabla22[[#This Row],[Req.]],0)</f>
        <v>10854</v>
      </c>
      <c r="N171" s="79">
        <f>IF(Tabla22[[#This Row],[Req.2]]&gt;0,(Tabla22[[#This Row],[Base price2]]-LOOKUP(Tabla22[[#This Row],[Product2]],$R$18:$R$23,$S$18:$S$23))*Tabla22[[#This Row],[Req.2]],0)</f>
        <v>1188</v>
      </c>
      <c r="O171" s="73">
        <f>SUM(Tabla22[[#This Row],[Bonus1]:[p2]])</f>
        <v>40433.319199999998</v>
      </c>
      <c r="P171" s="73">
        <f>IF(Tabla22[[#This Row],[QualityBonus]]&gt;0,Tabla22[[#This Row],[No wages]]-$C$4,"")</f>
        <v>-6436.5063917721636</v>
      </c>
    </row>
    <row r="172" spans="1:16" x14ac:dyDescent="0.25">
      <c r="A172" s="13">
        <v>156</v>
      </c>
      <c r="B172" s="13" t="s">
        <v>66</v>
      </c>
      <c r="C172" s="66">
        <v>2.3699999999999999E-2</v>
      </c>
      <c r="D172" s="2" t="s">
        <v>55</v>
      </c>
      <c r="E172" s="73">
        <v>78651</v>
      </c>
      <c r="F172" s="5">
        <v>2</v>
      </c>
      <c r="G172" s="2"/>
      <c r="H172" s="73"/>
      <c r="I172" s="5"/>
      <c r="J172" s="74">
        <f>Tabla22[[#This Row],[Base price1]]*Tabla22[[#This Row],[Req.]]+Tabla22[[#This Row],[Base price2]]*Tabla22[[#This Row],[Req.2]]</f>
        <v>157302</v>
      </c>
      <c r="K172" s="73">
        <f>IFERROR(LOOKUP(Tabla22[[#This Row],[Product]],$R$18:$R$23,$T$18:$T$23)*Tabla22[[#This Row],[QualityBonus]]*Tabla22[[#This Row],[Base price1]]*Tabla22[[#This Row],[Req.]],0)</f>
        <v>14912.229599999999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1302</v>
      </c>
      <c r="N172" s="79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16214.229599999999</v>
      </c>
      <c r="P172" s="73">
        <f>IF(Tabla22[[#This Row],[QualityBonus]]&gt;0,Tabla22[[#This Row],[No wages]]-$C$4,"")</f>
        <v>-30655.595991772163</v>
      </c>
    </row>
    <row r="173" spans="1:16" x14ac:dyDescent="0.25">
      <c r="A173" s="13">
        <v>157</v>
      </c>
      <c r="B173" s="13" t="s">
        <v>66</v>
      </c>
      <c r="C173" s="66">
        <v>1.1900000000000001E-2</v>
      </c>
      <c r="D173" s="2" t="s">
        <v>55</v>
      </c>
      <c r="E173" s="73">
        <v>79927</v>
      </c>
      <c r="F173" s="5">
        <v>4</v>
      </c>
      <c r="G173" s="2" t="s">
        <v>53</v>
      </c>
      <c r="H173" s="73">
        <v>38587</v>
      </c>
      <c r="I173" s="5">
        <v>4</v>
      </c>
      <c r="J173" s="74">
        <f>Tabla22[[#This Row],[Base price1]]*Tabla22[[#This Row],[Req.]]+Tabla22[[#This Row],[Base price2]]*Tabla22[[#This Row],[Req.2]]</f>
        <v>474056</v>
      </c>
      <c r="K173" s="73">
        <f>IFERROR(LOOKUP(Tabla22[[#This Row],[Product]],$R$18:$R$23,$T$18:$T$23)*Tabla22[[#This Row],[QualityBonus]]*Tabla22[[#This Row],[Base price1]]*Tabla22[[#This Row],[Req.]],0)</f>
        <v>15218.100800000002</v>
      </c>
      <c r="L173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73" s="74">
        <f>IFERROR((Tabla22[[#This Row],[Base price1]]-LOOKUP(Tabla22[[#This Row],[Product]],$R$18:$R$23,$S$18:$S$23))*Tabla22[[#This Row],[Req.]],0)</f>
        <v>7708</v>
      </c>
      <c r="N173" s="79">
        <f>IF(Tabla22[[#This Row],[Req.2]]&gt;0,(Tabla22[[#This Row],[Base price2]]-LOOKUP(Tabla22[[#This Row],[Product2]],$R$18:$R$23,$S$18:$S$23))*Tabla22[[#This Row],[Req.2]],0)</f>
        <v>17548</v>
      </c>
      <c r="O173" s="73">
        <f>SUM(Tabla22[[#This Row],[Bonus1]:[p2]])</f>
        <v>47821.065600000002</v>
      </c>
      <c r="P173" s="73">
        <f>IF(Tabla22[[#This Row],[QualityBonus]]&gt;0,Tabla22[[#This Row],[No wages]]-$C$4,"")</f>
        <v>951.24000822784001</v>
      </c>
    </row>
    <row r="174" spans="1:16" x14ac:dyDescent="0.25">
      <c r="A174" s="13">
        <v>158</v>
      </c>
      <c r="B174" s="13" t="s">
        <v>66</v>
      </c>
      <c r="C174" s="66">
        <v>1.6899999999999998E-2</v>
      </c>
      <c r="D174" s="2" t="s">
        <v>56</v>
      </c>
      <c r="E174" s="73">
        <v>216583</v>
      </c>
      <c r="F174" s="5">
        <v>3</v>
      </c>
      <c r="G174" s="2" t="s">
        <v>57</v>
      </c>
      <c r="H174" s="73">
        <v>79321</v>
      </c>
      <c r="I174" s="5">
        <v>3</v>
      </c>
      <c r="J174" s="74">
        <f>Tabla22[[#This Row],[Base price1]]*Tabla22[[#This Row],[Req.]]+Tabla22[[#This Row],[Base price2]]*Tabla22[[#This Row],[Req.2]]</f>
        <v>887712</v>
      </c>
      <c r="K174" s="73">
        <f>IFERROR(LOOKUP(Tabla22[[#This Row],[Product]],$R$18:$R$23,$T$18:$T$23)*Tabla22[[#This Row],[QualityBonus]]*Tabla22[[#This Row],[Base price1]]*Tabla22[[#This Row],[Req.]],0)</f>
        <v>43923.032399999996</v>
      </c>
      <c r="L174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74" s="74">
        <f>IFERROR((Tabla22[[#This Row],[Base price1]]-LOOKUP(Tabla22[[#This Row],[Product]],$R$18:$R$23,$S$18:$S$23))*Tabla22[[#This Row],[Req.]],0)</f>
        <v>-13251</v>
      </c>
      <c r="N174" s="79">
        <f>IF(Tabla22[[#This Row],[Req.2]]&gt;0,(Tabla22[[#This Row],[Base price2]]-LOOKUP(Tabla22[[#This Row],[Product2]],$R$18:$R$23,$S$18:$S$23))*Tabla22[[#This Row],[Req.2]],0)</f>
        <v>3963</v>
      </c>
      <c r="O174" s="73">
        <f>SUM(Tabla22[[#This Row],[Bonus1]:[p2]])</f>
        <v>50721.331199999993</v>
      </c>
      <c r="P174" s="73">
        <f>IF(Tabla22[[#This Row],[QualityBonus]]&gt;0,Tabla22[[#This Row],[No wages]]-$C$4,"")</f>
        <v>3851.5056082278315</v>
      </c>
    </row>
    <row r="175" spans="1:16" x14ac:dyDescent="0.25">
      <c r="A175" s="24">
        <v>159</v>
      </c>
      <c r="B175" s="24" t="s">
        <v>66</v>
      </c>
      <c r="C175" s="44">
        <v>2.63E-2</v>
      </c>
      <c r="D175" s="37" t="s">
        <v>56</v>
      </c>
      <c r="E175" s="72">
        <v>219216</v>
      </c>
      <c r="F175" s="39">
        <v>3</v>
      </c>
      <c r="G175" s="37" t="s">
        <v>52</v>
      </c>
      <c r="H175" s="72">
        <v>115169</v>
      </c>
      <c r="I175" s="39">
        <v>2</v>
      </c>
      <c r="J175" s="75">
        <f>Tabla22[[#This Row],[Base price1]]*Tabla22[[#This Row],[Req.]]+Tabla22[[#This Row],[Base price2]]*Tabla22[[#This Row],[Req.2]]</f>
        <v>887986</v>
      </c>
      <c r="K175" s="72">
        <f>IFERROR(LOOKUP(Tabla22[[#This Row],[Product]],$R$18:$R$23,$T$18:$T$23)*Tabla22[[#This Row],[QualityBonus]]*Tabla22[[#This Row],[Base price1]]*Tabla22[[#This Row],[Req.]],0)</f>
        <v>69184.569600000003</v>
      </c>
      <c r="L175" s="72">
        <f>IF(Tabla22[[#This Row],[Req.2]]&gt;0,LOOKUP(Tabla22[[#This Row],[Product2]],$R$18:$R$23,$T$18:$T$23)*Tabla22[[#This Row],[Base price2]]*Tabla22[[#This Row],[Req.2]]*Tabla22[[#This Row],[QualityBonus]],0)</f>
        <v>30289.447</v>
      </c>
      <c r="M175" s="75">
        <f>IFERROR((Tabla22[[#This Row],[Base price1]]-LOOKUP(Tabla22[[#This Row],[Product]],$R$18:$R$23,$S$18:$S$23))*Tabla22[[#This Row],[Req.]],0)</f>
        <v>-5352</v>
      </c>
      <c r="N175" s="80">
        <f>IF(Tabla22[[#This Row],[Req.2]]&gt;0,(Tabla22[[#This Row],[Base price2]]-LOOKUP(Tabla22[[#This Row],[Product2]],$R$18:$R$23,$S$18:$S$23))*Tabla22[[#This Row],[Req.2]],0)</f>
        <v>6338</v>
      </c>
      <c r="O175" s="72">
        <f>SUM(Tabla22[[#This Row],[Bonus1]:[p2]])</f>
        <v>100460.0166</v>
      </c>
      <c r="P175" s="72">
        <f>IF(Tabla22[[#This Row],[QualityBonus]]&gt;0,Tabla22[[#This Row],[No wages]]-$C$4,"")</f>
        <v>53590.191008227841</v>
      </c>
    </row>
    <row r="176" spans="1:16" x14ac:dyDescent="0.25">
      <c r="A176" s="13">
        <v>160</v>
      </c>
      <c r="B176" s="13" t="s">
        <v>66</v>
      </c>
      <c r="C176" s="66">
        <v>1.3899999999999999E-2</v>
      </c>
      <c r="D176" s="2" t="s">
        <v>55</v>
      </c>
      <c r="E176" s="73">
        <v>81838</v>
      </c>
      <c r="F176" s="5">
        <v>2</v>
      </c>
      <c r="G176" s="2" t="s">
        <v>53</v>
      </c>
      <c r="H176" s="73">
        <v>40761</v>
      </c>
      <c r="I176" s="5">
        <v>2</v>
      </c>
      <c r="J176" s="74">
        <f>Tabla22[[#This Row],[Base price1]]*Tabla22[[#This Row],[Req.]]+Tabla22[[#This Row],[Base price2]]*Tabla22[[#This Row],[Req.2]]</f>
        <v>245198</v>
      </c>
      <c r="K176" s="73">
        <f>IFERROR(LOOKUP(Tabla22[[#This Row],[Product]],$R$18:$R$23,$T$18:$T$23)*Tabla22[[#This Row],[QualityBonus]]*Tabla22[[#This Row],[Base price1]]*Tabla22[[#This Row],[Req.]],0)</f>
        <v>9100.3855999999996</v>
      </c>
      <c r="L176" s="73">
        <f>IF(Tabla22[[#This Row],[Req.2]]&gt;0,LOOKUP(Tabla22[[#This Row],[Product2]],$R$18:$R$23,$T$18:$T$23)*Tabla22[[#This Row],[Base price2]]*Tabla22[[#This Row],[Req.2]]*Tabla22[[#This Row],[QualityBonus]],0)</f>
        <v>4532.6232</v>
      </c>
      <c r="M176" s="74">
        <f>IFERROR((Tabla22[[#This Row],[Base price1]]-LOOKUP(Tabla22[[#This Row],[Product]],$R$18:$R$23,$S$18:$S$23))*Tabla22[[#This Row],[Req.]],0)</f>
        <v>7676</v>
      </c>
      <c r="N176" s="79">
        <f>IF(Tabla22[[#This Row],[Req.2]]&gt;0,(Tabla22[[#This Row],[Base price2]]-LOOKUP(Tabla22[[#This Row],[Product2]],$R$18:$R$23,$S$18:$S$23))*Tabla22[[#This Row],[Req.2]],0)</f>
        <v>13122</v>
      </c>
      <c r="O176" s="73">
        <f>SUM(Tabla22[[#This Row],[Bonus1]:[p2]])</f>
        <v>34431.008799999996</v>
      </c>
      <c r="P176" s="73">
        <f>IF(Tabla22[[#This Row],[QualityBonus]]&gt;0,Tabla22[[#This Row],[No wages]]-$C$4,"")</f>
        <v>-12438.816791772166</v>
      </c>
    </row>
    <row r="177" spans="1:16" x14ac:dyDescent="0.25">
      <c r="A177" s="13">
        <v>161</v>
      </c>
      <c r="B177" s="13" t="s">
        <v>66</v>
      </c>
      <c r="C177" s="66">
        <v>1.0800000000000001E-2</v>
      </c>
      <c r="D177" s="2" t="s">
        <v>56</v>
      </c>
      <c r="E177" s="73">
        <v>217973</v>
      </c>
      <c r="F177" s="5">
        <v>3</v>
      </c>
      <c r="G177" s="2" t="s">
        <v>53</v>
      </c>
      <c r="H177" s="73">
        <v>39648</v>
      </c>
      <c r="I177" s="5">
        <v>2</v>
      </c>
      <c r="J177" s="74">
        <f>Tabla22[[#This Row],[Base price1]]*Tabla22[[#This Row],[Req.]]+Tabla22[[#This Row],[Base price2]]*Tabla22[[#This Row],[Req.2]]</f>
        <v>733215</v>
      </c>
      <c r="K177" s="73">
        <f>IFERROR(LOOKUP(Tabla22[[#This Row],[Product]],$R$18:$R$23,$T$18:$T$23)*Tabla22[[#This Row],[QualityBonus]]*Tabla22[[#This Row],[Base price1]]*Tabla22[[#This Row],[Req.]],0)</f>
        <v>28249.300800000001</v>
      </c>
      <c r="L177" s="73">
        <f>IF(Tabla22[[#This Row],[Req.2]]&gt;0,LOOKUP(Tabla22[[#This Row],[Product2]],$R$18:$R$23,$T$18:$T$23)*Tabla22[[#This Row],[Base price2]]*Tabla22[[#This Row],[Req.2]]*Tabla22[[#This Row],[QualityBonus]],0)</f>
        <v>3425.5872000000004</v>
      </c>
      <c r="M177" s="74">
        <f>IFERROR((Tabla22[[#This Row],[Base price1]]-LOOKUP(Tabla22[[#This Row],[Product]],$R$18:$R$23,$S$18:$S$23))*Tabla22[[#This Row],[Req.]],0)</f>
        <v>-9081</v>
      </c>
      <c r="N177" s="79">
        <f>IF(Tabla22[[#This Row],[Req.2]]&gt;0,(Tabla22[[#This Row],[Base price2]]-LOOKUP(Tabla22[[#This Row],[Product2]],$R$18:$R$23,$S$18:$S$23))*Tabla22[[#This Row],[Req.2]],0)</f>
        <v>10896</v>
      </c>
      <c r="O177" s="73">
        <f>SUM(Tabla22[[#This Row],[Bonus1]:[p2]])</f>
        <v>33489.888000000006</v>
      </c>
      <c r="P177" s="73">
        <f>IF(Tabla22[[#This Row],[QualityBonus]]&gt;0,Tabla22[[#This Row],[No wages]]-$C$4,"")</f>
        <v>-13379.937591772155</v>
      </c>
    </row>
    <row r="178" spans="1:16" x14ac:dyDescent="0.25">
      <c r="A178" s="13">
        <v>162</v>
      </c>
      <c r="B178" s="13" t="s">
        <v>66</v>
      </c>
      <c r="C178" s="66">
        <v>2.0199999999999999E-2</v>
      </c>
      <c r="D178" s="2" t="s">
        <v>56</v>
      </c>
      <c r="E178" s="73">
        <v>214810</v>
      </c>
      <c r="F178" s="5">
        <v>3</v>
      </c>
      <c r="G178" s="2" t="s">
        <v>53</v>
      </c>
      <c r="H178" s="73">
        <v>39869</v>
      </c>
      <c r="I178" s="5">
        <v>5</v>
      </c>
      <c r="J178" s="74">
        <f>Tabla22[[#This Row],[Base price1]]*Tabla22[[#This Row],[Req.]]+Tabla22[[#This Row],[Base price2]]*Tabla22[[#This Row],[Req.2]]</f>
        <v>843775</v>
      </c>
      <c r="K178" s="73">
        <f>IFERROR(LOOKUP(Tabla22[[#This Row],[Product]],$R$18:$R$23,$T$18:$T$23)*Tabla22[[#This Row],[QualityBonus]]*Tabla22[[#This Row],[Base price1]]*Tabla22[[#This Row],[Req.]],0)</f>
        <v>52069.944000000003</v>
      </c>
      <c r="L178" s="73">
        <f>IF(Tabla22[[#This Row],[Req.2]]&gt;0,LOOKUP(Tabla22[[#This Row],[Product2]],$R$18:$R$23,$T$18:$T$23)*Tabla22[[#This Row],[Base price2]]*Tabla22[[#This Row],[Req.2]]*Tabla22[[#This Row],[QualityBonus]],0)</f>
        <v>16107.075999999999</v>
      </c>
      <c r="M178" s="74">
        <f>IFERROR((Tabla22[[#This Row],[Base price1]]-LOOKUP(Tabla22[[#This Row],[Product]],$R$18:$R$23,$S$18:$S$23))*Tabla22[[#This Row],[Req.]],0)</f>
        <v>-18570</v>
      </c>
      <c r="N178" s="79">
        <f>IF(Tabla22[[#This Row],[Req.2]]&gt;0,(Tabla22[[#This Row],[Base price2]]-LOOKUP(Tabla22[[#This Row],[Product2]],$R$18:$R$23,$S$18:$S$23))*Tabla22[[#This Row],[Req.2]],0)</f>
        <v>28345</v>
      </c>
      <c r="O178" s="73">
        <f>SUM(Tabla22[[#This Row],[Bonus1]:[p2]])</f>
        <v>77952.02</v>
      </c>
      <c r="P178" s="73">
        <f>IF(Tabla22[[#This Row],[QualityBonus]]&gt;0,Tabla22[[#This Row],[No wages]]-$C$4,"")</f>
        <v>31082.194408227842</v>
      </c>
    </row>
    <row r="179" spans="1:16" x14ac:dyDescent="0.25">
      <c r="A179" s="13">
        <v>163</v>
      </c>
      <c r="B179" s="13" t="s">
        <v>66</v>
      </c>
      <c r="C179" s="66">
        <v>2.2100000000000002E-2</v>
      </c>
      <c r="D179" s="2" t="s">
        <v>52</v>
      </c>
      <c r="E179" s="73">
        <v>114121</v>
      </c>
      <c r="F179" s="5">
        <v>1</v>
      </c>
      <c r="G179" s="2" t="s">
        <v>54</v>
      </c>
      <c r="H179" s="73">
        <v>57307</v>
      </c>
      <c r="I179" s="5">
        <v>4</v>
      </c>
      <c r="J179" s="74">
        <f>Tabla22[[#This Row],[Base price1]]*Tabla22[[#This Row],[Req.]]+Tabla22[[#This Row],[Base price2]]*Tabla22[[#This Row],[Req.2]]</f>
        <v>343349</v>
      </c>
      <c r="K179" s="73">
        <f>IFERROR(LOOKUP(Tabla22[[#This Row],[Product]],$R$18:$R$23,$T$18:$T$23)*Tabla22[[#This Row],[QualityBonus]]*Tabla22[[#This Row],[Base price1]]*Tabla22[[#This Row],[Req.]],0)</f>
        <v>12610.370500000001</v>
      </c>
      <c r="L179" s="73">
        <f>IF(Tabla22[[#This Row],[Req.2]]&gt;0,LOOKUP(Tabla22[[#This Row],[Product2]],$R$18:$R$23,$T$18:$T$23)*Tabla22[[#This Row],[Base price2]]*Tabla22[[#This Row],[Req.2]]*Tabla22[[#This Row],[QualityBonus]],0)</f>
        <v>25329.694000000003</v>
      </c>
      <c r="M179" s="74">
        <f>IFERROR((Tabla22[[#This Row],[Base price1]]-LOOKUP(Tabla22[[#This Row],[Product]],$R$18:$R$23,$S$18:$S$23))*Tabla22[[#This Row],[Req.]],0)</f>
        <v>2121</v>
      </c>
      <c r="N179" s="79">
        <f>IF(Tabla22[[#This Row],[Req.2]]&gt;0,(Tabla22[[#This Row],[Base price2]]-LOOKUP(Tabla22[[#This Row],[Product2]],$R$18:$R$23,$S$18:$S$23))*Tabla22[[#This Row],[Req.2]],0)</f>
        <v>21228</v>
      </c>
      <c r="O179" s="73">
        <f>SUM(Tabla22[[#This Row],[Bonus1]:[p2]])</f>
        <v>61289.064500000008</v>
      </c>
      <c r="P179" s="73">
        <f>IF(Tabla22[[#This Row],[QualityBonus]]&gt;0,Tabla22[[#This Row],[No wages]]-$C$4,"")</f>
        <v>14419.238908227846</v>
      </c>
    </row>
    <row r="180" spans="1:16" x14ac:dyDescent="0.25">
      <c r="A180" s="13">
        <v>164</v>
      </c>
      <c r="B180" s="13" t="s">
        <v>66</v>
      </c>
      <c r="C180" s="66">
        <v>1.7100000000000001E-2</v>
      </c>
      <c r="D180" s="2" t="s">
        <v>55</v>
      </c>
      <c r="E180" s="73">
        <v>81754</v>
      </c>
      <c r="F180" s="5">
        <v>4</v>
      </c>
      <c r="G180" s="2"/>
      <c r="H180" s="73"/>
      <c r="I180" s="5"/>
      <c r="J180" s="74">
        <f>Tabla22[[#This Row],[Base price1]]*Tabla22[[#This Row],[Req.]]+Tabla22[[#This Row],[Base price2]]*Tabla22[[#This Row],[Req.2]]</f>
        <v>327016</v>
      </c>
      <c r="K180" s="73">
        <f>IFERROR(LOOKUP(Tabla22[[#This Row],[Product]],$R$18:$R$23,$T$18:$T$23)*Tabla22[[#This Row],[QualityBonus]]*Tabla22[[#This Row],[Base price1]]*Tabla22[[#This Row],[Req.]],0)</f>
        <v>22367.894400000001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15016</v>
      </c>
      <c r="N180" s="79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37383.894400000005</v>
      </c>
      <c r="P180" s="73">
        <f>IF(Tabla22[[#This Row],[QualityBonus]]&gt;0,Tabla22[[#This Row],[No wages]]-$C$4,"")</f>
        <v>-9485.931191772157</v>
      </c>
    </row>
    <row r="181" spans="1:16" x14ac:dyDescent="0.25">
      <c r="A181" s="13">
        <v>165</v>
      </c>
      <c r="B181" s="13" t="s">
        <v>66</v>
      </c>
      <c r="C181" s="66">
        <v>1.3899999999999999E-2</v>
      </c>
      <c r="D181" s="2" t="s">
        <v>55</v>
      </c>
      <c r="E181" s="73">
        <v>81400</v>
      </c>
      <c r="F181" s="5">
        <v>3</v>
      </c>
      <c r="G181" s="2" t="s">
        <v>53</v>
      </c>
      <c r="H181" s="73">
        <v>40491</v>
      </c>
      <c r="I181" s="5">
        <v>5</v>
      </c>
      <c r="J181" s="74">
        <f>Tabla22[[#This Row],[Base price1]]*Tabla22[[#This Row],[Req.]]+Tabla22[[#This Row],[Base price2]]*Tabla22[[#This Row],[Req.2]]</f>
        <v>446655</v>
      </c>
      <c r="K181" s="73">
        <f>IFERROR(LOOKUP(Tabla22[[#This Row],[Product]],$R$18:$R$23,$T$18:$T$23)*Tabla22[[#This Row],[QualityBonus]]*Tabla22[[#This Row],[Base price1]]*Tabla22[[#This Row],[Req.]],0)</f>
        <v>13577.52</v>
      </c>
      <c r="L181" s="73">
        <f>IF(Tabla22[[#This Row],[Req.2]]&gt;0,LOOKUP(Tabla22[[#This Row],[Product2]],$R$18:$R$23,$T$18:$T$23)*Tabla22[[#This Row],[Base price2]]*Tabla22[[#This Row],[Req.2]]*Tabla22[[#This Row],[QualityBonus]],0)</f>
        <v>11256.498</v>
      </c>
      <c r="M181" s="74">
        <f>IFERROR((Tabla22[[#This Row],[Base price1]]-LOOKUP(Tabla22[[#This Row],[Product]],$R$18:$R$23,$S$18:$S$23))*Tabla22[[#This Row],[Req.]],0)</f>
        <v>10200</v>
      </c>
      <c r="N181" s="79">
        <f>IF(Tabla22[[#This Row],[Req.2]]&gt;0,(Tabla22[[#This Row],[Base price2]]-LOOKUP(Tabla22[[#This Row],[Product2]],$R$18:$R$23,$S$18:$S$23))*Tabla22[[#This Row],[Req.2]],0)</f>
        <v>31455</v>
      </c>
      <c r="O181" s="73">
        <f>SUM(Tabla22[[#This Row],[Bonus1]:[p2]])</f>
        <v>66489.017999999996</v>
      </c>
      <c r="P181" s="73">
        <f>IF(Tabla22[[#This Row],[QualityBonus]]&gt;0,Tabla22[[#This Row],[No wages]]-$C$4,"")</f>
        <v>19619.192408227835</v>
      </c>
    </row>
    <row r="182" spans="1:16" x14ac:dyDescent="0.25">
      <c r="A182" s="24">
        <v>166</v>
      </c>
      <c r="B182" s="24" t="s">
        <v>66</v>
      </c>
      <c r="C182" s="44">
        <v>2.4E-2</v>
      </c>
      <c r="D182" s="37" t="s">
        <v>55</v>
      </c>
      <c r="E182" s="72">
        <v>82767</v>
      </c>
      <c r="F182" s="39">
        <v>4</v>
      </c>
      <c r="G182" s="37"/>
      <c r="H182" s="72"/>
      <c r="I182" s="39"/>
      <c r="J182" s="75">
        <f>Tabla22[[#This Row],[Base price1]]*Tabla22[[#This Row],[Req.]]+Tabla22[[#This Row],[Base price2]]*Tabla22[[#This Row],[Req.2]]</f>
        <v>331068</v>
      </c>
      <c r="K182" s="72">
        <f>IFERROR(LOOKUP(Tabla22[[#This Row],[Product]],$R$18:$R$23,$T$18:$T$23)*Tabla22[[#This Row],[QualityBonus]]*Tabla22[[#This Row],[Base price1]]*Tabla22[[#This Row],[Req.]],0)</f>
        <v>31782.528000000002</v>
      </c>
      <c r="L182" s="72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19068</v>
      </c>
      <c r="N182" s="80">
        <f>IF(Tabla22[[#This Row],[Req.2]]&gt;0,(Tabla22[[#This Row],[Base price2]]-LOOKUP(Tabla22[[#This Row],[Product2]],$R$18:$R$23,$S$18:$S$23))*Tabla22[[#This Row],[Req.2]],0)</f>
        <v>0</v>
      </c>
      <c r="O182" s="72">
        <f>SUM(Tabla22[[#This Row],[Bonus1]:[p2]])</f>
        <v>50850.528000000006</v>
      </c>
      <c r="P182" s="72">
        <f>IF(Tabla22[[#This Row],[QualityBonus]]&gt;0,Tabla22[[#This Row],[No wages]]-$C$4,"")</f>
        <v>3980.702408227844</v>
      </c>
    </row>
    <row r="183" spans="1:16" x14ac:dyDescent="0.25">
      <c r="A183" s="13">
        <v>167</v>
      </c>
      <c r="B183" s="13" t="s">
        <v>66</v>
      </c>
      <c r="C183" s="66">
        <v>1.8599999999999998E-2</v>
      </c>
      <c r="D183" s="2" t="s">
        <v>56</v>
      </c>
      <c r="E183" s="73">
        <v>219768</v>
      </c>
      <c r="F183" s="5">
        <v>1</v>
      </c>
      <c r="G183" s="2" t="s">
        <v>57</v>
      </c>
      <c r="H183" s="73">
        <v>82673</v>
      </c>
      <c r="I183" s="5">
        <v>3</v>
      </c>
      <c r="J183" s="74">
        <f>Tabla22[[#This Row],[Base price1]]*Tabla22[[#This Row],[Req.]]+Tabla22[[#This Row],[Base price2]]*Tabla22[[#This Row],[Req.2]]</f>
        <v>467787</v>
      </c>
      <c r="K183" s="73">
        <f>IFERROR(LOOKUP(Tabla22[[#This Row],[Product]],$R$18:$R$23,$T$18:$T$23)*Tabla22[[#This Row],[QualityBonus]]*Tabla22[[#This Row],[Base price1]]*Tabla22[[#This Row],[Req.]],0)</f>
        <v>16350.739199999998</v>
      </c>
      <c r="L183" s="73">
        <f>IF(Tabla22[[#This Row],[Req.2]]&gt;0,LOOKUP(Tabla22[[#This Row],[Product2]],$R$18:$R$23,$T$18:$T$23)*Tabla22[[#This Row],[Base price2]]*Tabla22[[#This Row],[Req.2]]*Tabla22[[#This Row],[QualityBonus]],0)</f>
        <v>18452.613599999997</v>
      </c>
      <c r="M183" s="74">
        <f>IFERROR((Tabla22[[#This Row],[Base price1]]-LOOKUP(Tabla22[[#This Row],[Product]],$R$18:$R$23,$S$18:$S$23))*Tabla22[[#This Row],[Req.]],0)</f>
        <v>-1232</v>
      </c>
      <c r="N183" s="79">
        <f>IF(Tabla22[[#This Row],[Req.2]]&gt;0,(Tabla22[[#This Row],[Base price2]]-LOOKUP(Tabla22[[#This Row],[Product2]],$R$18:$R$23,$S$18:$S$23))*Tabla22[[#This Row],[Req.2]],0)</f>
        <v>14019</v>
      </c>
      <c r="O183" s="73">
        <f>SUM(Tabla22[[#This Row],[Bonus1]:[p2]])</f>
        <v>47590.352799999993</v>
      </c>
      <c r="P183" s="73">
        <f>IF(Tabla22[[#This Row],[QualityBonus]]&gt;0,Tabla22[[#This Row],[No wages]]-$C$4,"")</f>
        <v>720.52720822783158</v>
      </c>
    </row>
    <row r="184" spans="1:16" x14ac:dyDescent="0.25">
      <c r="A184" s="13">
        <v>168</v>
      </c>
      <c r="B184" s="13" t="s">
        <v>66</v>
      </c>
      <c r="C184" s="66">
        <v>1.7399999999999999E-2</v>
      </c>
      <c r="D184" s="2" t="s">
        <v>54</v>
      </c>
      <c r="E184" s="73">
        <v>58185</v>
      </c>
      <c r="F184" s="5">
        <v>4</v>
      </c>
      <c r="G184" s="2" t="s">
        <v>53</v>
      </c>
      <c r="H184" s="73">
        <v>39211</v>
      </c>
      <c r="I184" s="5">
        <v>4</v>
      </c>
      <c r="J184" s="74">
        <f>Tabla22[[#This Row],[Base price1]]*Tabla22[[#This Row],[Req.]]+Tabla22[[#This Row],[Base price2]]*Tabla22[[#This Row],[Req.2]]</f>
        <v>389584</v>
      </c>
      <c r="K184" s="73">
        <f>IFERROR(LOOKUP(Tabla22[[#This Row],[Product]],$R$18:$R$23,$T$18:$T$23)*Tabla22[[#This Row],[QualityBonus]]*Tabla22[[#This Row],[Base price1]]*Tabla22[[#This Row],[Req.]],0)</f>
        <v>20248.379999999997</v>
      </c>
      <c r="L184" s="73">
        <f>IF(Tabla22[[#This Row],[Req.2]]&gt;0,LOOKUP(Tabla22[[#This Row],[Product2]],$R$18:$R$23,$T$18:$T$23)*Tabla22[[#This Row],[Base price2]]*Tabla22[[#This Row],[Req.2]]*Tabla22[[#This Row],[QualityBonus]],0)</f>
        <v>10916.3424</v>
      </c>
      <c r="M184" s="74">
        <f>IFERROR((Tabla22[[#This Row],[Base price1]]-LOOKUP(Tabla22[[#This Row],[Product]],$R$18:$R$23,$S$18:$S$23))*Tabla22[[#This Row],[Req.]],0)</f>
        <v>24740</v>
      </c>
      <c r="N184" s="79">
        <f>IF(Tabla22[[#This Row],[Req.2]]&gt;0,(Tabla22[[#This Row],[Base price2]]-LOOKUP(Tabla22[[#This Row],[Product2]],$R$18:$R$23,$S$18:$S$23))*Tabla22[[#This Row],[Req.2]],0)</f>
        <v>20044</v>
      </c>
      <c r="O184" s="73">
        <f>SUM(Tabla22[[#This Row],[Bonus1]:[p2]])</f>
        <v>75948.722399999999</v>
      </c>
      <c r="P184" s="73">
        <f>IF(Tabla22[[#This Row],[QualityBonus]]&gt;0,Tabla22[[#This Row],[No wages]]-$C$4,"")</f>
        <v>29078.896808227837</v>
      </c>
    </row>
    <row r="185" spans="1:16" x14ac:dyDescent="0.25">
      <c r="A185" s="13">
        <v>169</v>
      </c>
      <c r="B185" s="13" t="s">
        <v>66</v>
      </c>
      <c r="C185" s="66">
        <v>2.5399999999999999E-2</v>
      </c>
      <c r="D185" s="2" t="s">
        <v>53</v>
      </c>
      <c r="E185" s="73">
        <v>38606</v>
      </c>
      <c r="F185" s="5">
        <v>3</v>
      </c>
      <c r="G185" s="2" t="s">
        <v>57</v>
      </c>
      <c r="H185" s="73">
        <v>81582</v>
      </c>
      <c r="I185" s="5">
        <v>4</v>
      </c>
      <c r="J185" s="74">
        <f>Tabla22[[#This Row],[Base price1]]*Tabla22[[#This Row],[Req.]]+Tabla22[[#This Row],[Base price2]]*Tabla22[[#This Row],[Req.2]]</f>
        <v>442146</v>
      </c>
      <c r="K185" s="73">
        <f>IFERROR(LOOKUP(Tabla22[[#This Row],[Product]],$R$18:$R$23,$T$18:$T$23)*Tabla22[[#This Row],[QualityBonus]]*Tabla22[[#This Row],[Base price1]]*Tabla22[[#This Row],[Req.]],0)</f>
        <v>11767.1088</v>
      </c>
      <c r="L185" s="73">
        <f>IF(Tabla22[[#This Row],[Req.2]]&gt;0,LOOKUP(Tabla22[[#This Row],[Product2]],$R$18:$R$23,$T$18:$T$23)*Tabla22[[#This Row],[Base price2]]*Tabla22[[#This Row],[Req.2]]*Tabla22[[#This Row],[QualityBonus]],0)</f>
        <v>33154.924800000001</v>
      </c>
      <c r="M185" s="74">
        <f>IFERROR((Tabla22[[#This Row],[Base price1]]-LOOKUP(Tabla22[[#This Row],[Product]],$R$18:$R$23,$S$18:$S$23))*Tabla22[[#This Row],[Req.]],0)</f>
        <v>13218</v>
      </c>
      <c r="N185" s="79">
        <f>IF(Tabla22[[#This Row],[Req.2]]&gt;0,(Tabla22[[#This Row],[Base price2]]-LOOKUP(Tabla22[[#This Row],[Product2]],$R$18:$R$23,$S$18:$S$23))*Tabla22[[#This Row],[Req.2]],0)</f>
        <v>14328</v>
      </c>
      <c r="O185" s="73">
        <f>SUM(Tabla22[[#This Row],[Bonus1]:[p2]])</f>
        <v>72468.033599999995</v>
      </c>
      <c r="P185" s="73">
        <f>IF(Tabla22[[#This Row],[QualityBonus]]&gt;0,Tabla22[[#This Row],[No wages]]-$C$4,"")</f>
        <v>25598.208008227833</v>
      </c>
    </row>
    <row r="186" spans="1:16" x14ac:dyDescent="0.25">
      <c r="A186" s="13">
        <v>170</v>
      </c>
      <c r="B186" s="13" t="s">
        <v>66</v>
      </c>
      <c r="C186" s="66">
        <v>2.75E-2</v>
      </c>
      <c r="D186" s="2" t="s">
        <v>53</v>
      </c>
      <c r="E186" s="73">
        <v>40285</v>
      </c>
      <c r="F186" s="5">
        <v>4</v>
      </c>
      <c r="G186" s="2" t="s">
        <v>57</v>
      </c>
      <c r="H186" s="73">
        <v>80821</v>
      </c>
      <c r="I186" s="5">
        <v>4</v>
      </c>
      <c r="J186" s="74">
        <f>Tabla22[[#This Row],[Base price1]]*Tabla22[[#This Row],[Req.]]+Tabla22[[#This Row],[Base price2]]*Tabla22[[#This Row],[Req.2]]</f>
        <v>484424</v>
      </c>
      <c r="K186" s="73">
        <f>IFERROR(LOOKUP(Tabla22[[#This Row],[Product]],$R$18:$R$23,$T$18:$T$23)*Tabla22[[#This Row],[QualityBonus]]*Tabla22[[#This Row],[Base price1]]*Tabla22[[#This Row],[Req.]],0)</f>
        <v>17725.400000000001</v>
      </c>
      <c r="L186" s="73">
        <f>IF(Tabla22[[#This Row],[Req.2]]&gt;0,LOOKUP(Tabla22[[#This Row],[Product2]],$R$18:$R$23,$T$18:$T$23)*Tabla22[[#This Row],[Base price2]]*Tabla22[[#This Row],[Req.2]]*Tabla22[[#This Row],[QualityBonus]],0)</f>
        <v>35561.24</v>
      </c>
      <c r="M186" s="74">
        <f>IFERROR((Tabla22[[#This Row],[Base price1]]-LOOKUP(Tabla22[[#This Row],[Product]],$R$18:$R$23,$S$18:$S$23))*Tabla22[[#This Row],[Req.]],0)</f>
        <v>24340</v>
      </c>
      <c r="N186" s="79">
        <f>IF(Tabla22[[#This Row],[Req.2]]&gt;0,(Tabla22[[#This Row],[Base price2]]-LOOKUP(Tabla22[[#This Row],[Product2]],$R$18:$R$23,$S$18:$S$23))*Tabla22[[#This Row],[Req.2]],0)</f>
        <v>11284</v>
      </c>
      <c r="O186" s="73">
        <f>SUM(Tabla22[[#This Row],[Bonus1]:[p2]])</f>
        <v>88910.64</v>
      </c>
      <c r="P186" s="73">
        <f>IF(Tabla22[[#This Row],[QualityBonus]]&gt;0,Tabla22[[#This Row],[No wages]]-$C$4,"")</f>
        <v>42040.814408227838</v>
      </c>
    </row>
    <row r="187" spans="1:16" x14ac:dyDescent="0.25">
      <c r="A187" s="13">
        <v>171</v>
      </c>
      <c r="B187" s="13" t="s">
        <v>66</v>
      </c>
      <c r="C187" s="66">
        <v>1.6400000000000001E-2</v>
      </c>
      <c r="D187" s="2" t="s">
        <v>53</v>
      </c>
      <c r="E187" s="73">
        <v>40207</v>
      </c>
      <c r="F187" s="5">
        <v>2</v>
      </c>
      <c r="G187" s="2"/>
      <c r="H187" s="73"/>
      <c r="I187" s="5"/>
      <c r="J187" s="74">
        <f>Tabla22[[#This Row],[Base price1]]*Tabla22[[#This Row],[Req.]]+Tabla22[[#This Row],[Base price2]]*Tabla22[[#This Row],[Req.2]]</f>
        <v>80414</v>
      </c>
      <c r="K187" s="73">
        <f>IFERROR(LOOKUP(Tabla22[[#This Row],[Product]],$R$18:$R$23,$T$18:$T$23)*Tabla22[[#This Row],[QualityBonus]]*Tabla22[[#This Row],[Base price1]]*Tabla22[[#This Row],[Req.]],0)</f>
        <v>5275.1584000000003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12014</v>
      </c>
      <c r="N187" s="79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17289.1584</v>
      </c>
      <c r="P187" s="73">
        <f>IF(Tabla22[[#This Row],[QualityBonus]]&gt;0,Tabla22[[#This Row],[No wages]]-$C$4,"")</f>
        <v>-29580.667191772161</v>
      </c>
    </row>
    <row r="188" spans="1:16" x14ac:dyDescent="0.25">
      <c r="A188" s="13">
        <v>172</v>
      </c>
      <c r="B188" s="13" t="s">
        <v>66</v>
      </c>
      <c r="C188" s="66">
        <v>1.7999999999999999E-2</v>
      </c>
      <c r="D188" s="2" t="s">
        <v>55</v>
      </c>
      <c r="E188" s="73">
        <v>80804</v>
      </c>
      <c r="F188" s="5">
        <v>1</v>
      </c>
      <c r="G188" s="2"/>
      <c r="H188" s="73"/>
      <c r="I188" s="5"/>
      <c r="J188" s="74">
        <f>Tabla22[[#This Row],[Base price1]]*Tabla22[[#This Row],[Req.]]+Tabla22[[#This Row],[Base price2]]*Tabla22[[#This Row],[Req.2]]</f>
        <v>80804</v>
      </c>
      <c r="K188" s="73">
        <f>IFERROR(LOOKUP(Tabla22[[#This Row],[Product]],$R$18:$R$23,$T$18:$T$23)*Tabla22[[#This Row],[QualityBonus]]*Tabla22[[#This Row],[Base price1]]*Tabla22[[#This Row],[Req.]],0)</f>
        <v>5817.8879999999999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2804</v>
      </c>
      <c r="N188" s="79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8621.887999999999</v>
      </c>
      <c r="P188" s="73">
        <f>IF(Tabla22[[#This Row],[QualityBonus]]&gt;0,Tabla22[[#This Row],[No wages]]-$C$4,"")</f>
        <v>-38247.937591772163</v>
      </c>
    </row>
    <row r="189" spans="1:16" x14ac:dyDescent="0.25">
      <c r="A189" s="13">
        <v>173</v>
      </c>
      <c r="B189" s="13" t="s">
        <v>66</v>
      </c>
      <c r="C189" s="66">
        <v>1.24E-2</v>
      </c>
      <c r="D189" s="2" t="s">
        <v>52</v>
      </c>
      <c r="E189" s="73">
        <v>114505</v>
      </c>
      <c r="F189" s="5">
        <v>3</v>
      </c>
      <c r="G189" s="2" t="s">
        <v>54</v>
      </c>
      <c r="H189" s="73">
        <v>56318</v>
      </c>
      <c r="I189" s="5">
        <v>2</v>
      </c>
      <c r="J189" s="74">
        <f>Tabla22[[#This Row],[Base price1]]*Tabla22[[#This Row],[Req.]]+Tabla22[[#This Row],[Base price2]]*Tabla22[[#This Row],[Req.2]]</f>
        <v>456151</v>
      </c>
      <c r="K189" s="73">
        <f>IFERROR(LOOKUP(Tabla22[[#This Row],[Product]],$R$18:$R$23,$T$18:$T$23)*Tabla22[[#This Row],[QualityBonus]]*Tabla22[[#This Row],[Base price1]]*Tabla22[[#This Row],[Req.]],0)</f>
        <v>21297.93</v>
      </c>
      <c r="L189" s="73">
        <f>IF(Tabla22[[#This Row],[Req.2]]&gt;0,LOOKUP(Tabla22[[#This Row],[Product2]],$R$18:$R$23,$T$18:$T$23)*Tabla22[[#This Row],[Base price2]]*Tabla22[[#This Row],[Req.2]]*Tabla22[[#This Row],[QualityBonus]],0)</f>
        <v>6983.4319999999998</v>
      </c>
      <c r="M189" s="74">
        <f>IFERROR((Tabla22[[#This Row],[Base price1]]-LOOKUP(Tabla22[[#This Row],[Product]],$R$18:$R$23,$S$18:$S$23))*Tabla22[[#This Row],[Req.]],0)</f>
        <v>7515</v>
      </c>
      <c r="N189" s="79">
        <f>IF(Tabla22[[#This Row],[Req.2]]&gt;0,(Tabla22[[#This Row],[Base price2]]-LOOKUP(Tabla22[[#This Row],[Product2]],$R$18:$R$23,$S$18:$S$23))*Tabla22[[#This Row],[Req.2]],0)</f>
        <v>8636</v>
      </c>
      <c r="O189" s="73">
        <f>SUM(Tabla22[[#This Row],[Bonus1]:[p2]])</f>
        <v>44432.362000000001</v>
      </c>
      <c r="P189" s="73">
        <f>IF(Tabla22[[#This Row],[QualityBonus]]&gt;0,Tabla22[[#This Row],[No wages]]-$C$4,"")</f>
        <v>-2437.4635917721607</v>
      </c>
    </row>
    <row r="190" spans="1:16" x14ac:dyDescent="0.25">
      <c r="A190" s="13">
        <v>174</v>
      </c>
      <c r="B190" s="13" t="s">
        <v>66</v>
      </c>
      <c r="C190" s="66">
        <v>2.3300000000000001E-2</v>
      </c>
      <c r="D190" s="2" t="s">
        <v>53</v>
      </c>
      <c r="E190" s="73">
        <v>40291</v>
      </c>
      <c r="F190" s="5">
        <v>4</v>
      </c>
      <c r="G190" s="2" t="s">
        <v>54</v>
      </c>
      <c r="H190" s="73">
        <v>56821</v>
      </c>
      <c r="I190" s="5">
        <v>4</v>
      </c>
      <c r="J190" s="74">
        <f>Tabla22[[#This Row],[Base price1]]*Tabla22[[#This Row],[Req.]]+Tabla22[[#This Row],[Base price2]]*Tabla22[[#This Row],[Req.2]]</f>
        <v>388448</v>
      </c>
      <c r="K190" s="73">
        <f>IFERROR(LOOKUP(Tabla22[[#This Row],[Product]],$R$18:$R$23,$T$18:$T$23)*Tabla22[[#This Row],[QualityBonus]]*Tabla22[[#This Row],[Base price1]]*Tabla22[[#This Row],[Req.]],0)</f>
        <v>15020.4848</v>
      </c>
      <c r="L190" s="73">
        <f>IF(Tabla22[[#This Row],[Req.2]]&gt;0,LOOKUP(Tabla22[[#This Row],[Product2]],$R$18:$R$23,$T$18:$T$23)*Tabla22[[#This Row],[Base price2]]*Tabla22[[#This Row],[Req.2]]*Tabla22[[#This Row],[QualityBonus]],0)</f>
        <v>26478.586000000003</v>
      </c>
      <c r="M190" s="74">
        <f>IFERROR((Tabla22[[#This Row],[Base price1]]-LOOKUP(Tabla22[[#This Row],[Product]],$R$18:$R$23,$S$18:$S$23))*Tabla22[[#This Row],[Req.]],0)</f>
        <v>24364</v>
      </c>
      <c r="N190" s="79">
        <f>IF(Tabla22[[#This Row],[Req.2]]&gt;0,(Tabla22[[#This Row],[Base price2]]-LOOKUP(Tabla22[[#This Row],[Product2]],$R$18:$R$23,$S$18:$S$23))*Tabla22[[#This Row],[Req.2]],0)</f>
        <v>19284</v>
      </c>
      <c r="O190" s="73">
        <f>SUM(Tabla22[[#This Row],[Bonus1]:[p2]])</f>
        <v>85147.070800000001</v>
      </c>
      <c r="P190" s="73">
        <f>IF(Tabla22[[#This Row],[QualityBonus]]&gt;0,Tabla22[[#This Row],[No wages]]-$C$4,"")</f>
        <v>38277.24520822784</v>
      </c>
    </row>
    <row r="191" spans="1:16" x14ac:dyDescent="0.25">
      <c r="A191" s="13">
        <v>175</v>
      </c>
      <c r="B191" s="13" t="s">
        <v>66</v>
      </c>
      <c r="C191" s="66">
        <v>2.7300000000000001E-2</v>
      </c>
      <c r="D191" s="2" t="s">
        <v>55</v>
      </c>
      <c r="E191" s="73">
        <v>81803</v>
      </c>
      <c r="F191" s="5">
        <v>3</v>
      </c>
      <c r="G191" s="2" t="s">
        <v>53</v>
      </c>
      <c r="H191" s="73">
        <v>39729</v>
      </c>
      <c r="I191" s="5">
        <v>3</v>
      </c>
      <c r="J191" s="74">
        <f>Tabla22[[#This Row],[Base price1]]*Tabla22[[#This Row],[Req.]]+Tabla22[[#This Row],[Base price2]]*Tabla22[[#This Row],[Req.2]]</f>
        <v>364596</v>
      </c>
      <c r="K191" s="73">
        <f>IFERROR(LOOKUP(Tabla22[[#This Row],[Product]],$R$18:$R$23,$T$18:$T$23)*Tabla22[[#This Row],[QualityBonus]]*Tabla22[[#This Row],[Base price1]]*Tabla22[[#This Row],[Req.]],0)</f>
        <v>26798.662799999998</v>
      </c>
      <c r="L191" s="73">
        <f>IF(Tabla22[[#This Row],[Req.2]]&gt;0,LOOKUP(Tabla22[[#This Row],[Product2]],$R$18:$R$23,$T$18:$T$23)*Tabla22[[#This Row],[Base price2]]*Tabla22[[#This Row],[Req.2]]*Tabla22[[#This Row],[QualityBonus]],0)</f>
        <v>13015.2204</v>
      </c>
      <c r="M191" s="74">
        <f>IFERROR((Tabla22[[#This Row],[Base price1]]-LOOKUP(Tabla22[[#This Row],[Product]],$R$18:$R$23,$S$18:$S$23))*Tabla22[[#This Row],[Req.]],0)</f>
        <v>11409</v>
      </c>
      <c r="N191" s="79">
        <f>IF(Tabla22[[#This Row],[Req.2]]&gt;0,(Tabla22[[#This Row],[Base price2]]-LOOKUP(Tabla22[[#This Row],[Product2]],$R$18:$R$23,$S$18:$S$23))*Tabla22[[#This Row],[Req.2]],0)</f>
        <v>16587</v>
      </c>
      <c r="O191" s="73">
        <f>SUM(Tabla22[[#This Row],[Bonus1]:[p2]])</f>
        <v>67809.883199999997</v>
      </c>
      <c r="P191" s="73">
        <f>IF(Tabla22[[#This Row],[QualityBonus]]&gt;0,Tabla22[[#This Row],[No wages]]-$C$4,"")</f>
        <v>20940.057608227835</v>
      </c>
    </row>
    <row r="192" spans="1:16" x14ac:dyDescent="0.25">
      <c r="A192" s="13">
        <v>176</v>
      </c>
      <c r="B192" s="13" t="s">
        <v>66</v>
      </c>
      <c r="C192" s="66">
        <v>2.64E-2</v>
      </c>
      <c r="D192" s="2" t="s">
        <v>56</v>
      </c>
      <c r="E192" s="73">
        <v>216640</v>
      </c>
      <c r="F192" s="5">
        <v>1</v>
      </c>
      <c r="G192" s="2" t="s">
        <v>54</v>
      </c>
      <c r="H192" s="73">
        <v>56823</v>
      </c>
      <c r="I192" s="5">
        <v>1</v>
      </c>
      <c r="J192" s="74">
        <f>Tabla22[[#This Row],[Base price1]]*Tabla22[[#This Row],[Req.]]+Tabla22[[#This Row],[Base price2]]*Tabla22[[#This Row],[Req.2]]</f>
        <v>273463</v>
      </c>
      <c r="K192" s="73">
        <f>IFERROR(LOOKUP(Tabla22[[#This Row],[Product]],$R$18:$R$23,$T$18:$T$23)*Tabla22[[#This Row],[QualityBonus]]*Tabla22[[#This Row],[Base price1]]*Tabla22[[#This Row],[Req.]],0)</f>
        <v>22877.184000000001</v>
      </c>
      <c r="L192" s="73">
        <f>IF(Tabla22[[#This Row],[Req.2]]&gt;0,LOOKUP(Tabla22[[#This Row],[Product2]],$R$18:$R$23,$T$18:$T$23)*Tabla22[[#This Row],[Base price2]]*Tabla22[[#This Row],[Req.2]]*Tabla22[[#This Row],[QualityBonus]],0)</f>
        <v>7500.6359999999995</v>
      </c>
      <c r="M192" s="74">
        <f>IFERROR((Tabla22[[#This Row],[Base price1]]-LOOKUP(Tabla22[[#This Row],[Product]],$R$18:$R$23,$S$18:$S$23))*Tabla22[[#This Row],[Req.]],0)</f>
        <v>-4360</v>
      </c>
      <c r="N192" s="79">
        <f>IF(Tabla22[[#This Row],[Req.2]]&gt;0,(Tabla22[[#This Row],[Base price2]]-LOOKUP(Tabla22[[#This Row],[Product2]],$R$18:$R$23,$S$18:$S$23))*Tabla22[[#This Row],[Req.2]],0)</f>
        <v>4823</v>
      </c>
      <c r="O192" s="73">
        <f>SUM(Tabla22[[#This Row],[Bonus1]:[p2]])</f>
        <v>30840.82</v>
      </c>
      <c r="P192" s="73">
        <f>IF(Tabla22[[#This Row],[QualityBonus]]&gt;0,Tabla22[[#This Row],[No wages]]-$C$4,"")</f>
        <v>-16029.005591772162</v>
      </c>
    </row>
    <row r="193" spans="1:16" x14ac:dyDescent="0.25">
      <c r="A193" s="13">
        <v>177</v>
      </c>
      <c r="B193" s="13" t="s">
        <v>66</v>
      </c>
      <c r="C193" s="66">
        <v>1.8499999999999999E-2</v>
      </c>
      <c r="D193" s="2" t="s">
        <v>54</v>
      </c>
      <c r="E193" s="73">
        <v>59830</v>
      </c>
      <c r="F193" s="5">
        <v>4</v>
      </c>
      <c r="G193" s="2"/>
      <c r="H193" s="73"/>
      <c r="I193" s="5"/>
      <c r="J193" s="74">
        <f>Tabla22[[#This Row],[Base price1]]*Tabla22[[#This Row],[Req.]]+Tabla22[[#This Row],[Base price2]]*Tabla22[[#This Row],[Req.2]]</f>
        <v>239320</v>
      </c>
      <c r="K193" s="73">
        <f>IFERROR(LOOKUP(Tabla22[[#This Row],[Product]],$R$18:$R$23,$T$18:$T$23)*Tabla22[[#This Row],[QualityBonus]]*Tabla22[[#This Row],[Base price1]]*Tabla22[[#This Row],[Req.]],0)</f>
        <v>22137.1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31320</v>
      </c>
      <c r="N193" s="79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53457.1</v>
      </c>
      <c r="P193" s="73">
        <f>IF(Tabla22[[#This Row],[QualityBonus]]&gt;0,Tabla22[[#This Row],[No wages]]-$C$4,"")</f>
        <v>6587.2744082278368</v>
      </c>
    </row>
    <row r="194" spans="1:16" x14ac:dyDescent="0.25">
      <c r="A194" s="13">
        <v>178</v>
      </c>
      <c r="B194" s="13" t="s">
        <v>66</v>
      </c>
      <c r="C194" s="66">
        <v>2.47E-2</v>
      </c>
      <c r="D194" s="2" t="s">
        <v>56</v>
      </c>
      <c r="E194" s="73">
        <v>218222</v>
      </c>
      <c r="F194" s="5">
        <v>1</v>
      </c>
      <c r="G194" s="2" t="s">
        <v>27</v>
      </c>
      <c r="H194" s="73">
        <v>792820</v>
      </c>
      <c r="I194" s="5">
        <v>2</v>
      </c>
      <c r="J194" s="74">
        <f>Tabla22[[#This Row],[Base price1]]*Tabla22[[#This Row],[Req.]]+Tabla22[[#This Row],[Base price2]]*Tabla22[[#This Row],[Req.2]]</f>
        <v>1803862</v>
      </c>
      <c r="K194" s="73">
        <f>IFERROR(LOOKUP(Tabla22[[#This Row],[Product]],$R$18:$R$23,$T$18:$T$23)*Tabla22[[#This Row],[QualityBonus]]*Tabla22[[#This Row],[Base price1]]*Tabla22[[#This Row],[Req.]],0)</f>
        <v>21560.333599999998</v>
      </c>
      <c r="L194" s="73">
        <f>IF(Tabla22[[#This Row],[Req.2]]&gt;0,LOOKUP(Tabla22[[#This Row],[Product2]],$R$18:$R$23,$T$18:$T$23)*Tabla22[[#This Row],[Base price2]]*Tabla22[[#This Row],[Req.2]]*Tabla22[[#This Row],[QualityBonus]],0)</f>
        <v>156661.23199999999</v>
      </c>
      <c r="M194" s="74">
        <f>IFERROR((Tabla22[[#This Row],[Base price1]]-LOOKUP(Tabla22[[#This Row],[Product]],$R$18:$R$23,$S$18:$S$23))*Tabla22[[#This Row],[Req.]],0)</f>
        <v>-2778</v>
      </c>
      <c r="N194" s="79">
        <f>IF(Tabla22[[#This Row],[Req.2]]&gt;0,(Tabla22[[#This Row],[Base price2]]-LOOKUP(Tabla22[[#This Row],[Product2]],$R$18:$R$23,$S$18:$S$23))*Tabla22[[#This Row],[Req.2]],0)</f>
        <v>-92360</v>
      </c>
      <c r="O194" s="73">
        <f>SUM(Tabla22[[#This Row],[Bonus1]:[p2]])</f>
        <v>83083.565599999973</v>
      </c>
      <c r="P194" s="73">
        <f>IF(Tabla22[[#This Row],[QualityBonus]]&gt;0,Tabla22[[#This Row],[No wages]]-$C$4,"")</f>
        <v>36213.740008227811</v>
      </c>
    </row>
    <row r="195" spans="1:16" x14ac:dyDescent="0.25">
      <c r="A195" s="13">
        <v>179</v>
      </c>
      <c r="B195" s="13" t="s">
        <v>66</v>
      </c>
      <c r="C195" s="36">
        <v>1.9099999999999999E-2</v>
      </c>
      <c r="D195" s="2" t="s">
        <v>56</v>
      </c>
      <c r="E195" s="71">
        <v>215081</v>
      </c>
      <c r="F195" s="4">
        <v>4</v>
      </c>
      <c r="G195" s="2"/>
      <c r="H195" s="71"/>
      <c r="I195" s="4"/>
      <c r="J195" s="74">
        <f>Tabla22[[#This Row],[Base price1]]*Tabla22[[#This Row],[Req.]]+Tabla22[[#This Row],[Base price2]]*Tabla22[[#This Row],[Req.2]]</f>
        <v>860324</v>
      </c>
      <c r="K195" s="71">
        <f>IFERROR(LOOKUP(Tabla22[[#This Row],[Product]],$R$18:$R$23,$T$18:$T$23)*Tabla22[[#This Row],[QualityBonus]]*Tabla22[[#This Row],[Base price1]]*Tabla22[[#This Row],[Req.]],0)</f>
        <v>65728.753599999996</v>
      </c>
      <c r="L195" s="71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-23676</v>
      </c>
      <c r="N195" s="79">
        <f>IF(Tabla22[[#This Row],[Req.2]]&gt;0,(Tabla22[[#This Row],[Base price2]]-LOOKUP(Tabla22[[#This Row],[Product2]],$R$18:$R$23,$S$18:$S$23))*Tabla22[[#This Row],[Req.2]],0)</f>
        <v>0</v>
      </c>
      <c r="O195" s="71">
        <f>SUM(Tabla22[[#This Row],[Bonus1]:[p2]])</f>
        <v>42052.753599999996</v>
      </c>
      <c r="P195" s="71">
        <f>IF(Tabla22[[#This Row],[QualityBonus]]&gt;0,Tabla22[[#This Row],[No wages]]-$C$4,"")</f>
        <v>-4817.0719917721653</v>
      </c>
    </row>
    <row r="196" spans="1:16" x14ac:dyDescent="0.25">
      <c r="A196" s="24">
        <v>180</v>
      </c>
      <c r="B196" s="24" t="s">
        <v>66</v>
      </c>
      <c r="C196" s="44">
        <v>1.6400000000000001E-2</v>
      </c>
      <c r="D196" s="37" t="s">
        <v>56</v>
      </c>
      <c r="E196" s="72">
        <v>207213</v>
      </c>
      <c r="F196" s="39">
        <v>4</v>
      </c>
      <c r="G196" s="37" t="s">
        <v>27</v>
      </c>
      <c r="H196" s="72">
        <v>804340</v>
      </c>
      <c r="I196" s="39">
        <v>4</v>
      </c>
      <c r="J196" s="75">
        <f>Tabla22[[#This Row],[Base price1]]*Tabla22[[#This Row],[Req.]]+Tabla22[[#This Row],[Base price2]]*Tabla22[[#This Row],[Req.2]]</f>
        <v>4046212</v>
      </c>
      <c r="K196" s="72">
        <f>IFERROR(LOOKUP(Tabla22[[#This Row],[Product]],$R$18:$R$23,$T$18:$T$23)*Tabla22[[#This Row],[QualityBonus]]*Tabla22[[#This Row],[Base price1]]*Tabla22[[#This Row],[Req.]],0)</f>
        <v>54372.691200000001</v>
      </c>
      <c r="L196" s="72">
        <f>IF(Tabla22[[#This Row],[Req.2]]&gt;0,LOOKUP(Tabla22[[#This Row],[Product2]],$R$18:$R$23,$T$18:$T$23)*Tabla22[[#This Row],[Base price2]]*Tabla22[[#This Row],[Req.2]]*Tabla22[[#This Row],[QualityBonus]],0)</f>
        <v>211058.81600000002</v>
      </c>
      <c r="M196" s="75">
        <f>IFERROR((Tabla22[[#This Row],[Base price1]]-LOOKUP(Tabla22[[#This Row],[Product]],$R$18:$R$23,$S$18:$S$23))*Tabla22[[#This Row],[Req.]],0)</f>
        <v>-55148</v>
      </c>
      <c r="N196" s="80">
        <f>IF(Tabla22[[#This Row],[Req.2]]&gt;0,(Tabla22[[#This Row],[Base price2]]-LOOKUP(Tabla22[[#This Row],[Product2]],$R$18:$R$23,$S$18:$S$23))*Tabla22[[#This Row],[Req.2]],0)</f>
        <v>-138640</v>
      </c>
      <c r="O196" s="72">
        <f>SUM(Tabla22[[#This Row],[Bonus1]:[p2]])</f>
        <v>71643.507199999993</v>
      </c>
      <c r="P196" s="72">
        <f>IF(Tabla22[[#This Row],[QualityBonus]]&gt;0,Tabla22[[#This Row],[No wages]]-$C$4,"")</f>
        <v>24773.681608227831</v>
      </c>
    </row>
    <row r="197" spans="1:16" x14ac:dyDescent="0.25">
      <c r="A197" s="13">
        <v>181</v>
      </c>
      <c r="B197" s="13" t="s">
        <v>13</v>
      </c>
      <c r="C197" s="66">
        <v>2.3199999999999998E-2</v>
      </c>
      <c r="D197" s="2" t="s">
        <v>57</v>
      </c>
      <c r="E197" s="73">
        <v>82609</v>
      </c>
      <c r="F197" s="5">
        <v>4</v>
      </c>
      <c r="G197" s="2" t="s">
        <v>52</v>
      </c>
      <c r="H197" s="73">
        <v>117392</v>
      </c>
      <c r="I197" s="5">
        <v>2</v>
      </c>
      <c r="J197" s="74">
        <f>Tabla22[[#This Row],[Base price1]]*Tabla22[[#This Row],[Req.]]+Tabla22[[#This Row],[Base price2]]*Tabla22[[#This Row],[Req.2]]</f>
        <v>565220</v>
      </c>
      <c r="K197" s="73">
        <f>IFERROR(LOOKUP(Tabla22[[#This Row],[Product]],$R$18:$R$23,$T$18:$T$23)*Tabla22[[#This Row],[QualityBonus]]*Tabla22[[#This Row],[Base price1]]*Tabla22[[#This Row],[Req.]],0)</f>
        <v>30664.460799999997</v>
      </c>
      <c r="L197" s="73">
        <f>IF(Tabla22[[#This Row],[Req.2]]&gt;0,LOOKUP(Tabla22[[#This Row],[Product2]],$R$18:$R$23,$T$18:$T$23)*Tabla22[[#This Row],[Base price2]]*Tabla22[[#This Row],[Req.2]]*Tabla22[[#This Row],[QualityBonus]],0)</f>
        <v>27234.944</v>
      </c>
      <c r="M197" s="74">
        <f>IFERROR((Tabla22[[#This Row],[Base price1]]-LOOKUP(Tabla22[[#This Row],[Product]],$R$18:$R$23,$S$18:$S$23))*Tabla22[[#This Row],[Req.]],0)</f>
        <v>18436</v>
      </c>
      <c r="N197" s="79">
        <f>IF(Tabla22[[#This Row],[Req.2]]&gt;0,(Tabla22[[#This Row],[Base price2]]-LOOKUP(Tabla22[[#This Row],[Product2]],$R$18:$R$23,$S$18:$S$23))*Tabla22[[#This Row],[Req.2]],0)</f>
        <v>10784</v>
      </c>
      <c r="O197" s="73">
        <f>SUM(Tabla22[[#This Row],[Bonus1]:[p2]])</f>
        <v>87119.404799999989</v>
      </c>
      <c r="P197" s="73">
        <f>IF(Tabla22[[#This Row],[QualityBonus]]&gt;0,Tabla22[[#This Row],[No wages]]-$C$4,"")</f>
        <v>40249.579208227828</v>
      </c>
    </row>
    <row r="198" spans="1:16" x14ac:dyDescent="0.25">
      <c r="A198" s="13">
        <v>182</v>
      </c>
      <c r="B198" s="13" t="s">
        <v>13</v>
      </c>
      <c r="C198" s="66">
        <v>2.4199999999999999E-2</v>
      </c>
      <c r="D198" s="2" t="s">
        <v>53</v>
      </c>
      <c r="E198" s="73">
        <v>40410</v>
      </c>
      <c r="F198" s="5">
        <v>3</v>
      </c>
      <c r="G198" s="2" t="s">
        <v>57</v>
      </c>
      <c r="H198" s="73">
        <v>86141</v>
      </c>
      <c r="I198" s="5">
        <v>2</v>
      </c>
      <c r="J198" s="74">
        <f>Tabla22[[#This Row],[Base price1]]*Tabla22[[#This Row],[Req.]]+Tabla22[[#This Row],[Base price2]]*Tabla22[[#This Row],[Req.2]]</f>
        <v>293512</v>
      </c>
      <c r="K198" s="73">
        <f>IFERROR(LOOKUP(Tabla22[[#This Row],[Product]],$R$18:$R$23,$T$18:$T$23)*Tabla22[[#This Row],[QualityBonus]]*Tabla22[[#This Row],[Base price1]]*Tabla22[[#This Row],[Req.]],0)</f>
        <v>11735.064</v>
      </c>
      <c r="L198" s="73">
        <f>IF(Tabla22[[#This Row],[Req.2]]&gt;0,LOOKUP(Tabla22[[#This Row],[Product2]],$R$18:$R$23,$T$18:$T$23)*Tabla22[[#This Row],[Base price2]]*Tabla22[[#This Row],[Req.2]]*Tabla22[[#This Row],[QualityBonus]],0)</f>
        <v>16676.8976</v>
      </c>
      <c r="M198" s="74">
        <f>IFERROR((Tabla22[[#This Row],[Base price1]]-LOOKUP(Tabla22[[#This Row],[Product]],$R$18:$R$23,$S$18:$S$23))*Tabla22[[#This Row],[Req.]],0)</f>
        <v>18630</v>
      </c>
      <c r="N198" s="79">
        <f>IF(Tabla22[[#This Row],[Req.2]]&gt;0,(Tabla22[[#This Row],[Base price2]]-LOOKUP(Tabla22[[#This Row],[Product2]],$R$18:$R$23,$S$18:$S$23))*Tabla22[[#This Row],[Req.2]],0)</f>
        <v>16282</v>
      </c>
      <c r="O198" s="73">
        <f>SUM(Tabla22[[#This Row],[Bonus1]:[p2]])</f>
        <v>63323.961600000002</v>
      </c>
      <c r="P198" s="73">
        <f>IF(Tabla22[[#This Row],[QualityBonus]]&gt;0,Tabla22[[#This Row],[No wages]]-$C$4,"")</f>
        <v>16454.136008227841</v>
      </c>
    </row>
    <row r="199" spans="1:16" x14ac:dyDescent="0.25">
      <c r="A199" s="13">
        <v>183</v>
      </c>
      <c r="B199" s="13" t="s">
        <v>13</v>
      </c>
      <c r="C199" s="66">
        <v>2.46E-2</v>
      </c>
      <c r="D199" s="2" t="s">
        <v>57</v>
      </c>
      <c r="E199" s="73">
        <v>82796</v>
      </c>
      <c r="F199" s="5">
        <v>3</v>
      </c>
      <c r="G199" s="2"/>
      <c r="H199" s="73"/>
      <c r="I199" s="5"/>
      <c r="J199" s="74">
        <f>Tabla22[[#This Row],[Base price1]]*Tabla22[[#This Row],[Req.]]+Tabla22[[#This Row],[Base price2]]*Tabla22[[#This Row],[Req.2]]</f>
        <v>248388</v>
      </c>
      <c r="K199" s="73">
        <f>IFERROR(LOOKUP(Tabla22[[#This Row],[Product]],$R$18:$R$23,$T$18:$T$23)*Tabla22[[#This Row],[QualityBonus]]*Tabla22[[#This Row],[Base price1]]*Tabla22[[#This Row],[Req.]],0)</f>
        <v>24441.379199999999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14388</v>
      </c>
      <c r="N199" s="79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38829.379199999996</v>
      </c>
      <c r="P199" s="73">
        <f>IF(Tabla22[[#This Row],[QualityBonus]]&gt;0,Tabla22[[#This Row],[No wages]]-$C$4,"")</f>
        <v>-8040.446391772166</v>
      </c>
    </row>
    <row r="200" spans="1:16" x14ac:dyDescent="0.25">
      <c r="A200" s="13">
        <v>184</v>
      </c>
      <c r="B200" s="13" t="s">
        <v>13</v>
      </c>
      <c r="C200" s="66">
        <v>1.17E-2</v>
      </c>
      <c r="D200" s="2" t="s">
        <v>56</v>
      </c>
      <c r="E200" s="73">
        <v>233503</v>
      </c>
      <c r="F200" s="5">
        <v>1</v>
      </c>
      <c r="G200" s="2" t="s">
        <v>54</v>
      </c>
      <c r="H200" s="73">
        <v>60720</v>
      </c>
      <c r="I200" s="5">
        <v>1</v>
      </c>
      <c r="J200" s="74">
        <f>Tabla22[[#This Row],[Base price1]]*Tabla22[[#This Row],[Req.]]+Tabla22[[#This Row],[Base price2]]*Tabla22[[#This Row],[Req.2]]</f>
        <v>294223</v>
      </c>
      <c r="K200" s="73">
        <f>IFERROR(LOOKUP(Tabla22[[#This Row],[Product]],$R$18:$R$23,$T$18:$T$23)*Tabla22[[#This Row],[QualityBonus]]*Tabla22[[#This Row],[Base price1]]*Tabla22[[#This Row],[Req.]],0)</f>
        <v>10927.940399999999</v>
      </c>
      <c r="L200" s="73">
        <f>IF(Tabla22[[#This Row],[Req.2]]&gt;0,LOOKUP(Tabla22[[#This Row],[Product2]],$R$18:$R$23,$T$18:$T$23)*Tabla22[[#This Row],[Base price2]]*Tabla22[[#This Row],[Req.2]]*Tabla22[[#This Row],[QualityBonus]],0)</f>
        <v>3552.12</v>
      </c>
      <c r="M200" s="74">
        <f>IFERROR((Tabla22[[#This Row],[Base price1]]-LOOKUP(Tabla22[[#This Row],[Product]],$R$18:$R$23,$S$18:$S$23))*Tabla22[[#This Row],[Req.]],0)</f>
        <v>12503</v>
      </c>
      <c r="N200" s="79">
        <f>IF(Tabla22[[#This Row],[Req.2]]&gt;0,(Tabla22[[#This Row],[Base price2]]-LOOKUP(Tabla22[[#This Row],[Product2]],$R$18:$R$23,$S$18:$S$23))*Tabla22[[#This Row],[Req.2]],0)</f>
        <v>8720</v>
      </c>
      <c r="O200" s="73">
        <f>SUM(Tabla22[[#This Row],[Bonus1]:[p2]])</f>
        <v>35703.060400000002</v>
      </c>
      <c r="P200" s="73">
        <f>IF(Tabla22[[#This Row],[QualityBonus]]&gt;0,Tabla22[[#This Row],[No wages]]-$C$4,"")</f>
        <v>-11166.76519177216</v>
      </c>
    </row>
    <row r="201" spans="1:16" x14ac:dyDescent="0.25">
      <c r="A201" s="13">
        <v>185</v>
      </c>
      <c r="B201" s="13" t="s">
        <v>13</v>
      </c>
      <c r="C201" s="66">
        <v>1.4500000000000001E-2</v>
      </c>
      <c r="D201" s="2" t="s">
        <v>54</v>
      </c>
      <c r="E201" s="73">
        <v>60999</v>
      </c>
      <c r="F201" s="5">
        <v>1</v>
      </c>
      <c r="G201" s="2" t="s">
        <v>57</v>
      </c>
      <c r="H201" s="73">
        <v>84337</v>
      </c>
      <c r="I201" s="5">
        <v>4</v>
      </c>
      <c r="J201" s="74">
        <f>Tabla22[[#This Row],[Base price1]]*Tabla22[[#This Row],[Req.]]+Tabla22[[#This Row],[Base price2]]*Tabla22[[#This Row],[Req.2]]</f>
        <v>398347</v>
      </c>
      <c r="K201" s="73">
        <f>IFERROR(LOOKUP(Tabla22[[#This Row],[Product]],$R$18:$R$23,$T$18:$T$23)*Tabla22[[#This Row],[QualityBonus]]*Tabla22[[#This Row],[Base price1]]*Tabla22[[#This Row],[Req.]],0)</f>
        <v>4422.4275000000007</v>
      </c>
      <c r="L201" s="73">
        <f>IF(Tabla22[[#This Row],[Req.2]]&gt;0,LOOKUP(Tabla22[[#This Row],[Product2]],$R$18:$R$23,$T$18:$T$23)*Tabla22[[#This Row],[Base price2]]*Tabla22[[#This Row],[Req.2]]*Tabla22[[#This Row],[QualityBonus]],0)</f>
        <v>19566.184000000001</v>
      </c>
      <c r="M201" s="73">
        <f>IFERROR((Tabla22[[#This Row],[Base price1]]-LOOKUP(Tabla22[[#This Row],[Product]],$R$18:$R$23,$S$18:$S$23))*Tabla22[[#This Row],[Req.]],0)</f>
        <v>8999</v>
      </c>
      <c r="N201" s="73">
        <f>IF(Tabla22[[#This Row],[Req.2]]&gt;0,(Tabla22[[#This Row],[Base price2]]-LOOKUP(Tabla22[[#This Row],[Product2]],$R$18:$R$23,$S$18:$S$23))*Tabla22[[#This Row],[Req.2]],0)</f>
        <v>25348</v>
      </c>
      <c r="O201" s="73">
        <f>SUM(Tabla22[[#This Row],[Bonus1]:[p2]])</f>
        <v>58335.611499999999</v>
      </c>
      <c r="P201" s="73">
        <f>IF(Tabla22[[#This Row],[QualityBonus]]&gt;0,Tabla22[[#This Row],[No wages]]-$C$4,"")</f>
        <v>11465.785908227837</v>
      </c>
    </row>
    <row r="202" spans="1:16" x14ac:dyDescent="0.25">
      <c r="A202" s="13">
        <v>186</v>
      </c>
      <c r="B202" s="13" t="s">
        <v>13</v>
      </c>
      <c r="C202" s="66">
        <v>1.46E-2</v>
      </c>
      <c r="D202" s="2" t="s">
        <v>53</v>
      </c>
      <c r="E202" s="73">
        <v>42172</v>
      </c>
      <c r="F202" s="5">
        <v>2</v>
      </c>
      <c r="G202" s="2" t="s">
        <v>54</v>
      </c>
      <c r="H202" s="73">
        <v>63200</v>
      </c>
      <c r="I202" s="5">
        <v>1</v>
      </c>
      <c r="J202" s="74">
        <f>Tabla22[[#This Row],[Base price1]]*Tabla22[[#This Row],[Req.]]+Tabla22[[#This Row],[Base price2]]*Tabla22[[#This Row],[Req.2]]</f>
        <v>147544</v>
      </c>
      <c r="K202" s="73">
        <f>IFERROR(LOOKUP(Tabla22[[#This Row],[Product]],$R$18:$R$23,$T$18:$T$23)*Tabla22[[#This Row],[QualityBonus]]*Tabla22[[#This Row],[Base price1]]*Tabla22[[#This Row],[Req.]],0)</f>
        <v>4925.6895999999997</v>
      </c>
      <c r="L202" s="73">
        <f>IF(Tabla22[[#This Row],[Req.2]]&gt;0,LOOKUP(Tabla22[[#This Row],[Product2]],$R$18:$R$23,$T$18:$T$23)*Tabla22[[#This Row],[Base price2]]*Tabla22[[#This Row],[Req.2]]*Tabla22[[#This Row],[QualityBonus]],0)</f>
        <v>4613.6000000000004</v>
      </c>
      <c r="M202" s="73">
        <f>IFERROR((Tabla22[[#This Row],[Base price1]]-LOOKUP(Tabla22[[#This Row],[Product]],$R$18:$R$23,$S$18:$S$23))*Tabla22[[#This Row],[Req.]],0)</f>
        <v>15944</v>
      </c>
      <c r="N202" s="73">
        <f>IF(Tabla22[[#This Row],[Req.2]]&gt;0,(Tabla22[[#This Row],[Base price2]]-LOOKUP(Tabla22[[#This Row],[Product2]],$R$18:$R$23,$S$18:$S$23))*Tabla22[[#This Row],[Req.2]],0)</f>
        <v>11200</v>
      </c>
      <c r="O202" s="73">
        <f>SUM(Tabla22[[#This Row],[Bonus1]:[p2]])</f>
        <v>36683.289600000004</v>
      </c>
      <c r="P202" s="73">
        <f>IF(Tabla22[[#This Row],[QualityBonus]]&gt;0,Tabla22[[#This Row],[No wages]]-$C$4,"")</f>
        <v>-10186.535991772158</v>
      </c>
    </row>
    <row r="203" spans="1:16" x14ac:dyDescent="0.25">
      <c r="A203" s="24">
        <v>187</v>
      </c>
      <c r="B203" s="24" t="s">
        <v>13</v>
      </c>
      <c r="C203" s="44">
        <v>1.26E-2</v>
      </c>
      <c r="D203" s="37" t="s">
        <v>54</v>
      </c>
      <c r="E203" s="72">
        <v>59504</v>
      </c>
      <c r="F203" s="39">
        <v>4</v>
      </c>
      <c r="G203" s="37"/>
      <c r="H203" s="72"/>
      <c r="I203" s="39"/>
      <c r="J203" s="75">
        <f>Tabla22[[#This Row],[Base price1]]*Tabla22[[#This Row],[Req.]]+Tabla22[[#This Row],[Base price2]]*Tabla22[[#This Row],[Req.2]]</f>
        <v>238016</v>
      </c>
      <c r="K203" s="72">
        <f>IFERROR(LOOKUP(Tabla22[[#This Row],[Product]],$R$18:$R$23,$T$18:$T$23)*Tabla22[[#This Row],[QualityBonus]]*Tabla22[[#This Row],[Base price1]]*Tabla22[[#This Row],[Req.]],0)</f>
        <v>14995.008</v>
      </c>
      <c r="L203" s="72">
        <f>IF(Tabla22[[#This Row],[Req.2]]&gt;0,LOOKUP(Tabla22[[#This Row],[Product2]],$R$18:$R$23,$T$18:$T$23)*Tabla22[[#This Row],[Base price2]]*Tabla22[[#This Row],[Req.2]]*Tabla22[[#This Row],[QualityBonus]],0)</f>
        <v>0</v>
      </c>
      <c r="M203" s="72">
        <f>IFERROR((Tabla22[[#This Row],[Base price1]]-LOOKUP(Tabla22[[#This Row],[Product]],$R$18:$R$23,$S$18:$S$23))*Tabla22[[#This Row],[Req.]],0)</f>
        <v>30016</v>
      </c>
      <c r="N203" s="72">
        <f>IF(Tabla22[[#This Row],[Req.2]]&gt;0,(Tabla22[[#This Row],[Base price2]]-LOOKUP(Tabla22[[#This Row],[Product2]],$R$18:$R$23,$S$18:$S$23))*Tabla22[[#This Row],[Req.2]],0)</f>
        <v>0</v>
      </c>
      <c r="O203" s="72">
        <f>SUM(Tabla22[[#This Row],[Bonus1]:[p2]])</f>
        <v>45011.008000000002</v>
      </c>
      <c r="P203" s="72">
        <f>IF(Tabla22[[#This Row],[QualityBonus]]&gt;0,Tabla22[[#This Row],[No wages]]-$C$4,"")</f>
        <v>-1858.8175917721601</v>
      </c>
    </row>
    <row r="204" spans="1:16" x14ac:dyDescent="0.25">
      <c r="A204" s="13">
        <v>188</v>
      </c>
      <c r="B204" s="13" t="s">
        <v>13</v>
      </c>
      <c r="C204" s="66">
        <v>2.98E-2</v>
      </c>
      <c r="D204" s="2" t="s">
        <v>54</v>
      </c>
      <c r="E204" s="73">
        <v>60754</v>
      </c>
      <c r="F204" s="5">
        <v>3</v>
      </c>
      <c r="G204" s="2" t="s">
        <v>53</v>
      </c>
      <c r="H204" s="73">
        <v>41046</v>
      </c>
      <c r="I204" s="5">
        <v>5</v>
      </c>
      <c r="J204" s="74">
        <f>Tabla22[[#This Row],[Base price1]]*Tabla22[[#This Row],[Req.]]+Tabla22[[#This Row],[Base price2]]*Tabla22[[#This Row],[Req.2]]</f>
        <v>387492</v>
      </c>
      <c r="K204" s="73">
        <f>IFERROR(LOOKUP(Tabla22[[#This Row],[Product]],$R$18:$R$23,$T$18:$T$23)*Tabla22[[#This Row],[QualityBonus]]*Tabla22[[#This Row],[Base price1]]*Tabla22[[#This Row],[Req.]],0)</f>
        <v>27157.038</v>
      </c>
      <c r="L204" s="73">
        <f>IF(Tabla22[[#This Row],[Req.2]]&gt;0,LOOKUP(Tabla22[[#This Row],[Product2]],$R$18:$R$23,$T$18:$T$23)*Tabla22[[#This Row],[Base price2]]*Tabla22[[#This Row],[Req.2]]*Tabla22[[#This Row],[QualityBonus]],0)</f>
        <v>24463.416000000001</v>
      </c>
      <c r="M204" s="73">
        <f>IFERROR((Tabla22[[#This Row],[Base price1]]-LOOKUP(Tabla22[[#This Row],[Product]],$R$18:$R$23,$S$18:$S$23))*Tabla22[[#This Row],[Req.]],0)</f>
        <v>26262</v>
      </c>
      <c r="N204" s="73">
        <f>IF(Tabla22[[#This Row],[Req.2]]&gt;0,(Tabla22[[#This Row],[Base price2]]-LOOKUP(Tabla22[[#This Row],[Product2]],$R$18:$R$23,$S$18:$S$23))*Tabla22[[#This Row],[Req.2]],0)</f>
        <v>34230</v>
      </c>
      <c r="O204" s="73">
        <f>SUM(Tabla22[[#This Row],[Bonus1]:[p2]])</f>
        <v>112112.454</v>
      </c>
      <c r="P204" s="73">
        <f>IF(Tabla22[[#This Row],[QualityBonus]]&gt;0,Tabla22[[#This Row],[No wages]]-$C$4,"")</f>
        <v>65242.628408227836</v>
      </c>
    </row>
    <row r="205" spans="1:16" x14ac:dyDescent="0.25">
      <c r="A205" s="13">
        <v>189</v>
      </c>
      <c r="B205" s="13" t="s">
        <v>13</v>
      </c>
      <c r="C205" s="66">
        <v>1.06E-2</v>
      </c>
      <c r="D205" s="2" t="s">
        <v>54</v>
      </c>
      <c r="E205" s="73">
        <v>61023</v>
      </c>
      <c r="F205" s="5">
        <v>4</v>
      </c>
      <c r="G205" s="2"/>
      <c r="H205" s="73"/>
      <c r="I205" s="5"/>
      <c r="J205" s="74">
        <f>Tabla22[[#This Row],[Base price1]]*Tabla22[[#This Row],[Req.]]+Tabla22[[#This Row],[Base price2]]*Tabla22[[#This Row],[Req.2]]</f>
        <v>244092</v>
      </c>
      <c r="K205" s="73">
        <f>IFERROR(LOOKUP(Tabla22[[#This Row],[Product]],$R$18:$R$23,$T$18:$T$23)*Tabla22[[#This Row],[QualityBonus]]*Tabla22[[#This Row],[Base price1]]*Tabla22[[#This Row],[Req.]],0)</f>
        <v>12936.876</v>
      </c>
      <c r="L205" s="73">
        <f>IF(Tabla22[[#This Row],[Req.2]]&gt;0,LOOKUP(Tabla22[[#This Row],[Product2]],$R$18:$R$23,$T$18:$T$23)*Tabla22[[#This Row],[Base price2]]*Tabla22[[#This Row],[Req.2]]*Tabla22[[#This Row],[QualityBonus]],0)</f>
        <v>0</v>
      </c>
      <c r="M205" s="73">
        <f>IFERROR((Tabla22[[#This Row],[Base price1]]-LOOKUP(Tabla22[[#This Row],[Product]],$R$18:$R$23,$S$18:$S$23))*Tabla22[[#This Row],[Req.]],0)</f>
        <v>36092</v>
      </c>
      <c r="N205" s="73">
        <f>IF(Tabla22[[#This Row],[Req.2]]&gt;0,(Tabla22[[#This Row],[Base price2]]-LOOKUP(Tabla22[[#This Row],[Product2]],$R$18:$R$23,$S$18:$S$23))*Tabla22[[#This Row],[Req.2]],0)</f>
        <v>0</v>
      </c>
      <c r="O205" s="73">
        <f>SUM(Tabla22[[#This Row],[Bonus1]:[p2]])</f>
        <v>49028.876000000004</v>
      </c>
      <c r="P205" s="73">
        <f>IF(Tabla22[[#This Row],[QualityBonus]]&gt;0,Tabla22[[#This Row],[No wages]]-$C$4,"")</f>
        <v>2159.0504082278421</v>
      </c>
    </row>
    <row r="206" spans="1:16" x14ac:dyDescent="0.25">
      <c r="A206" s="13">
        <v>190</v>
      </c>
      <c r="B206" s="13" t="s">
        <v>13</v>
      </c>
      <c r="C206" s="66">
        <v>2.06E-2</v>
      </c>
      <c r="D206" s="2" t="s">
        <v>53</v>
      </c>
      <c r="E206" s="73">
        <v>41632</v>
      </c>
      <c r="F206" s="5">
        <v>5</v>
      </c>
      <c r="G206" s="2" t="s">
        <v>54</v>
      </c>
      <c r="H206" s="73">
        <v>62254</v>
      </c>
      <c r="I206" s="5">
        <v>1</v>
      </c>
      <c r="J206" s="74">
        <f>Tabla22[[#This Row],[Base price1]]*Tabla22[[#This Row],[Req.]]+Tabla22[[#This Row],[Base price2]]*Tabla22[[#This Row],[Req.2]]</f>
        <v>270414</v>
      </c>
      <c r="K206" s="73">
        <f>IFERROR(LOOKUP(Tabla22[[#This Row],[Product]],$R$18:$R$23,$T$18:$T$23)*Tabla22[[#This Row],[QualityBonus]]*Tabla22[[#This Row],[Base price1]]*Tabla22[[#This Row],[Req.]],0)</f>
        <v>17152.383999999998</v>
      </c>
      <c r="L206" s="73">
        <f>IF(Tabla22[[#This Row],[Req.2]]&gt;0,LOOKUP(Tabla22[[#This Row],[Product2]],$R$18:$R$23,$T$18:$T$23)*Tabla22[[#This Row],[Base price2]]*Tabla22[[#This Row],[Req.2]]*Tabla22[[#This Row],[QualityBonus]],0)</f>
        <v>6412.1620000000003</v>
      </c>
      <c r="M206" s="73">
        <f>IFERROR((Tabla22[[#This Row],[Base price1]]-LOOKUP(Tabla22[[#This Row],[Product]],$R$18:$R$23,$S$18:$S$23))*Tabla22[[#This Row],[Req.]],0)</f>
        <v>37160</v>
      </c>
      <c r="N206" s="73">
        <f>IF(Tabla22[[#This Row],[Req.2]]&gt;0,(Tabla22[[#This Row],[Base price2]]-LOOKUP(Tabla22[[#This Row],[Product2]],$R$18:$R$23,$S$18:$S$23))*Tabla22[[#This Row],[Req.2]],0)</f>
        <v>10254</v>
      </c>
      <c r="O206" s="73">
        <f>SUM(Tabla22[[#This Row],[Bonus1]:[p2]])</f>
        <v>70978.546000000002</v>
      </c>
      <c r="P206" s="73">
        <f>IF(Tabla22[[#This Row],[QualityBonus]]&gt;0,Tabla22[[#This Row],[No wages]]-$C$4,"")</f>
        <v>24108.72040822784</v>
      </c>
    </row>
    <row r="207" spans="1:16" x14ac:dyDescent="0.25">
      <c r="A207" s="13">
        <v>191</v>
      </c>
      <c r="B207" s="13" t="s">
        <v>13</v>
      </c>
      <c r="C207" s="66">
        <v>2.7300000000000001E-2</v>
      </c>
      <c r="D207" s="2" t="s">
        <v>52</v>
      </c>
      <c r="E207" s="73">
        <v>122124</v>
      </c>
      <c r="F207" s="5">
        <v>3</v>
      </c>
      <c r="G207" s="2" t="s">
        <v>54</v>
      </c>
      <c r="H207" s="73">
        <v>62870</v>
      </c>
      <c r="I207" s="5">
        <v>3</v>
      </c>
      <c r="J207" s="74">
        <f>Tabla22[[#This Row],[Base price1]]*Tabla22[[#This Row],[Req.]]+Tabla22[[#This Row],[Base price2]]*Tabla22[[#This Row],[Req.2]]</f>
        <v>554982</v>
      </c>
      <c r="K207" s="73">
        <f>IFERROR(LOOKUP(Tabla22[[#This Row],[Product]],$R$18:$R$23,$T$18:$T$23)*Tabla22[[#This Row],[QualityBonus]]*Tabla22[[#This Row],[Base price1]]*Tabla22[[#This Row],[Req.]],0)</f>
        <v>50009.777999999998</v>
      </c>
      <c r="L207" s="73">
        <f>IF(Tabla22[[#This Row],[Req.2]]&gt;0,LOOKUP(Tabla22[[#This Row],[Product2]],$R$18:$R$23,$T$18:$T$23)*Tabla22[[#This Row],[Base price2]]*Tabla22[[#This Row],[Req.2]]*Tabla22[[#This Row],[QualityBonus]],0)</f>
        <v>25745.265000000003</v>
      </c>
      <c r="M207" s="73">
        <f>IFERROR((Tabla22[[#This Row],[Base price1]]-LOOKUP(Tabla22[[#This Row],[Product]],$R$18:$R$23,$S$18:$S$23))*Tabla22[[#This Row],[Req.]],0)</f>
        <v>30372</v>
      </c>
      <c r="N207" s="73">
        <f>IF(Tabla22[[#This Row],[Req.2]]&gt;0,(Tabla22[[#This Row],[Base price2]]-LOOKUP(Tabla22[[#This Row],[Product2]],$R$18:$R$23,$S$18:$S$23))*Tabla22[[#This Row],[Req.2]],0)</f>
        <v>32610</v>
      </c>
      <c r="O207" s="73">
        <f>SUM(Tabla22[[#This Row],[Bonus1]:[p2]])</f>
        <v>138737.04300000001</v>
      </c>
      <c r="P207" s="73">
        <f>IF(Tabla22[[#This Row],[QualityBonus]]&gt;0,Tabla22[[#This Row],[No wages]]-$C$4,"")</f>
        <v>91867.217408227851</v>
      </c>
    </row>
    <row r="208" spans="1:16" x14ac:dyDescent="0.25">
      <c r="A208" s="13">
        <v>192</v>
      </c>
      <c r="B208" s="13" t="s">
        <v>13</v>
      </c>
      <c r="C208" s="66">
        <v>1.6199999999999999E-2</v>
      </c>
      <c r="D208" s="2" t="s">
        <v>54</v>
      </c>
      <c r="E208" s="73">
        <v>63015</v>
      </c>
      <c r="F208" s="5">
        <v>2</v>
      </c>
      <c r="G208" s="2" t="s">
        <v>53</v>
      </c>
      <c r="H208" s="73">
        <v>40315</v>
      </c>
      <c r="I208" s="5">
        <v>4</v>
      </c>
      <c r="J208" s="74">
        <f>Tabla22[[#This Row],[Base price1]]*Tabla22[[#This Row],[Req.]]+Tabla22[[#This Row],[Base price2]]*Tabla22[[#This Row],[Req.2]]</f>
        <v>287290</v>
      </c>
      <c r="K208" s="73">
        <f>IFERROR(LOOKUP(Tabla22[[#This Row],[Product]],$R$18:$R$23,$T$18:$T$23)*Tabla22[[#This Row],[QualityBonus]]*Tabla22[[#This Row],[Base price1]]*Tabla22[[#This Row],[Req.]],0)</f>
        <v>10208.429999999998</v>
      </c>
      <c r="L208" s="73">
        <f>IF(Tabla22[[#This Row],[Req.2]]&gt;0,LOOKUP(Tabla22[[#This Row],[Product2]],$R$18:$R$23,$T$18:$T$23)*Tabla22[[#This Row],[Base price2]]*Tabla22[[#This Row],[Req.2]]*Tabla22[[#This Row],[QualityBonus]],0)</f>
        <v>10449.647999999999</v>
      </c>
      <c r="M208" s="73">
        <f>IFERROR((Tabla22[[#This Row],[Base price1]]-LOOKUP(Tabla22[[#This Row],[Product]],$R$18:$R$23,$S$18:$S$23))*Tabla22[[#This Row],[Req.]],0)</f>
        <v>22030</v>
      </c>
      <c r="N208" s="73">
        <f>IF(Tabla22[[#This Row],[Req.2]]&gt;0,(Tabla22[[#This Row],[Base price2]]-LOOKUP(Tabla22[[#This Row],[Product2]],$R$18:$R$23,$S$18:$S$23))*Tabla22[[#This Row],[Req.2]],0)</f>
        <v>24460</v>
      </c>
      <c r="O208" s="73">
        <f>SUM(Tabla22[[#This Row],[Bonus1]:[p2]])</f>
        <v>67148.077999999994</v>
      </c>
      <c r="P208" s="73">
        <f>IF(Tabla22[[#This Row],[QualityBonus]]&gt;0,Tabla22[[#This Row],[No wages]]-$C$4,"")</f>
        <v>20278.252408227832</v>
      </c>
    </row>
    <row r="209" spans="1:16" x14ac:dyDescent="0.25">
      <c r="A209" s="13">
        <v>193</v>
      </c>
      <c r="B209" s="13" t="s">
        <v>13</v>
      </c>
      <c r="C209" s="66">
        <v>1.01E-2</v>
      </c>
      <c r="D209" s="2" t="s">
        <v>54</v>
      </c>
      <c r="E209" s="73">
        <v>59748</v>
      </c>
      <c r="F209" s="5">
        <v>3</v>
      </c>
      <c r="G209" s="2"/>
      <c r="H209" s="73"/>
      <c r="I209" s="5"/>
      <c r="J209" s="74">
        <f>Tabla22[[#This Row],[Base price1]]*Tabla22[[#This Row],[Req.]]+Tabla22[[#This Row],[Base price2]]*Tabla22[[#This Row],[Req.2]]</f>
        <v>179244</v>
      </c>
      <c r="K209" s="73">
        <f>IFERROR(LOOKUP(Tabla22[[#This Row],[Product]],$R$18:$R$23,$T$18:$T$23)*Tabla22[[#This Row],[QualityBonus]]*Tabla22[[#This Row],[Base price1]]*Tabla22[[#This Row],[Req.]],0)</f>
        <v>9051.8220000000001</v>
      </c>
      <c r="L209" s="73">
        <f>IF(Tabla22[[#This Row],[Req.2]]&gt;0,LOOKUP(Tabla22[[#This Row],[Product2]],$R$18:$R$23,$T$18:$T$23)*Tabla22[[#This Row],[Base price2]]*Tabla22[[#This Row],[Req.2]]*Tabla22[[#This Row],[QualityBonus]],0)</f>
        <v>0</v>
      </c>
      <c r="M209" s="73">
        <f>IFERROR((Tabla22[[#This Row],[Base price1]]-LOOKUP(Tabla22[[#This Row],[Product]],$R$18:$R$23,$S$18:$S$23))*Tabla22[[#This Row],[Req.]],0)</f>
        <v>23244</v>
      </c>
      <c r="N209" s="73">
        <f>IF(Tabla22[[#This Row],[Req.2]]&gt;0,(Tabla22[[#This Row],[Base price2]]-LOOKUP(Tabla22[[#This Row],[Product2]],$R$18:$R$23,$S$18:$S$23))*Tabla22[[#This Row],[Req.2]],0)</f>
        <v>0</v>
      </c>
      <c r="O209" s="73">
        <f>SUM(Tabla22[[#This Row],[Bonus1]:[p2]])</f>
        <v>32295.822</v>
      </c>
      <c r="P209" s="73">
        <f>IF(Tabla22[[#This Row],[QualityBonus]]&gt;0,Tabla22[[#This Row],[No wages]]-$C$4,"")</f>
        <v>-14574.003591772162</v>
      </c>
    </row>
    <row r="210" spans="1:16" x14ac:dyDescent="0.25">
      <c r="A210" s="13">
        <v>194</v>
      </c>
      <c r="B210" s="13" t="s">
        <v>13</v>
      </c>
      <c r="C210" s="66">
        <v>2.8299999999999999E-2</v>
      </c>
      <c r="D210" s="2" t="s">
        <v>52</v>
      </c>
      <c r="E210" s="73">
        <v>124057</v>
      </c>
      <c r="F210" s="5">
        <v>4</v>
      </c>
      <c r="G210" s="2"/>
      <c r="H210" s="73"/>
      <c r="I210" s="5"/>
      <c r="J210" s="74">
        <f>Tabla22[[#This Row],[Base price1]]*Tabla22[[#This Row],[Req.]]+Tabla22[[#This Row],[Base price2]]*Tabla22[[#This Row],[Req.2]]</f>
        <v>496228</v>
      </c>
      <c r="K210" s="73">
        <f>IFERROR(LOOKUP(Tabla22[[#This Row],[Product]],$R$18:$R$23,$T$18:$T$23)*Tabla22[[#This Row],[QualityBonus]]*Tabla22[[#This Row],[Base price1]]*Tabla22[[#This Row],[Req.]],0)</f>
        <v>70216.261999999988</v>
      </c>
      <c r="L210" s="73">
        <f>IF(Tabla22[[#This Row],[Req.2]]&gt;0,LOOKUP(Tabla22[[#This Row],[Product2]],$R$18:$R$23,$T$18:$T$23)*Tabla22[[#This Row],[Base price2]]*Tabla22[[#This Row],[Req.2]]*Tabla22[[#This Row],[QualityBonus]],0)</f>
        <v>0</v>
      </c>
      <c r="M210" s="73">
        <f>IFERROR((Tabla22[[#This Row],[Base price1]]-LOOKUP(Tabla22[[#This Row],[Product]],$R$18:$R$23,$S$18:$S$23))*Tabla22[[#This Row],[Req.]],0)</f>
        <v>48228</v>
      </c>
      <c r="N210" s="73">
        <f>IF(Tabla22[[#This Row],[Req.2]]&gt;0,(Tabla22[[#This Row],[Base price2]]-LOOKUP(Tabla22[[#This Row],[Product2]],$R$18:$R$23,$S$18:$S$23))*Tabla22[[#This Row],[Req.2]],0)</f>
        <v>0</v>
      </c>
      <c r="O210" s="73">
        <f>SUM(Tabla22[[#This Row],[Bonus1]:[p2]])</f>
        <v>118444.26199999999</v>
      </c>
      <c r="P210" s="73">
        <f>IF(Tabla22[[#This Row],[QualityBonus]]&gt;0,Tabla22[[#This Row],[No wages]]-$C$4,"")</f>
        <v>71574.436408227833</v>
      </c>
    </row>
    <row r="211" spans="1:16" x14ac:dyDescent="0.25">
      <c r="A211" s="13">
        <v>195</v>
      </c>
      <c r="B211" s="13" t="s">
        <v>13</v>
      </c>
      <c r="C211" s="66">
        <v>2.3199999999999998E-2</v>
      </c>
      <c r="D211" s="2" t="s">
        <v>53</v>
      </c>
      <c r="E211" s="73">
        <v>40758</v>
      </c>
      <c r="F211" s="5">
        <v>4</v>
      </c>
      <c r="G211" s="2" t="s">
        <v>54</v>
      </c>
      <c r="H211" s="73">
        <v>61446</v>
      </c>
      <c r="I211" s="5">
        <v>4</v>
      </c>
      <c r="J211" s="74">
        <f>Tabla22[[#This Row],[Base price1]]*Tabla22[[#This Row],[Req.]]+Tabla22[[#This Row],[Base price2]]*Tabla22[[#This Row],[Req.2]]</f>
        <v>408816</v>
      </c>
      <c r="K211" s="73">
        <f>IFERROR(LOOKUP(Tabla22[[#This Row],[Product]],$R$18:$R$23,$T$18:$T$23)*Tabla22[[#This Row],[QualityBonus]]*Tabla22[[#This Row],[Base price1]]*Tabla22[[#This Row],[Req.]],0)</f>
        <v>15129.369599999998</v>
      </c>
      <c r="L211" s="73">
        <f>IF(Tabla22[[#This Row],[Req.2]]&gt;0,LOOKUP(Tabla22[[#This Row],[Product2]],$R$18:$R$23,$T$18:$T$23)*Tabla22[[#This Row],[Base price2]]*Tabla22[[#This Row],[Req.2]]*Tabla22[[#This Row],[QualityBonus]],0)</f>
        <v>28510.944</v>
      </c>
      <c r="M211" s="73">
        <f>IFERROR((Tabla22[[#This Row],[Base price1]]-LOOKUP(Tabla22[[#This Row],[Product]],$R$18:$R$23,$S$18:$S$23))*Tabla22[[#This Row],[Req.]],0)</f>
        <v>26232</v>
      </c>
      <c r="N211" s="73">
        <f>IF(Tabla22[[#This Row],[Req.2]]&gt;0,(Tabla22[[#This Row],[Base price2]]-LOOKUP(Tabla22[[#This Row],[Product2]],$R$18:$R$23,$S$18:$S$23))*Tabla22[[#This Row],[Req.2]],0)</f>
        <v>37784</v>
      </c>
      <c r="O211" s="73">
        <f>SUM(Tabla22[[#This Row],[Bonus1]:[p2]])</f>
        <v>107656.31359999999</v>
      </c>
      <c r="P211" s="73">
        <f>IF(Tabla22[[#This Row],[QualityBonus]]&gt;0,Tabla22[[#This Row],[No wages]]-$C$4,"")</f>
        <v>60786.488008227832</v>
      </c>
    </row>
    <row r="212" spans="1:16" x14ac:dyDescent="0.25">
      <c r="A212" s="13">
        <v>196</v>
      </c>
      <c r="B212" s="13" t="s">
        <v>13</v>
      </c>
      <c r="C212" s="66">
        <v>2.2800000000000001E-2</v>
      </c>
      <c r="D212" s="2" t="s">
        <v>57</v>
      </c>
      <c r="E212" s="73">
        <v>82963</v>
      </c>
      <c r="F212" s="5">
        <v>4</v>
      </c>
      <c r="G212" s="2" t="s">
        <v>56</v>
      </c>
      <c r="H212" s="73">
        <v>220651</v>
      </c>
      <c r="I212" s="5">
        <v>1</v>
      </c>
      <c r="J212" s="74">
        <f>Tabla22[[#This Row],[Base price1]]*Tabla22[[#This Row],[Req.]]+Tabla22[[#This Row],[Base price2]]*Tabla22[[#This Row],[Req.2]]</f>
        <v>552503</v>
      </c>
      <c r="K212" s="73">
        <f>IFERROR(LOOKUP(Tabla22[[#This Row],[Product]],$R$18:$R$23,$T$18:$T$23)*Tabla22[[#This Row],[QualityBonus]]*Tabla22[[#This Row],[Base price1]]*Tabla22[[#This Row],[Req.]],0)</f>
        <v>30264.902400000003</v>
      </c>
      <c r="L212" s="73">
        <f>IF(Tabla22[[#This Row],[Req.2]]&gt;0,LOOKUP(Tabla22[[#This Row],[Product2]],$R$18:$R$23,$T$18:$T$23)*Tabla22[[#This Row],[Base price2]]*Tabla22[[#This Row],[Req.2]]*Tabla22[[#This Row],[QualityBonus]],0)</f>
        <v>20123.371200000001</v>
      </c>
      <c r="M212" s="73">
        <f>IFERROR((Tabla22[[#This Row],[Base price1]]-LOOKUP(Tabla22[[#This Row],[Product]],$R$18:$R$23,$S$18:$S$23))*Tabla22[[#This Row],[Req.]],0)</f>
        <v>19852</v>
      </c>
      <c r="N212" s="73">
        <f>IF(Tabla22[[#This Row],[Req.2]]&gt;0,(Tabla22[[#This Row],[Base price2]]-LOOKUP(Tabla22[[#This Row],[Product2]],$R$18:$R$23,$S$18:$S$23))*Tabla22[[#This Row],[Req.2]],0)</f>
        <v>-349</v>
      </c>
      <c r="O212" s="73">
        <f>SUM(Tabla22[[#This Row],[Bonus1]:[p2]])</f>
        <v>69891.2736</v>
      </c>
      <c r="P212" s="73">
        <f>IF(Tabla22[[#This Row],[QualityBonus]]&gt;0,Tabla22[[#This Row],[No wages]]-$C$4,"")</f>
        <v>23021.448008227839</v>
      </c>
    </row>
    <row r="213" spans="1:16" x14ac:dyDescent="0.25">
      <c r="A213" s="13">
        <v>197</v>
      </c>
      <c r="B213" s="13" t="s">
        <v>13</v>
      </c>
      <c r="C213" s="66">
        <v>1.77E-2</v>
      </c>
      <c r="D213" s="2" t="s">
        <v>53</v>
      </c>
      <c r="E213" s="73">
        <v>40725</v>
      </c>
      <c r="F213" s="5">
        <v>4</v>
      </c>
      <c r="G213" s="2"/>
      <c r="H213" s="73"/>
      <c r="I213" s="5"/>
      <c r="J213" s="74">
        <f>Tabla22[[#This Row],[Base price1]]*Tabla22[[#This Row],[Req.]]+Tabla22[[#This Row],[Base price2]]*Tabla22[[#This Row],[Req.2]]</f>
        <v>162900</v>
      </c>
      <c r="K213" s="73">
        <f>IFERROR(LOOKUP(Tabla22[[#This Row],[Product]],$R$18:$R$23,$T$18:$T$23)*Tabla22[[#This Row],[QualityBonus]]*Tabla22[[#This Row],[Base price1]]*Tabla22[[#This Row],[Req.]],0)</f>
        <v>11533.32</v>
      </c>
      <c r="L213" s="73">
        <f>IF(Tabla22[[#This Row],[Req.2]]&gt;0,LOOKUP(Tabla22[[#This Row],[Product2]],$R$18:$R$23,$T$18:$T$23)*Tabla22[[#This Row],[Base price2]]*Tabla22[[#This Row],[Req.2]]*Tabla22[[#This Row],[QualityBonus]],0)</f>
        <v>0</v>
      </c>
      <c r="M213" s="73">
        <f>IFERROR((Tabla22[[#This Row],[Base price1]]-LOOKUP(Tabla22[[#This Row],[Product]],$R$18:$R$23,$S$18:$S$23))*Tabla22[[#This Row],[Req.]],0)</f>
        <v>26100</v>
      </c>
      <c r="N213" s="73">
        <f>IF(Tabla22[[#This Row],[Req.2]]&gt;0,(Tabla22[[#This Row],[Base price2]]-LOOKUP(Tabla22[[#This Row],[Product2]],$R$18:$R$23,$S$18:$S$23))*Tabla22[[#This Row],[Req.2]],0)</f>
        <v>0</v>
      </c>
      <c r="O213" s="73">
        <f>SUM(Tabla22[[#This Row],[Bonus1]:[p2]])</f>
        <v>37633.32</v>
      </c>
      <c r="P213" s="73">
        <f>IF(Tabla22[[#This Row],[QualityBonus]]&gt;0,Tabla22[[#This Row],[No wages]]-$C$4,"")</f>
        <v>-9236.505591772162</v>
      </c>
    </row>
    <row r="214" spans="1:16" x14ac:dyDescent="0.25">
      <c r="A214" s="13">
        <v>198</v>
      </c>
      <c r="B214" s="13" t="s">
        <v>13</v>
      </c>
      <c r="C214" s="66">
        <v>1.32E-2</v>
      </c>
      <c r="D214" s="2" t="s">
        <v>53</v>
      </c>
      <c r="E214" s="73">
        <v>42533</v>
      </c>
      <c r="F214" s="5">
        <v>2</v>
      </c>
      <c r="G214" s="2"/>
      <c r="H214" s="73"/>
      <c r="I214" s="5"/>
      <c r="J214" s="74">
        <f>Tabla22[[#This Row],[Base price1]]*Tabla22[[#This Row],[Req.]]+Tabla22[[#This Row],[Base price2]]*Tabla22[[#This Row],[Req.2]]</f>
        <v>85066</v>
      </c>
      <c r="K214" s="73">
        <f>IFERROR(LOOKUP(Tabla22[[#This Row],[Product]],$R$18:$R$23,$T$18:$T$23)*Tabla22[[#This Row],[QualityBonus]]*Tabla22[[#This Row],[Base price1]]*Tabla22[[#This Row],[Req.]],0)</f>
        <v>4491.4848000000002</v>
      </c>
      <c r="L214" s="73">
        <f>IF(Tabla22[[#This Row],[Req.2]]&gt;0,LOOKUP(Tabla22[[#This Row],[Product2]],$R$18:$R$23,$T$18:$T$23)*Tabla22[[#This Row],[Base price2]]*Tabla22[[#This Row],[Req.2]]*Tabla22[[#This Row],[QualityBonus]],0)</f>
        <v>0</v>
      </c>
      <c r="M214" s="73">
        <f>IFERROR((Tabla22[[#This Row],[Base price1]]-LOOKUP(Tabla22[[#This Row],[Product]],$R$18:$R$23,$S$18:$S$23))*Tabla22[[#This Row],[Req.]],0)</f>
        <v>16666</v>
      </c>
      <c r="N214" s="73">
        <f>IF(Tabla22[[#This Row],[Req.2]]&gt;0,(Tabla22[[#This Row],[Base price2]]-LOOKUP(Tabla22[[#This Row],[Product2]],$R$18:$R$23,$S$18:$S$23))*Tabla22[[#This Row],[Req.2]],0)</f>
        <v>0</v>
      </c>
      <c r="O214" s="73">
        <f>SUM(Tabla22[[#This Row],[Bonus1]:[p2]])</f>
        <v>21157.484799999998</v>
      </c>
      <c r="P214" s="73">
        <f>IF(Tabla22[[#This Row],[QualityBonus]]&gt;0,Tabla22[[#This Row],[No wages]]-$C$4,"")</f>
        <v>-25712.340791772163</v>
      </c>
    </row>
    <row r="215" spans="1:16" x14ac:dyDescent="0.25">
      <c r="A215" s="13">
        <v>199</v>
      </c>
      <c r="B215" s="13" t="s">
        <v>13</v>
      </c>
      <c r="C215" s="66">
        <v>2.8299999999999999E-2</v>
      </c>
      <c r="D215" s="2" t="s">
        <v>53</v>
      </c>
      <c r="E215" s="73">
        <v>42021</v>
      </c>
      <c r="F215" s="5">
        <v>3</v>
      </c>
      <c r="G215" s="2" t="s">
        <v>57</v>
      </c>
      <c r="H215" s="73">
        <v>84088</v>
      </c>
      <c r="I215" s="5">
        <v>2</v>
      </c>
      <c r="J215" s="74">
        <f>Tabla22[[#This Row],[Base price1]]*Tabla22[[#This Row],[Req.]]+Tabla22[[#This Row],[Base price2]]*Tabla22[[#This Row],[Req.2]]</f>
        <v>294239</v>
      </c>
      <c r="K215" s="73">
        <f>IFERROR(LOOKUP(Tabla22[[#This Row],[Product]],$R$18:$R$23,$T$18:$T$23)*Tabla22[[#This Row],[QualityBonus]]*Tabla22[[#This Row],[Base price1]]*Tabla22[[#This Row],[Req.]],0)</f>
        <v>14270.331599999998</v>
      </c>
      <c r="L215" s="73">
        <f>IF(Tabla22[[#This Row],[Req.2]]&gt;0,LOOKUP(Tabla22[[#This Row],[Product2]],$R$18:$R$23,$T$18:$T$23)*Tabla22[[#This Row],[Base price2]]*Tabla22[[#This Row],[Req.2]]*Tabla22[[#This Row],[QualityBonus]],0)</f>
        <v>19037.5232</v>
      </c>
      <c r="M215" s="73">
        <f>IFERROR((Tabla22[[#This Row],[Base price1]]-LOOKUP(Tabla22[[#This Row],[Product]],$R$18:$R$23,$S$18:$S$23))*Tabla22[[#This Row],[Req.]],0)</f>
        <v>23463</v>
      </c>
      <c r="N215" s="73">
        <f>IF(Tabla22[[#This Row],[Req.2]]&gt;0,(Tabla22[[#This Row],[Base price2]]-LOOKUP(Tabla22[[#This Row],[Product2]],$R$18:$R$23,$S$18:$S$23))*Tabla22[[#This Row],[Req.2]],0)</f>
        <v>12176</v>
      </c>
      <c r="O215" s="73">
        <f>SUM(Tabla22[[#This Row],[Bonus1]:[p2]])</f>
        <v>68946.854800000001</v>
      </c>
      <c r="P215" s="73">
        <f>IF(Tabla22[[#This Row],[QualityBonus]]&gt;0,Tabla22[[#This Row],[No wages]]-$C$4,"")</f>
        <v>22077.029208227839</v>
      </c>
    </row>
    <row r="216" spans="1:16" x14ac:dyDescent="0.25">
      <c r="A216" s="13">
        <v>200</v>
      </c>
      <c r="B216" s="13" t="s">
        <v>13</v>
      </c>
      <c r="C216" s="66">
        <v>2.1700000000000001E-2</v>
      </c>
      <c r="D216" s="2" t="s">
        <v>54</v>
      </c>
      <c r="E216" s="73">
        <v>62654</v>
      </c>
      <c r="F216" s="5">
        <v>1</v>
      </c>
      <c r="G216" s="2" t="s">
        <v>57</v>
      </c>
      <c r="H216" s="73">
        <v>85970</v>
      </c>
      <c r="I216" s="5">
        <v>1</v>
      </c>
      <c r="J216" s="74">
        <f>Tabla22[[#This Row],[Base price1]]*Tabla22[[#This Row],[Req.]]+Tabla22[[#This Row],[Base price2]]*Tabla22[[#This Row],[Req.2]]</f>
        <v>148624</v>
      </c>
      <c r="K216" s="73">
        <f>IFERROR(LOOKUP(Tabla22[[#This Row],[Product]],$R$18:$R$23,$T$18:$T$23)*Tabla22[[#This Row],[QualityBonus]]*Tabla22[[#This Row],[Base price1]]*Tabla22[[#This Row],[Req.]],0)</f>
        <v>6797.9589999999998</v>
      </c>
      <c r="L216" s="73">
        <f>IF(Tabla22[[#This Row],[Req.2]]&gt;0,LOOKUP(Tabla22[[#This Row],[Product2]],$R$18:$R$23,$T$18:$T$23)*Tabla22[[#This Row],[Base price2]]*Tabla22[[#This Row],[Req.2]]*Tabla22[[#This Row],[QualityBonus]],0)</f>
        <v>7462.1959999999999</v>
      </c>
      <c r="M216" s="73">
        <f>IFERROR((Tabla22[[#This Row],[Base price1]]-LOOKUP(Tabla22[[#This Row],[Product]],$R$18:$R$23,$S$18:$S$23))*Tabla22[[#This Row],[Req.]],0)</f>
        <v>10654</v>
      </c>
      <c r="N216" s="73">
        <f>IF(Tabla22[[#This Row],[Req.2]]&gt;0,(Tabla22[[#This Row],[Base price2]]-LOOKUP(Tabla22[[#This Row],[Product2]],$R$18:$R$23,$S$18:$S$23))*Tabla22[[#This Row],[Req.2]],0)</f>
        <v>7970</v>
      </c>
      <c r="O216" s="73">
        <f>SUM(Tabla22[[#This Row],[Bonus1]:[p2]])</f>
        <v>32884.154999999999</v>
      </c>
      <c r="P216" s="73">
        <f>IF(Tabla22[[#This Row],[QualityBonus]]&gt;0,Tabla22[[#This Row],[No wages]]-$C$4,"")</f>
        <v>-13985.670591772163</v>
      </c>
    </row>
    <row r="217" spans="1:16" x14ac:dyDescent="0.25">
      <c r="A217" s="13">
        <v>201</v>
      </c>
      <c r="B217" s="13" t="s">
        <v>13</v>
      </c>
      <c r="C217" s="66">
        <v>1.46E-2</v>
      </c>
      <c r="D217" s="2" t="s">
        <v>54</v>
      </c>
      <c r="E217" s="73">
        <v>59785</v>
      </c>
      <c r="F217" s="5">
        <v>1</v>
      </c>
      <c r="G217" s="2" t="s">
        <v>53</v>
      </c>
      <c r="H217" s="73">
        <v>41263</v>
      </c>
      <c r="I217" s="5">
        <v>3</v>
      </c>
      <c r="J217" s="74">
        <f>Tabla22[[#This Row],[Base price1]]*Tabla22[[#This Row],[Req.]]+Tabla22[[#This Row],[Base price2]]*Tabla22[[#This Row],[Req.2]]</f>
        <v>183574</v>
      </c>
      <c r="K217" s="73">
        <f>IFERROR(LOOKUP(Tabla22[[#This Row],[Product]],$R$18:$R$23,$T$18:$T$23)*Tabla22[[#This Row],[QualityBonus]]*Tabla22[[#This Row],[Base price1]]*Tabla22[[#This Row],[Req.]],0)</f>
        <v>4364.3049999999994</v>
      </c>
      <c r="L217" s="73">
        <f>IF(Tabla22[[#This Row],[Req.2]]&gt;0,LOOKUP(Tabla22[[#This Row],[Product2]],$R$18:$R$23,$T$18:$T$23)*Tabla22[[#This Row],[Base price2]]*Tabla22[[#This Row],[Req.2]]*Tabla22[[#This Row],[QualityBonus]],0)</f>
        <v>7229.2776000000003</v>
      </c>
      <c r="M217" s="73">
        <f>IFERROR((Tabla22[[#This Row],[Base price1]]-LOOKUP(Tabla22[[#This Row],[Product]],$R$18:$R$23,$S$18:$S$23))*Tabla22[[#This Row],[Req.]],0)</f>
        <v>7785</v>
      </c>
      <c r="N217" s="73">
        <f>IF(Tabla22[[#This Row],[Req.2]]&gt;0,(Tabla22[[#This Row],[Base price2]]-LOOKUP(Tabla22[[#This Row],[Product2]],$R$18:$R$23,$S$18:$S$23))*Tabla22[[#This Row],[Req.2]],0)</f>
        <v>21189</v>
      </c>
      <c r="O217" s="73">
        <f>SUM(Tabla22[[#This Row],[Bonus1]:[p2]])</f>
        <v>40567.582600000002</v>
      </c>
      <c r="P217" s="73">
        <f>IF(Tabla22[[#This Row],[QualityBonus]]&gt;0,Tabla22[[#This Row],[No wages]]-$C$4,"")</f>
        <v>-6302.2429917721602</v>
      </c>
    </row>
    <row r="218" spans="1:16" x14ac:dyDescent="0.25">
      <c r="A218" s="13">
        <v>202</v>
      </c>
      <c r="B218" s="13" t="s">
        <v>13</v>
      </c>
      <c r="C218" s="66">
        <v>1.4800000000000001E-2</v>
      </c>
      <c r="D218" s="2" t="s">
        <v>53</v>
      </c>
      <c r="E218" s="73">
        <v>40812</v>
      </c>
      <c r="F218" s="5">
        <v>4</v>
      </c>
      <c r="G218" s="2"/>
      <c r="H218" s="73"/>
      <c r="I218" s="5"/>
      <c r="J218" s="74">
        <f>Tabla22[[#This Row],[Base price1]]*Tabla22[[#This Row],[Req.]]+Tabla22[[#This Row],[Base price2]]*Tabla22[[#This Row],[Req.2]]</f>
        <v>163248</v>
      </c>
      <c r="K218" s="73">
        <f>IFERROR(LOOKUP(Tabla22[[#This Row],[Product]],$R$18:$R$23,$T$18:$T$23)*Tabla22[[#This Row],[QualityBonus]]*Tabla22[[#This Row],[Base price1]]*Tabla22[[#This Row],[Req.]],0)</f>
        <v>9664.2816000000003</v>
      </c>
      <c r="L218" s="73">
        <f>IF(Tabla22[[#This Row],[Req.2]]&gt;0,LOOKUP(Tabla22[[#This Row],[Product2]],$R$18:$R$23,$T$18:$T$23)*Tabla22[[#This Row],[Base price2]]*Tabla22[[#This Row],[Req.2]]*Tabla22[[#This Row],[QualityBonus]],0)</f>
        <v>0</v>
      </c>
      <c r="M218" s="73">
        <f>IFERROR((Tabla22[[#This Row],[Base price1]]-LOOKUP(Tabla22[[#This Row],[Product]],$R$18:$R$23,$S$18:$S$23))*Tabla22[[#This Row],[Req.]],0)</f>
        <v>26448</v>
      </c>
      <c r="N218" s="73">
        <f>IF(Tabla22[[#This Row],[Req.2]]&gt;0,(Tabla22[[#This Row],[Base price2]]-LOOKUP(Tabla22[[#This Row],[Product2]],$R$18:$R$23,$S$18:$S$23))*Tabla22[[#This Row],[Req.2]],0)</f>
        <v>0</v>
      </c>
      <c r="O218" s="73">
        <f>SUM(Tabla22[[#This Row],[Bonus1]:[p2]])</f>
        <v>36112.281600000002</v>
      </c>
      <c r="P218" s="73">
        <f>IF(Tabla22[[#This Row],[QualityBonus]]&gt;0,Tabla22[[#This Row],[No wages]]-$C$4,"")</f>
        <v>-10757.54399177216</v>
      </c>
    </row>
    <row r="219" spans="1:16" x14ac:dyDescent="0.25">
      <c r="A219" s="13">
        <v>203</v>
      </c>
      <c r="B219" s="13" t="s">
        <v>13</v>
      </c>
      <c r="C219" s="66">
        <v>2.9100000000000001E-2</v>
      </c>
      <c r="D219" s="2" t="s">
        <v>27</v>
      </c>
      <c r="E219" s="73">
        <v>821381</v>
      </c>
      <c r="F219" s="5">
        <v>1</v>
      </c>
      <c r="G219" s="2" t="s">
        <v>57</v>
      </c>
      <c r="H219" s="73">
        <v>86549</v>
      </c>
      <c r="I219" s="5">
        <v>4</v>
      </c>
      <c r="J219" s="74">
        <f>Tabla22[[#This Row],[Base price1]]*Tabla22[[#This Row],[Req.]]+Tabla22[[#This Row],[Base price2]]*Tabla22[[#This Row],[Req.2]]</f>
        <v>1167577</v>
      </c>
      <c r="K219" s="73">
        <f>IFERROR(LOOKUP(Tabla22[[#This Row],[Product]],$R$18:$R$23,$T$18:$T$23)*Tabla22[[#This Row],[QualityBonus]]*Tabla22[[#This Row],[Base price1]]*Tabla22[[#This Row],[Req.]],0)</f>
        <v>95608.748399999997</v>
      </c>
      <c r="L219" s="73">
        <f>IF(Tabla22[[#This Row],[Req.2]]&gt;0,LOOKUP(Tabla22[[#This Row],[Product2]],$R$18:$R$23,$T$18:$T$23)*Tabla22[[#This Row],[Base price2]]*Tabla22[[#This Row],[Req.2]]*Tabla22[[#This Row],[QualityBonus]],0)</f>
        <v>40297.214400000004</v>
      </c>
      <c r="M219" s="73">
        <f>IFERROR((Tabla22[[#This Row],[Base price1]]-LOOKUP(Tabla22[[#This Row],[Product]],$R$18:$R$23,$S$18:$S$23))*Tabla22[[#This Row],[Req.]],0)</f>
        <v>-17619</v>
      </c>
      <c r="N219" s="73">
        <f>IF(Tabla22[[#This Row],[Req.2]]&gt;0,(Tabla22[[#This Row],[Base price2]]-LOOKUP(Tabla22[[#This Row],[Product2]],$R$18:$R$23,$S$18:$S$23))*Tabla22[[#This Row],[Req.2]],0)</f>
        <v>34196</v>
      </c>
      <c r="O219" s="73">
        <f>SUM(Tabla22[[#This Row],[Bonus1]:[p2]])</f>
        <v>152482.96280000001</v>
      </c>
      <c r="P219" s="73">
        <f>IF(Tabla22[[#This Row],[QualityBonus]]&gt;0,Tabla22[[#This Row],[No wages]]-$C$4,"")</f>
        <v>105613.13720822785</v>
      </c>
    </row>
    <row r="220" spans="1:16" x14ac:dyDescent="0.25">
      <c r="A220" s="13">
        <v>204</v>
      </c>
      <c r="B220" s="13" t="s">
        <v>13</v>
      </c>
      <c r="C220" s="66">
        <v>1.2200000000000001E-2</v>
      </c>
      <c r="D220" s="2" t="s">
        <v>55</v>
      </c>
      <c r="E220" s="73">
        <v>83554</v>
      </c>
      <c r="F220" s="5">
        <v>4</v>
      </c>
      <c r="G220" s="2"/>
      <c r="H220" s="73"/>
      <c r="I220" s="5"/>
      <c r="J220" s="74">
        <f>Tabla22[[#This Row],[Base price1]]*Tabla22[[#This Row],[Req.]]+Tabla22[[#This Row],[Base price2]]*Tabla22[[#This Row],[Req.2]]</f>
        <v>334216</v>
      </c>
      <c r="K220" s="73">
        <f>IFERROR(LOOKUP(Tabla22[[#This Row],[Product]],$R$18:$R$23,$T$18:$T$23)*Tabla22[[#This Row],[QualityBonus]]*Tabla22[[#This Row],[Base price1]]*Tabla22[[#This Row],[Req.]],0)</f>
        <v>16309.740800000001</v>
      </c>
      <c r="L220" s="73">
        <f>IF(Tabla22[[#This Row],[Req.2]]&gt;0,LOOKUP(Tabla22[[#This Row],[Product2]],$R$18:$R$23,$T$18:$T$23)*Tabla22[[#This Row],[Base price2]]*Tabla22[[#This Row],[Req.2]]*Tabla22[[#This Row],[QualityBonus]],0)</f>
        <v>0</v>
      </c>
      <c r="M220" s="73">
        <f>IFERROR((Tabla22[[#This Row],[Base price1]]-LOOKUP(Tabla22[[#This Row],[Product]],$R$18:$R$23,$S$18:$S$23))*Tabla22[[#This Row],[Req.]],0)</f>
        <v>22216</v>
      </c>
      <c r="N220" s="73">
        <f>IF(Tabla22[[#This Row],[Req.2]]&gt;0,(Tabla22[[#This Row],[Base price2]]-LOOKUP(Tabla22[[#This Row],[Product2]],$R$18:$R$23,$S$18:$S$23))*Tabla22[[#This Row],[Req.2]],0)</f>
        <v>0</v>
      </c>
      <c r="O220" s="73">
        <f>SUM(Tabla22[[#This Row],[Bonus1]:[p2]])</f>
        <v>38525.7408</v>
      </c>
      <c r="P220" s="73">
        <f>IF(Tabla22[[#This Row],[QualityBonus]]&gt;0,Tabla22[[#This Row],[No wages]]-$C$4,"")</f>
        <v>-8344.0847917721621</v>
      </c>
    </row>
    <row r="221" spans="1:16" x14ac:dyDescent="0.25">
      <c r="A221" s="13">
        <v>205</v>
      </c>
      <c r="B221" s="13" t="s">
        <v>13</v>
      </c>
      <c r="C221" s="66">
        <v>1.6899999999999998E-2</v>
      </c>
      <c r="D221" s="2" t="s">
        <v>53</v>
      </c>
      <c r="E221" s="73">
        <v>41146</v>
      </c>
      <c r="F221" s="5">
        <v>5</v>
      </c>
      <c r="G221" s="2" t="s">
        <v>57</v>
      </c>
      <c r="H221" s="73">
        <v>87290</v>
      </c>
      <c r="I221" s="5">
        <v>4</v>
      </c>
      <c r="J221" s="74">
        <f>Tabla22[[#This Row],[Base price1]]*Tabla22[[#This Row],[Req.]]+Tabla22[[#This Row],[Base price2]]*Tabla22[[#This Row],[Req.2]]</f>
        <v>554890</v>
      </c>
      <c r="K221" s="73">
        <f>IFERROR(LOOKUP(Tabla22[[#This Row],[Product]],$R$18:$R$23,$T$18:$T$23)*Tabla22[[#This Row],[QualityBonus]]*Tabla22[[#This Row],[Base price1]]*Tabla22[[#This Row],[Req.]],0)</f>
        <v>13907.348</v>
      </c>
      <c r="L221" s="73">
        <f>IF(Tabla22[[#This Row],[Req.2]]&gt;0,LOOKUP(Tabla22[[#This Row],[Product2]],$R$18:$R$23,$T$18:$T$23)*Tabla22[[#This Row],[Base price2]]*Tabla22[[#This Row],[Req.2]]*Tabla22[[#This Row],[QualityBonus]],0)</f>
        <v>23603.215999999997</v>
      </c>
      <c r="M221" s="73">
        <f>IFERROR((Tabla22[[#This Row],[Base price1]]-LOOKUP(Tabla22[[#This Row],[Product]],$R$18:$R$23,$S$18:$S$23))*Tabla22[[#This Row],[Req.]],0)</f>
        <v>34730</v>
      </c>
      <c r="N221" s="73">
        <f>IF(Tabla22[[#This Row],[Req.2]]&gt;0,(Tabla22[[#This Row],[Base price2]]-LOOKUP(Tabla22[[#This Row],[Product2]],$R$18:$R$23,$S$18:$S$23))*Tabla22[[#This Row],[Req.2]],0)</f>
        <v>37160</v>
      </c>
      <c r="O221" s="73">
        <f>SUM(Tabla22[[#This Row],[Bonus1]:[p2]])</f>
        <v>109400.564</v>
      </c>
      <c r="P221" s="73">
        <f>IF(Tabla22[[#This Row],[QualityBonus]]&gt;0,Tabla22[[#This Row],[No wages]]-$C$4,"")</f>
        <v>62530.738408227837</v>
      </c>
    </row>
    <row r="222" spans="1:16" x14ac:dyDescent="0.25">
      <c r="A222" s="13">
        <v>206</v>
      </c>
      <c r="B222" s="13" t="s">
        <v>13</v>
      </c>
      <c r="C222" s="66">
        <v>1.61E-2</v>
      </c>
      <c r="D222" s="2" t="s">
        <v>54</v>
      </c>
      <c r="E222" s="73">
        <v>62700</v>
      </c>
      <c r="F222" s="5">
        <v>3</v>
      </c>
      <c r="G222" s="2" t="s">
        <v>53</v>
      </c>
      <c r="H222" s="73">
        <v>40409</v>
      </c>
      <c r="I222" s="5">
        <v>3</v>
      </c>
      <c r="J222" s="74">
        <f>Tabla22[[#This Row],[Base price1]]*Tabla22[[#This Row],[Req.]]+Tabla22[[#This Row],[Base price2]]*Tabla22[[#This Row],[Req.2]]</f>
        <v>309327</v>
      </c>
      <c r="K222" s="73">
        <f>IFERROR(LOOKUP(Tabla22[[#This Row],[Product]],$R$18:$R$23,$T$18:$T$23)*Tabla22[[#This Row],[QualityBonus]]*Tabla22[[#This Row],[Base price1]]*Tabla22[[#This Row],[Req.]],0)</f>
        <v>15142.050000000001</v>
      </c>
      <c r="L222" s="73">
        <f>IF(Tabla22[[#This Row],[Req.2]]&gt;0,LOOKUP(Tabla22[[#This Row],[Product2]],$R$18:$R$23,$T$18:$T$23)*Tabla22[[#This Row],[Base price2]]*Tabla22[[#This Row],[Req.2]]*Tabla22[[#This Row],[QualityBonus]],0)</f>
        <v>7807.0187999999998</v>
      </c>
      <c r="M222" s="73">
        <f>IFERROR((Tabla22[[#This Row],[Base price1]]-LOOKUP(Tabla22[[#This Row],[Product]],$R$18:$R$23,$S$18:$S$23))*Tabla22[[#This Row],[Req.]],0)</f>
        <v>32100</v>
      </c>
      <c r="N222" s="73">
        <f>IF(Tabla22[[#This Row],[Req.2]]&gt;0,(Tabla22[[#This Row],[Base price2]]-LOOKUP(Tabla22[[#This Row],[Product2]],$R$18:$R$23,$S$18:$S$23))*Tabla22[[#This Row],[Req.2]],0)</f>
        <v>18627</v>
      </c>
      <c r="O222" s="73">
        <f>SUM(Tabla22[[#This Row],[Bonus1]:[p2]])</f>
        <v>73676.068800000008</v>
      </c>
      <c r="P222" s="73">
        <f>IF(Tabla22[[#This Row],[QualityBonus]]&gt;0,Tabla22[[#This Row],[No wages]]-$C$4,"")</f>
        <v>26806.243208227846</v>
      </c>
    </row>
    <row r="223" spans="1:16" x14ac:dyDescent="0.25">
      <c r="A223" s="13">
        <v>207</v>
      </c>
      <c r="B223" s="13" t="s">
        <v>13</v>
      </c>
      <c r="C223" s="66">
        <v>2.23E-2</v>
      </c>
      <c r="D223" s="2" t="s">
        <v>54</v>
      </c>
      <c r="E223" s="73">
        <v>59521</v>
      </c>
      <c r="F223" s="5">
        <v>2</v>
      </c>
      <c r="G223" s="2" t="s">
        <v>54</v>
      </c>
      <c r="H223" s="73">
        <v>59521</v>
      </c>
      <c r="I223" s="5">
        <v>4</v>
      </c>
      <c r="J223" s="74">
        <f>Tabla22[[#This Row],[Base price1]]*Tabla22[[#This Row],[Req.]]+Tabla22[[#This Row],[Base price2]]*Tabla22[[#This Row],[Req.2]]</f>
        <v>357126</v>
      </c>
      <c r="K223" s="73">
        <f>IFERROR(LOOKUP(Tabla22[[#This Row],[Product]],$R$18:$R$23,$T$18:$T$23)*Tabla22[[#This Row],[QualityBonus]]*Tabla22[[#This Row],[Base price1]]*Tabla22[[#This Row],[Req.]],0)</f>
        <v>13273.183000000001</v>
      </c>
      <c r="L223" s="73">
        <f>IF(Tabla22[[#This Row],[Req.2]]&gt;0,LOOKUP(Tabla22[[#This Row],[Product2]],$R$18:$R$23,$T$18:$T$23)*Tabla22[[#This Row],[Base price2]]*Tabla22[[#This Row],[Req.2]]*Tabla22[[#This Row],[QualityBonus]],0)</f>
        <v>26546.366000000002</v>
      </c>
      <c r="M223" s="73">
        <f>IFERROR((Tabla22[[#This Row],[Base price1]]-LOOKUP(Tabla22[[#This Row],[Product]],$R$18:$R$23,$S$18:$S$23))*Tabla22[[#This Row],[Req.]],0)</f>
        <v>15042</v>
      </c>
      <c r="N223" s="73">
        <f>IF(Tabla22[[#This Row],[Req.2]]&gt;0,(Tabla22[[#This Row],[Base price2]]-LOOKUP(Tabla22[[#This Row],[Product2]],$R$18:$R$23,$S$18:$S$23))*Tabla22[[#This Row],[Req.2]],0)</f>
        <v>30084</v>
      </c>
      <c r="O223" s="73">
        <f>SUM(Tabla22[[#This Row],[Bonus1]:[p2]])</f>
        <v>84945.548999999999</v>
      </c>
      <c r="P223" s="73">
        <f>IF(Tabla22[[#This Row],[QualityBonus]]&gt;0,Tabla22[[#This Row],[No wages]]-$C$4,"")</f>
        <v>38075.723408227837</v>
      </c>
    </row>
    <row r="224" spans="1:16" x14ac:dyDescent="0.25">
      <c r="A224" s="13">
        <v>208</v>
      </c>
      <c r="B224" s="13" t="s">
        <v>13</v>
      </c>
      <c r="C224" s="66">
        <v>1.89E-2</v>
      </c>
      <c r="D224" s="2" t="s">
        <v>55</v>
      </c>
      <c r="E224" s="73">
        <v>85978</v>
      </c>
      <c r="F224" s="5">
        <v>3</v>
      </c>
      <c r="G224" s="2"/>
      <c r="H224" s="73"/>
      <c r="I224" s="5"/>
      <c r="J224" s="74">
        <f>Tabla22[[#This Row],[Base price1]]*Tabla22[[#This Row],[Req.]]+Tabla22[[#This Row],[Base price2]]*Tabla22[[#This Row],[Req.2]]</f>
        <v>257934</v>
      </c>
      <c r="K224" s="73">
        <f>IFERROR(LOOKUP(Tabla22[[#This Row],[Product]],$R$18:$R$23,$T$18:$T$23)*Tabla22[[#This Row],[QualityBonus]]*Tabla22[[#This Row],[Base price1]]*Tabla22[[#This Row],[Req.]],0)</f>
        <v>19499.810400000002</v>
      </c>
      <c r="L224" s="73">
        <f>IF(Tabla22[[#This Row],[Req.2]]&gt;0,LOOKUP(Tabla22[[#This Row],[Product2]],$R$18:$R$23,$T$18:$T$23)*Tabla22[[#This Row],[Base price2]]*Tabla22[[#This Row],[Req.2]]*Tabla22[[#This Row],[QualityBonus]],0)</f>
        <v>0</v>
      </c>
      <c r="M224" s="73">
        <f>IFERROR((Tabla22[[#This Row],[Base price1]]-LOOKUP(Tabla22[[#This Row],[Product]],$R$18:$R$23,$S$18:$S$23))*Tabla22[[#This Row],[Req.]],0)</f>
        <v>23934</v>
      </c>
      <c r="N224" s="73">
        <f>IF(Tabla22[[#This Row],[Req.2]]&gt;0,(Tabla22[[#This Row],[Base price2]]-LOOKUP(Tabla22[[#This Row],[Product2]],$R$18:$R$23,$S$18:$S$23))*Tabla22[[#This Row],[Req.2]],0)</f>
        <v>0</v>
      </c>
      <c r="O224" s="73">
        <f>SUM(Tabla22[[#This Row],[Bonus1]:[p2]])</f>
        <v>43433.810400000002</v>
      </c>
      <c r="P224" s="73">
        <f>IF(Tabla22[[#This Row],[QualityBonus]]&gt;0,Tabla22[[#This Row],[No wages]]-$C$4,"")</f>
        <v>-3436.0151917721596</v>
      </c>
    </row>
    <row r="225" spans="1:16" x14ac:dyDescent="0.25">
      <c r="A225" s="13">
        <v>209</v>
      </c>
      <c r="B225" s="13" t="s">
        <v>13</v>
      </c>
      <c r="C225" s="66">
        <v>2.87E-2</v>
      </c>
      <c r="D225" s="2" t="s">
        <v>55</v>
      </c>
      <c r="E225" s="73">
        <v>82253</v>
      </c>
      <c r="F225" s="5">
        <v>4</v>
      </c>
      <c r="G225" s="2"/>
      <c r="H225" s="73"/>
      <c r="I225" s="5"/>
      <c r="J225" s="74">
        <f>Tabla22[[#This Row],[Base price1]]*Tabla22[[#This Row],[Req.]]+Tabla22[[#This Row],[Base price2]]*Tabla22[[#This Row],[Req.2]]</f>
        <v>329012</v>
      </c>
      <c r="K225" s="73">
        <f>IFERROR(LOOKUP(Tabla22[[#This Row],[Product]],$R$18:$R$23,$T$18:$T$23)*Tabla22[[#This Row],[QualityBonus]]*Tabla22[[#This Row],[Base price1]]*Tabla22[[#This Row],[Req.]],0)</f>
        <v>37770.577599999997</v>
      </c>
      <c r="L225" s="73">
        <f>IF(Tabla22[[#This Row],[Req.2]]&gt;0,LOOKUP(Tabla22[[#This Row],[Product2]],$R$18:$R$23,$T$18:$T$23)*Tabla22[[#This Row],[Base price2]]*Tabla22[[#This Row],[Req.2]]*Tabla22[[#This Row],[QualityBonus]],0)</f>
        <v>0</v>
      </c>
      <c r="M225" s="73">
        <f>IFERROR((Tabla22[[#This Row],[Base price1]]-LOOKUP(Tabla22[[#This Row],[Product]],$R$18:$R$23,$S$18:$S$23))*Tabla22[[#This Row],[Req.]],0)</f>
        <v>17012</v>
      </c>
      <c r="N225" s="73">
        <f>IF(Tabla22[[#This Row],[Req.2]]&gt;0,(Tabla22[[#This Row],[Base price2]]-LOOKUP(Tabla22[[#This Row],[Product2]],$R$18:$R$23,$S$18:$S$23))*Tabla22[[#This Row],[Req.2]],0)</f>
        <v>0</v>
      </c>
      <c r="O225" s="73">
        <f>SUM(Tabla22[[#This Row],[Bonus1]:[p2]])</f>
        <v>54782.577599999997</v>
      </c>
      <c r="P225" s="73">
        <f>IF(Tabla22[[#This Row],[QualityBonus]]&gt;0,Tabla22[[#This Row],[No wages]]-$C$4,"")</f>
        <v>7912.7520082278352</v>
      </c>
    </row>
    <row r="226" spans="1:16" x14ac:dyDescent="0.25">
      <c r="A226" s="13">
        <v>210</v>
      </c>
      <c r="B226" s="13" t="s">
        <v>13</v>
      </c>
      <c r="C226" s="66">
        <v>2.9100000000000001E-2</v>
      </c>
      <c r="D226" s="2" t="s">
        <v>55</v>
      </c>
      <c r="E226" s="73">
        <v>84059</v>
      </c>
      <c r="F226" s="5">
        <v>4</v>
      </c>
      <c r="G226" s="2" t="s">
        <v>56</v>
      </c>
      <c r="H226" s="73">
        <v>222534</v>
      </c>
      <c r="I226" s="5">
        <v>1</v>
      </c>
      <c r="J226" s="74">
        <f>Tabla22[[#This Row],[Base price1]]*Tabla22[[#This Row],[Req.]]+Tabla22[[#This Row],[Base price2]]*Tabla22[[#This Row],[Req.2]]</f>
        <v>558770</v>
      </c>
      <c r="K226" s="73">
        <f>IFERROR(LOOKUP(Tabla22[[#This Row],[Product]],$R$18:$R$23,$T$18:$T$23)*Tabla22[[#This Row],[QualityBonus]]*Tabla22[[#This Row],[Base price1]]*Tabla22[[#This Row],[Req.]],0)</f>
        <v>39137.8704</v>
      </c>
      <c r="L226" s="73">
        <f>IF(Tabla22[[#This Row],[Req.2]]&gt;0,LOOKUP(Tabla22[[#This Row],[Product2]],$R$18:$R$23,$T$18:$T$23)*Tabla22[[#This Row],[Base price2]]*Tabla22[[#This Row],[Req.2]]*Tabla22[[#This Row],[QualityBonus]],0)</f>
        <v>25902.957600000002</v>
      </c>
      <c r="M226" s="73">
        <f>IFERROR((Tabla22[[#This Row],[Base price1]]-LOOKUP(Tabla22[[#This Row],[Product]],$R$18:$R$23,$S$18:$S$23))*Tabla22[[#This Row],[Req.]],0)</f>
        <v>24236</v>
      </c>
      <c r="N226" s="73">
        <f>IF(Tabla22[[#This Row],[Req.2]]&gt;0,(Tabla22[[#This Row],[Base price2]]-LOOKUP(Tabla22[[#This Row],[Product2]],$R$18:$R$23,$S$18:$S$23))*Tabla22[[#This Row],[Req.2]],0)</f>
        <v>1534</v>
      </c>
      <c r="O226" s="73">
        <f>SUM(Tabla22[[#This Row],[Bonus1]:[p2]])</f>
        <v>90810.828000000009</v>
      </c>
      <c r="P226" s="73">
        <f>IF(Tabla22[[#This Row],[QualityBonus]]&gt;0,Tabla22[[#This Row],[No wages]]-$C$4,"")</f>
        <v>43941.002408227847</v>
      </c>
    </row>
    <row r="227" spans="1:16" x14ac:dyDescent="0.25">
      <c r="A227" s="13">
        <v>211</v>
      </c>
      <c r="B227" s="13" t="s">
        <v>13</v>
      </c>
      <c r="C227" s="66">
        <v>1.6899999999999998E-2</v>
      </c>
      <c r="D227" s="2" t="s">
        <v>53</v>
      </c>
      <c r="E227" s="73">
        <v>41145</v>
      </c>
      <c r="F227" s="5">
        <v>5</v>
      </c>
      <c r="G227" s="2" t="s">
        <v>57</v>
      </c>
      <c r="H227" s="73">
        <v>87289</v>
      </c>
      <c r="I227" s="5">
        <v>4</v>
      </c>
      <c r="J227" s="74">
        <f>Tabla22[[#This Row],[Base price1]]*Tabla22[[#This Row],[Req.]]+Tabla22[[#This Row],[Base price2]]*Tabla22[[#This Row],[Req.2]]</f>
        <v>554881</v>
      </c>
      <c r="K227" s="73">
        <f>IFERROR(LOOKUP(Tabla22[[#This Row],[Product]],$R$18:$R$23,$T$18:$T$23)*Tabla22[[#This Row],[QualityBonus]]*Tabla22[[#This Row],[Base price1]]*Tabla22[[#This Row],[Req.]],0)</f>
        <v>13907.009999999998</v>
      </c>
      <c r="L227" s="73">
        <f>IF(Tabla22[[#This Row],[Req.2]]&gt;0,LOOKUP(Tabla22[[#This Row],[Product2]],$R$18:$R$23,$T$18:$T$23)*Tabla22[[#This Row],[Base price2]]*Tabla22[[#This Row],[Req.2]]*Tabla22[[#This Row],[QualityBonus]],0)</f>
        <v>23602.945599999999</v>
      </c>
      <c r="M227" s="73">
        <f>IFERROR((Tabla22[[#This Row],[Base price1]]-LOOKUP(Tabla22[[#This Row],[Product]],$R$18:$R$23,$S$18:$S$23))*Tabla22[[#This Row],[Req.]],0)</f>
        <v>34725</v>
      </c>
      <c r="N227" s="73">
        <f>IF(Tabla22[[#This Row],[Req.2]]&gt;0,(Tabla22[[#This Row],[Base price2]]-LOOKUP(Tabla22[[#This Row],[Product2]],$R$18:$R$23,$S$18:$S$23))*Tabla22[[#This Row],[Req.2]],0)</f>
        <v>37156</v>
      </c>
      <c r="O227" s="73">
        <f>SUM(Tabla22[[#This Row],[Bonus1]:[p2]])</f>
        <v>109390.9556</v>
      </c>
      <c r="P227" s="73">
        <f>IF(Tabla22[[#This Row],[QualityBonus]]&gt;0,Tabla22[[#This Row],[No wages]]-$C$4,"")</f>
        <v>62521.130008227839</v>
      </c>
    </row>
    <row r="228" spans="1:16" x14ac:dyDescent="0.25">
      <c r="A228" s="13">
        <v>212</v>
      </c>
      <c r="B228" s="13" t="s">
        <v>13</v>
      </c>
      <c r="C228" s="66">
        <v>1.12E-2</v>
      </c>
      <c r="D228" s="2" t="s">
        <v>53</v>
      </c>
      <c r="E228" s="73">
        <v>42380</v>
      </c>
      <c r="F228" s="5">
        <v>4</v>
      </c>
      <c r="G228" s="2" t="s">
        <v>52</v>
      </c>
      <c r="H228" s="73">
        <v>120747</v>
      </c>
      <c r="I228" s="5">
        <v>4</v>
      </c>
      <c r="J228" s="74">
        <f>Tabla22[[#This Row],[Base price1]]*Tabla22[[#This Row],[Req.]]+Tabla22[[#This Row],[Base price2]]*Tabla22[[#This Row],[Req.2]]</f>
        <v>652508</v>
      </c>
      <c r="K228" s="73">
        <f>IFERROR(LOOKUP(Tabla22[[#This Row],[Product]],$R$18:$R$23,$T$18:$T$23)*Tabla22[[#This Row],[QualityBonus]]*Tabla22[[#This Row],[Base price1]]*Tabla22[[#This Row],[Req.]],0)</f>
        <v>7594.4960000000001</v>
      </c>
      <c r="L228" s="73">
        <f>IF(Tabla22[[#This Row],[Req.2]]&gt;0,LOOKUP(Tabla22[[#This Row],[Product2]],$R$18:$R$23,$T$18:$T$23)*Tabla22[[#This Row],[Base price2]]*Tabla22[[#This Row],[Req.2]]*Tabla22[[#This Row],[QualityBonus]],0)</f>
        <v>27047.328000000001</v>
      </c>
      <c r="M228" s="73">
        <f>IFERROR((Tabla22[[#This Row],[Base price1]]-LOOKUP(Tabla22[[#This Row],[Product]],$R$18:$R$23,$S$18:$S$23))*Tabla22[[#This Row],[Req.]],0)</f>
        <v>32720</v>
      </c>
      <c r="N228" s="73">
        <f>IF(Tabla22[[#This Row],[Req.2]]&gt;0,(Tabla22[[#This Row],[Base price2]]-LOOKUP(Tabla22[[#This Row],[Product2]],$R$18:$R$23,$S$18:$S$23))*Tabla22[[#This Row],[Req.2]],0)</f>
        <v>34988</v>
      </c>
      <c r="O228" s="73">
        <f>SUM(Tabla22[[#This Row],[Bonus1]:[p2]])</f>
        <v>102349.82399999999</v>
      </c>
      <c r="P228" s="73">
        <f>IF(Tabla22[[#This Row],[QualityBonus]]&gt;0,Tabla22[[#This Row],[No wages]]-$C$4,"")</f>
        <v>55479.998408227832</v>
      </c>
    </row>
    <row r="229" spans="1:16" x14ac:dyDescent="0.25">
      <c r="A229" s="13">
        <v>213</v>
      </c>
      <c r="B229" s="13" t="s">
        <v>13</v>
      </c>
      <c r="C229" s="66">
        <v>1.38E-2</v>
      </c>
      <c r="D229" s="2" t="s">
        <v>53</v>
      </c>
      <c r="E229" s="73">
        <v>40999</v>
      </c>
      <c r="F229" s="5">
        <v>4</v>
      </c>
      <c r="G229" s="2"/>
      <c r="H229" s="73"/>
      <c r="I229" s="5"/>
      <c r="J229" s="74">
        <f>Tabla22[[#This Row],[Base price1]]*Tabla22[[#This Row],[Req.]]+Tabla22[[#This Row],[Base price2]]*Tabla22[[#This Row],[Req.2]]</f>
        <v>163996</v>
      </c>
      <c r="K229" s="73">
        <f>IFERROR(LOOKUP(Tabla22[[#This Row],[Product]],$R$18:$R$23,$T$18:$T$23)*Tabla22[[#This Row],[QualityBonus]]*Tabla22[[#This Row],[Base price1]]*Tabla22[[#This Row],[Req.]],0)</f>
        <v>9052.5792000000001</v>
      </c>
      <c r="L229" s="73">
        <f>IF(Tabla22[[#This Row],[Req.2]]&gt;0,LOOKUP(Tabla22[[#This Row],[Product2]],$R$18:$R$23,$T$18:$T$23)*Tabla22[[#This Row],[Base price2]]*Tabla22[[#This Row],[Req.2]]*Tabla22[[#This Row],[QualityBonus]],0)</f>
        <v>0</v>
      </c>
      <c r="M229" s="73">
        <f>IFERROR((Tabla22[[#This Row],[Base price1]]-LOOKUP(Tabla22[[#This Row],[Product]],$R$18:$R$23,$S$18:$S$23))*Tabla22[[#This Row],[Req.]],0)</f>
        <v>27196</v>
      </c>
      <c r="N229" s="73">
        <f>IF(Tabla22[[#This Row],[Req.2]]&gt;0,(Tabla22[[#This Row],[Base price2]]-LOOKUP(Tabla22[[#This Row],[Product2]],$R$18:$R$23,$S$18:$S$23))*Tabla22[[#This Row],[Req.2]],0)</f>
        <v>0</v>
      </c>
      <c r="O229" s="73">
        <f>SUM(Tabla22[[#This Row],[Bonus1]:[p2]])</f>
        <v>36248.5792</v>
      </c>
      <c r="P229" s="73">
        <f>IF(Tabla22[[#This Row],[QualityBonus]]&gt;0,Tabla22[[#This Row],[No wages]]-$C$4,"")</f>
        <v>-10621.246391772162</v>
      </c>
    </row>
    <row r="230" spans="1:16" x14ac:dyDescent="0.25">
      <c r="A230" s="13">
        <v>214</v>
      </c>
      <c r="B230" s="13" t="s">
        <v>13</v>
      </c>
      <c r="C230" s="66">
        <v>2.1000000000000001E-2</v>
      </c>
      <c r="D230" s="2" t="s">
        <v>53</v>
      </c>
      <c r="E230" s="73">
        <v>41957</v>
      </c>
      <c r="F230" s="5">
        <v>4</v>
      </c>
      <c r="G230" s="2" t="s">
        <v>57</v>
      </c>
      <c r="H230" s="73">
        <v>83957</v>
      </c>
      <c r="I230" s="5">
        <v>3</v>
      </c>
      <c r="J230" s="74">
        <f>Tabla22[[#This Row],[Base price1]]*Tabla22[[#This Row],[Req.]]+Tabla22[[#This Row],[Base price2]]*Tabla22[[#This Row],[Req.2]]</f>
        <v>419699</v>
      </c>
      <c r="K230" s="73">
        <f>IFERROR(LOOKUP(Tabla22[[#This Row],[Product]],$R$18:$R$23,$T$18:$T$23)*Tabla22[[#This Row],[QualityBonus]]*Tabla22[[#This Row],[Base price1]]*Tabla22[[#This Row],[Req.]],0)</f>
        <v>14097.552000000001</v>
      </c>
      <c r="L230" s="73">
        <f>IF(Tabla22[[#This Row],[Req.2]]&gt;0,LOOKUP(Tabla22[[#This Row],[Product2]],$R$18:$R$23,$T$18:$T$23)*Tabla22[[#This Row],[Base price2]]*Tabla22[[#This Row],[Req.2]]*Tabla22[[#This Row],[QualityBonus]],0)</f>
        <v>21157.164000000001</v>
      </c>
      <c r="M230" s="73">
        <f>IFERROR((Tabla22[[#This Row],[Base price1]]-LOOKUP(Tabla22[[#This Row],[Product]],$R$18:$R$23,$S$18:$S$23))*Tabla22[[#This Row],[Req.]],0)</f>
        <v>31028</v>
      </c>
      <c r="N230" s="73">
        <f>IF(Tabla22[[#This Row],[Req.2]]&gt;0,(Tabla22[[#This Row],[Base price2]]-LOOKUP(Tabla22[[#This Row],[Product2]],$R$18:$R$23,$S$18:$S$23))*Tabla22[[#This Row],[Req.2]],0)</f>
        <v>17871</v>
      </c>
      <c r="O230" s="73">
        <f>SUM(Tabla22[[#This Row],[Bonus1]:[p2]])</f>
        <v>84153.716</v>
      </c>
      <c r="P230" s="73">
        <f>IF(Tabla22[[#This Row],[QualityBonus]]&gt;0,Tabla22[[#This Row],[No wages]]-$C$4,"")</f>
        <v>37283.890408227839</v>
      </c>
    </row>
    <row r="231" spans="1:16" x14ac:dyDescent="0.25">
      <c r="A231" s="13">
        <v>215</v>
      </c>
      <c r="B231" s="13" t="s">
        <v>13</v>
      </c>
      <c r="C231" s="66">
        <v>1.9E-2</v>
      </c>
      <c r="D231" s="2" t="s">
        <v>54</v>
      </c>
      <c r="E231" s="73">
        <v>59901</v>
      </c>
      <c r="F231" s="5">
        <v>2</v>
      </c>
      <c r="G231" s="2" t="s">
        <v>56</v>
      </c>
      <c r="H231" s="73">
        <v>231833</v>
      </c>
      <c r="I231" s="5">
        <v>2</v>
      </c>
      <c r="J231" s="74">
        <f>Tabla22[[#This Row],[Base price1]]*Tabla22[[#This Row],[Req.]]+Tabla22[[#This Row],[Base price2]]*Tabla22[[#This Row],[Req.2]]</f>
        <v>583468</v>
      </c>
      <c r="K231" s="73">
        <f>IFERROR(LOOKUP(Tabla22[[#This Row],[Product]],$R$18:$R$23,$T$18:$T$23)*Tabla22[[#This Row],[QualityBonus]]*Tabla22[[#This Row],[Base price1]]*Tabla22[[#This Row],[Req.]],0)</f>
        <v>11381.19</v>
      </c>
      <c r="L231" s="73">
        <f>IF(Tabla22[[#This Row],[Req.2]]&gt;0,LOOKUP(Tabla22[[#This Row],[Product2]],$R$18:$R$23,$T$18:$T$23)*Tabla22[[#This Row],[Base price2]]*Tabla22[[#This Row],[Req.2]]*Tabla22[[#This Row],[QualityBonus]],0)</f>
        <v>35238.616000000002</v>
      </c>
      <c r="M231" s="73">
        <f>IFERROR((Tabla22[[#This Row],[Base price1]]-LOOKUP(Tabla22[[#This Row],[Product]],$R$18:$R$23,$S$18:$S$23))*Tabla22[[#This Row],[Req.]],0)</f>
        <v>15802</v>
      </c>
      <c r="N231" s="73">
        <f>IF(Tabla22[[#This Row],[Req.2]]&gt;0,(Tabla22[[#This Row],[Base price2]]-LOOKUP(Tabla22[[#This Row],[Product2]],$R$18:$R$23,$S$18:$S$23))*Tabla22[[#This Row],[Req.2]],0)</f>
        <v>21666</v>
      </c>
      <c r="O231" s="73">
        <f>SUM(Tabla22[[#This Row],[Bonus1]:[p2]])</f>
        <v>84087.806000000011</v>
      </c>
      <c r="P231" s="73">
        <f>IF(Tabla22[[#This Row],[QualityBonus]]&gt;0,Tabla22[[#This Row],[No wages]]-$C$4,"")</f>
        <v>37217.98040822785</v>
      </c>
    </row>
    <row r="232" spans="1:16" x14ac:dyDescent="0.25">
      <c r="A232" s="13">
        <v>216</v>
      </c>
      <c r="B232" s="13" t="s">
        <v>13</v>
      </c>
      <c r="C232" s="66">
        <v>1.43E-2</v>
      </c>
      <c r="D232" s="2" t="s">
        <v>55</v>
      </c>
      <c r="E232" s="73">
        <v>87043</v>
      </c>
      <c r="F232" s="5">
        <v>2</v>
      </c>
      <c r="G232" s="2"/>
      <c r="H232" s="73"/>
      <c r="I232" s="5"/>
      <c r="J232" s="74">
        <f>Tabla22[[#This Row],[Base price1]]*Tabla22[[#This Row],[Req.]]+Tabla22[[#This Row],[Base price2]]*Tabla22[[#This Row],[Req.2]]</f>
        <v>174086</v>
      </c>
      <c r="K232" s="73">
        <f>IFERROR(LOOKUP(Tabla22[[#This Row],[Product]],$R$18:$R$23,$T$18:$T$23)*Tabla22[[#This Row],[QualityBonus]]*Tabla22[[#This Row],[Base price1]]*Tabla22[[#This Row],[Req.]],0)</f>
        <v>9957.7191999999995</v>
      </c>
      <c r="L232" s="73">
        <f>IF(Tabla22[[#This Row],[Req.2]]&gt;0,LOOKUP(Tabla22[[#This Row],[Product2]],$R$18:$R$23,$T$18:$T$23)*Tabla22[[#This Row],[Base price2]]*Tabla22[[#This Row],[Req.2]]*Tabla22[[#This Row],[QualityBonus]],0)</f>
        <v>0</v>
      </c>
      <c r="M232" s="73">
        <f>IFERROR((Tabla22[[#This Row],[Base price1]]-LOOKUP(Tabla22[[#This Row],[Product]],$R$18:$R$23,$S$18:$S$23))*Tabla22[[#This Row],[Req.]],0)</f>
        <v>18086</v>
      </c>
      <c r="N232" s="73">
        <f>IF(Tabla22[[#This Row],[Req.2]]&gt;0,(Tabla22[[#This Row],[Base price2]]-LOOKUP(Tabla22[[#This Row],[Product2]],$R$18:$R$23,$S$18:$S$23))*Tabla22[[#This Row],[Req.2]],0)</f>
        <v>0</v>
      </c>
      <c r="O232" s="73">
        <f>SUM(Tabla22[[#This Row],[Bonus1]:[p2]])</f>
        <v>28043.7192</v>
      </c>
      <c r="P232" s="73">
        <f>IF(Tabla22[[#This Row],[QualityBonus]]&gt;0,Tabla22[[#This Row],[No wages]]-$C$4,"")</f>
        <v>-18826.106391772162</v>
      </c>
    </row>
    <row r="233" spans="1:16" x14ac:dyDescent="0.25">
      <c r="A233" s="13">
        <v>217</v>
      </c>
      <c r="B233" s="13" t="s">
        <v>13</v>
      </c>
      <c r="C233" s="66">
        <v>2.6800000000000001E-2</v>
      </c>
      <c r="D233" s="2" t="s">
        <v>55</v>
      </c>
      <c r="E233" s="73">
        <v>82887</v>
      </c>
      <c r="F233" s="5">
        <v>2</v>
      </c>
      <c r="G233" s="2"/>
      <c r="H233" s="73"/>
      <c r="I233" s="5"/>
      <c r="J233" s="74">
        <f>Tabla22[[#This Row],[Base price1]]*Tabla22[[#This Row],[Req.]]+Tabla22[[#This Row],[Base price2]]*Tabla22[[#This Row],[Req.2]]</f>
        <v>165774</v>
      </c>
      <c r="K233" s="73">
        <f>IFERROR(LOOKUP(Tabla22[[#This Row],[Product]],$R$18:$R$23,$T$18:$T$23)*Tabla22[[#This Row],[QualityBonus]]*Tabla22[[#This Row],[Base price1]]*Tabla22[[#This Row],[Req.]],0)</f>
        <v>17770.9728</v>
      </c>
      <c r="L233" s="73">
        <f>IF(Tabla22[[#This Row],[Req.2]]&gt;0,LOOKUP(Tabla22[[#This Row],[Product2]],$R$18:$R$23,$T$18:$T$23)*Tabla22[[#This Row],[Base price2]]*Tabla22[[#This Row],[Req.2]]*Tabla22[[#This Row],[QualityBonus]],0)</f>
        <v>0</v>
      </c>
      <c r="M233" s="73">
        <f>IFERROR((Tabla22[[#This Row],[Base price1]]-LOOKUP(Tabla22[[#This Row],[Product]],$R$18:$R$23,$S$18:$S$23))*Tabla22[[#This Row],[Req.]],0)</f>
        <v>9774</v>
      </c>
      <c r="N233" s="73">
        <f>IF(Tabla22[[#This Row],[Req.2]]&gt;0,(Tabla22[[#This Row],[Base price2]]-LOOKUP(Tabla22[[#This Row],[Product2]],$R$18:$R$23,$S$18:$S$23))*Tabla22[[#This Row],[Req.2]],0)</f>
        <v>0</v>
      </c>
      <c r="O233" s="73">
        <f>SUM(Tabla22[[#This Row],[Bonus1]:[p2]])</f>
        <v>27544.9728</v>
      </c>
      <c r="P233" s="73">
        <f>IF(Tabla22[[#This Row],[QualityBonus]]&gt;0,Tabla22[[#This Row],[No wages]]-$C$4,"")</f>
        <v>-19324.852791772162</v>
      </c>
    </row>
    <row r="234" spans="1:16" x14ac:dyDescent="0.25">
      <c r="A234" s="13">
        <v>218</v>
      </c>
      <c r="B234" s="13" t="s">
        <v>13</v>
      </c>
      <c r="C234" s="66">
        <v>1.52E-2</v>
      </c>
      <c r="D234" s="2" t="s">
        <v>54</v>
      </c>
      <c r="E234" s="73">
        <v>62686</v>
      </c>
      <c r="F234" s="5">
        <v>1</v>
      </c>
      <c r="G234" s="2" t="s">
        <v>53</v>
      </c>
      <c r="H234" s="73">
        <v>41534</v>
      </c>
      <c r="I234" s="5">
        <v>3</v>
      </c>
      <c r="J234" s="74">
        <f>Tabla22[[#This Row],[Base price1]]*Tabla22[[#This Row],[Req.]]+Tabla22[[#This Row],[Base price2]]*Tabla22[[#This Row],[Req.2]]</f>
        <v>187288</v>
      </c>
      <c r="K234" s="73">
        <f>IFERROR(LOOKUP(Tabla22[[#This Row],[Product]],$R$18:$R$23,$T$18:$T$23)*Tabla22[[#This Row],[QualityBonus]]*Tabla22[[#This Row],[Base price1]]*Tabla22[[#This Row],[Req.]],0)</f>
        <v>4764.1359999999995</v>
      </c>
      <c r="L234" s="73">
        <f>IF(Tabla22[[#This Row],[Req.2]]&gt;0,LOOKUP(Tabla22[[#This Row],[Product2]],$R$18:$R$23,$T$18:$T$23)*Tabla22[[#This Row],[Base price2]]*Tabla22[[#This Row],[Req.2]]*Tabla22[[#This Row],[QualityBonus]],0)</f>
        <v>7575.8015999999998</v>
      </c>
      <c r="M234" s="73">
        <f>IFERROR((Tabla22[[#This Row],[Base price1]]-LOOKUP(Tabla22[[#This Row],[Product]],$R$18:$R$23,$S$18:$S$23))*Tabla22[[#This Row],[Req.]],0)</f>
        <v>10686</v>
      </c>
      <c r="N234" s="73">
        <f>IF(Tabla22[[#This Row],[Req.2]]&gt;0,(Tabla22[[#This Row],[Base price2]]-LOOKUP(Tabla22[[#This Row],[Product2]],$R$18:$R$23,$S$18:$S$23))*Tabla22[[#This Row],[Req.2]],0)</f>
        <v>22002</v>
      </c>
      <c r="O234" s="73">
        <f>SUM(Tabla22[[#This Row],[Bonus1]:[p2]])</f>
        <v>45027.937599999997</v>
      </c>
      <c r="P234" s="73">
        <f>IF(Tabla22[[#This Row],[QualityBonus]]&gt;0,Tabla22[[#This Row],[No wages]]-$C$4,"")</f>
        <v>-1841.8879917721642</v>
      </c>
    </row>
    <row r="235" spans="1:16" x14ac:dyDescent="0.25">
      <c r="A235" s="13">
        <v>219</v>
      </c>
      <c r="B235" s="13" t="s">
        <v>13</v>
      </c>
      <c r="C235" s="66">
        <v>2.6800000000000001E-2</v>
      </c>
      <c r="D235" s="2" t="s">
        <v>56</v>
      </c>
      <c r="E235" s="73">
        <v>224341</v>
      </c>
      <c r="F235" s="5">
        <v>2</v>
      </c>
      <c r="G235" s="2" t="s">
        <v>57</v>
      </c>
      <c r="H235" s="73">
        <v>84958</v>
      </c>
      <c r="I235" s="5">
        <v>1</v>
      </c>
      <c r="J235" s="74">
        <f>Tabla22[[#This Row],[Base price1]]*Tabla22[[#This Row],[Req.]]+Tabla22[[#This Row],[Base price2]]*Tabla22[[#This Row],[Req.2]]</f>
        <v>533640</v>
      </c>
      <c r="K235" s="73">
        <f>IFERROR(LOOKUP(Tabla22[[#This Row],[Product]],$R$18:$R$23,$T$18:$T$23)*Tabla22[[#This Row],[QualityBonus]]*Tabla22[[#This Row],[Base price1]]*Tabla22[[#This Row],[Req.]],0)</f>
        <v>48098.710400000004</v>
      </c>
      <c r="L235" s="73">
        <f>IF(Tabla22[[#This Row],[Req.2]]&gt;0,LOOKUP(Tabla22[[#This Row],[Product2]],$R$18:$R$23,$T$18:$T$23)*Tabla22[[#This Row],[Base price2]]*Tabla22[[#This Row],[Req.2]]*Tabla22[[#This Row],[QualityBonus]],0)</f>
        <v>9107.4976000000006</v>
      </c>
      <c r="M235" s="73">
        <f>IFERROR((Tabla22[[#This Row],[Base price1]]-LOOKUP(Tabla22[[#This Row],[Product]],$R$18:$R$23,$S$18:$S$23))*Tabla22[[#This Row],[Req.]],0)</f>
        <v>6682</v>
      </c>
      <c r="N235" s="73">
        <f>IF(Tabla22[[#This Row],[Req.2]]&gt;0,(Tabla22[[#This Row],[Base price2]]-LOOKUP(Tabla22[[#This Row],[Product2]],$R$18:$R$23,$S$18:$S$23))*Tabla22[[#This Row],[Req.2]],0)</f>
        <v>6958</v>
      </c>
      <c r="O235" s="73">
        <f>SUM(Tabla22[[#This Row],[Bonus1]:[p2]])</f>
        <v>70846.208000000013</v>
      </c>
      <c r="P235" s="73">
        <f>IF(Tabla22[[#This Row],[QualityBonus]]&gt;0,Tabla22[[#This Row],[No wages]]-$C$4,"")</f>
        <v>23976.382408227852</v>
      </c>
    </row>
    <row r="236" spans="1:16" x14ac:dyDescent="0.25">
      <c r="A236" s="13">
        <v>220</v>
      </c>
      <c r="B236" s="13" t="s">
        <v>13</v>
      </c>
      <c r="C236" s="66">
        <v>2.6599999999999999E-2</v>
      </c>
      <c r="D236" s="2" t="s">
        <v>54</v>
      </c>
      <c r="E236" s="73">
        <v>60184</v>
      </c>
      <c r="F236" s="5">
        <v>2</v>
      </c>
      <c r="G236" s="2" t="s">
        <v>56</v>
      </c>
      <c r="H236" s="73">
        <v>228570</v>
      </c>
      <c r="I236" s="5">
        <v>4</v>
      </c>
      <c r="J236" s="74">
        <f>Tabla22[[#This Row],[Base price1]]*Tabla22[[#This Row],[Req.]]+Tabla22[[#This Row],[Base price2]]*Tabla22[[#This Row],[Req.2]]</f>
        <v>1034648</v>
      </c>
      <c r="K236" s="73">
        <f>IFERROR(LOOKUP(Tabla22[[#This Row],[Product]],$R$18:$R$23,$T$18:$T$23)*Tabla22[[#This Row],[QualityBonus]]*Tabla22[[#This Row],[Base price1]]*Tabla22[[#This Row],[Req.]],0)</f>
        <v>16008.944000000001</v>
      </c>
      <c r="L236" s="73">
        <f>IF(Tabla22[[#This Row],[Req.2]]&gt;0,LOOKUP(Tabla22[[#This Row],[Product2]],$R$18:$R$23,$T$18:$T$23)*Tabla22[[#This Row],[Base price2]]*Tabla22[[#This Row],[Req.2]]*Tabla22[[#This Row],[QualityBonus]],0)</f>
        <v>97279.391999999993</v>
      </c>
      <c r="M236" s="73">
        <f>IFERROR((Tabla22[[#This Row],[Base price1]]-LOOKUP(Tabla22[[#This Row],[Product]],$R$18:$R$23,$S$18:$S$23))*Tabla22[[#This Row],[Req.]],0)</f>
        <v>16368</v>
      </c>
      <c r="N236" s="73">
        <f>IF(Tabla22[[#This Row],[Req.2]]&gt;0,(Tabla22[[#This Row],[Base price2]]-LOOKUP(Tabla22[[#This Row],[Product2]],$R$18:$R$23,$S$18:$S$23))*Tabla22[[#This Row],[Req.2]],0)</f>
        <v>30280</v>
      </c>
      <c r="O236" s="73">
        <f>SUM(Tabla22[[#This Row],[Bonus1]:[p2]])</f>
        <v>159936.33600000001</v>
      </c>
      <c r="P236" s="73">
        <f>IF(Tabla22[[#This Row],[QualityBonus]]&gt;0,Tabla22[[#This Row],[No wages]]-$C$4,"")</f>
        <v>113066.51040822786</v>
      </c>
    </row>
    <row r="237" spans="1:16" x14ac:dyDescent="0.25">
      <c r="A237" s="13">
        <v>221</v>
      </c>
      <c r="B237" s="13" t="s">
        <v>13</v>
      </c>
      <c r="C237" s="66">
        <v>1.7399999999999999E-2</v>
      </c>
      <c r="D237" s="2" t="s">
        <v>53</v>
      </c>
      <c r="E237" s="73">
        <v>41510</v>
      </c>
      <c r="F237" s="5">
        <v>5</v>
      </c>
      <c r="G237" s="2" t="s">
        <v>57</v>
      </c>
      <c r="H237" s="73">
        <v>83221</v>
      </c>
      <c r="I237" s="5">
        <v>3</v>
      </c>
      <c r="J237" s="74">
        <f>Tabla22[[#This Row],[Base price1]]*Tabla22[[#This Row],[Req.]]+Tabla22[[#This Row],[Base price2]]*Tabla22[[#This Row],[Req.2]]</f>
        <v>457213</v>
      </c>
      <c r="K237" s="73">
        <f>IFERROR(LOOKUP(Tabla22[[#This Row],[Product]],$R$18:$R$23,$T$18:$T$23)*Tabla22[[#This Row],[QualityBonus]]*Tabla22[[#This Row],[Base price1]]*Tabla22[[#This Row],[Req.]],0)</f>
        <v>14445.48</v>
      </c>
      <c r="L237" s="73">
        <f>IF(Tabla22[[#This Row],[Req.2]]&gt;0,LOOKUP(Tabla22[[#This Row],[Product2]],$R$18:$R$23,$T$18:$T$23)*Tabla22[[#This Row],[Base price2]]*Tabla22[[#This Row],[Req.2]]*Tabla22[[#This Row],[QualityBonus]],0)</f>
        <v>17376.5448</v>
      </c>
      <c r="M237" s="73">
        <f>IFERROR((Tabla22[[#This Row],[Base price1]]-LOOKUP(Tabla22[[#This Row],[Product]],$R$18:$R$23,$S$18:$S$23))*Tabla22[[#This Row],[Req.]],0)</f>
        <v>36550</v>
      </c>
      <c r="N237" s="73">
        <f>IF(Tabla22[[#This Row],[Req.2]]&gt;0,(Tabla22[[#This Row],[Base price2]]-LOOKUP(Tabla22[[#This Row],[Product2]],$R$18:$R$23,$S$18:$S$23))*Tabla22[[#This Row],[Req.2]],0)</f>
        <v>15663</v>
      </c>
      <c r="O237" s="73">
        <f>SUM(Tabla22[[#This Row],[Bonus1]:[p2]])</f>
        <v>84035.024799999999</v>
      </c>
      <c r="P237" s="73">
        <f>IF(Tabla22[[#This Row],[QualityBonus]]&gt;0,Tabla22[[#This Row],[No wages]]-$C$4,"")</f>
        <v>37165.199208227838</v>
      </c>
    </row>
    <row r="238" spans="1:16" x14ac:dyDescent="0.25">
      <c r="A238" s="13">
        <v>222</v>
      </c>
      <c r="B238" s="13" t="s">
        <v>13</v>
      </c>
      <c r="C238" s="66">
        <v>2.75E-2</v>
      </c>
      <c r="D238" s="2" t="s">
        <v>54</v>
      </c>
      <c r="E238" s="73">
        <v>62526</v>
      </c>
      <c r="F238" s="5">
        <v>4</v>
      </c>
      <c r="G238" s="2" t="s">
        <v>53</v>
      </c>
      <c r="H238" s="73">
        <v>41857</v>
      </c>
      <c r="I238" s="5">
        <v>5</v>
      </c>
      <c r="J238" s="74">
        <f>Tabla22[[#This Row],[Base price1]]*Tabla22[[#This Row],[Req.]]+Tabla22[[#This Row],[Base price2]]*Tabla22[[#This Row],[Req.2]]</f>
        <v>459389</v>
      </c>
      <c r="K238" s="73">
        <f>IFERROR(LOOKUP(Tabla22[[#This Row],[Product]],$R$18:$R$23,$T$18:$T$23)*Tabla22[[#This Row],[QualityBonus]]*Tabla22[[#This Row],[Base price1]]*Tabla22[[#This Row],[Req.]],0)</f>
        <v>34389.300000000003</v>
      </c>
      <c r="L238" s="73">
        <f>IF(Tabla22[[#This Row],[Req.2]]&gt;0,LOOKUP(Tabla22[[#This Row],[Product2]],$R$18:$R$23,$T$18:$T$23)*Tabla22[[#This Row],[Base price2]]*Tabla22[[#This Row],[Req.2]]*Tabla22[[#This Row],[QualityBonus]],0)</f>
        <v>23021.35</v>
      </c>
      <c r="M238" s="73">
        <f>IFERROR((Tabla22[[#This Row],[Base price1]]-LOOKUP(Tabla22[[#This Row],[Product]],$R$18:$R$23,$S$18:$S$23))*Tabla22[[#This Row],[Req.]],0)</f>
        <v>42104</v>
      </c>
      <c r="N238" s="73">
        <f>IF(Tabla22[[#This Row],[Req.2]]&gt;0,(Tabla22[[#This Row],[Base price2]]-LOOKUP(Tabla22[[#This Row],[Product2]],$R$18:$R$23,$S$18:$S$23))*Tabla22[[#This Row],[Req.2]],0)</f>
        <v>38285</v>
      </c>
      <c r="O238" s="73">
        <f>SUM(Tabla22[[#This Row],[Bonus1]:[p2]])</f>
        <v>137799.65</v>
      </c>
      <c r="P238" s="73">
        <f>IF(Tabla22[[#This Row],[QualityBonus]]&gt;0,Tabla22[[#This Row],[No wages]]-$C$4,"")</f>
        <v>90929.82440822784</v>
      </c>
    </row>
    <row r="239" spans="1:16" x14ac:dyDescent="0.25">
      <c r="A239" s="13">
        <v>223</v>
      </c>
      <c r="B239" s="13" t="s">
        <v>13</v>
      </c>
      <c r="C239" s="66">
        <v>2.9700000000000001E-2</v>
      </c>
      <c r="D239" s="2" t="s">
        <v>54</v>
      </c>
      <c r="E239" s="73">
        <v>59572</v>
      </c>
      <c r="F239" s="5">
        <v>1</v>
      </c>
      <c r="G239" s="2" t="s">
        <v>53</v>
      </c>
      <c r="H239" s="73">
        <v>40167</v>
      </c>
      <c r="I239" s="5">
        <v>4</v>
      </c>
      <c r="J239" s="74">
        <f>Tabla22[[#This Row],[Base price1]]*Tabla22[[#This Row],[Req.]]+Tabla22[[#This Row],[Base price2]]*Tabla22[[#This Row],[Req.2]]</f>
        <v>220240</v>
      </c>
      <c r="K239" s="73">
        <f>IFERROR(LOOKUP(Tabla22[[#This Row],[Product]],$R$18:$R$23,$T$18:$T$23)*Tabla22[[#This Row],[QualityBonus]]*Tabla22[[#This Row],[Base price1]]*Tabla22[[#This Row],[Req.]],0)</f>
        <v>8846.4419999999991</v>
      </c>
      <c r="L239" s="73">
        <f>IF(Tabla22[[#This Row],[Req.2]]&gt;0,LOOKUP(Tabla22[[#This Row],[Product2]],$R$18:$R$23,$T$18:$T$23)*Tabla22[[#This Row],[Base price2]]*Tabla22[[#This Row],[Req.2]]*Tabla22[[#This Row],[QualityBonus]],0)</f>
        <v>19087.358400000001</v>
      </c>
      <c r="M239" s="73">
        <f>IFERROR((Tabla22[[#This Row],[Base price1]]-LOOKUP(Tabla22[[#This Row],[Product]],$R$18:$R$23,$S$18:$S$23))*Tabla22[[#This Row],[Req.]],0)</f>
        <v>7572</v>
      </c>
      <c r="N239" s="73">
        <f>IF(Tabla22[[#This Row],[Req.2]]&gt;0,(Tabla22[[#This Row],[Base price2]]-LOOKUP(Tabla22[[#This Row],[Product2]],$R$18:$R$23,$S$18:$S$23))*Tabla22[[#This Row],[Req.2]],0)</f>
        <v>23868</v>
      </c>
      <c r="O239" s="73">
        <f>SUM(Tabla22[[#This Row],[Bonus1]:[p2]])</f>
        <v>59373.8004</v>
      </c>
      <c r="P239" s="73">
        <f>IF(Tabla22[[#This Row],[QualityBonus]]&gt;0,Tabla22[[#This Row],[No wages]]-$C$4,"")</f>
        <v>12503.974808227838</v>
      </c>
    </row>
    <row r="240" spans="1:16" x14ac:dyDescent="0.25">
      <c r="A240" s="13">
        <v>224</v>
      </c>
      <c r="B240" s="13" t="s">
        <v>13</v>
      </c>
      <c r="C240" s="66">
        <v>2.1299999999999999E-2</v>
      </c>
      <c r="D240" s="2" t="s">
        <v>55</v>
      </c>
      <c r="E240" s="73">
        <v>82733</v>
      </c>
      <c r="F240" s="5">
        <v>4</v>
      </c>
      <c r="G240" s="2" t="s">
        <v>53</v>
      </c>
      <c r="H240" s="73">
        <v>40865</v>
      </c>
      <c r="I240" s="5">
        <v>5</v>
      </c>
      <c r="J240" s="74">
        <f>Tabla22[[#This Row],[Base price1]]*Tabla22[[#This Row],[Req.]]+Tabla22[[#This Row],[Base price2]]*Tabla22[[#This Row],[Req.2]]</f>
        <v>535257</v>
      </c>
      <c r="K240" s="73">
        <f>IFERROR(LOOKUP(Tabla22[[#This Row],[Product]],$R$18:$R$23,$T$18:$T$23)*Tabla22[[#This Row],[QualityBonus]]*Tabla22[[#This Row],[Base price1]]*Tabla22[[#This Row],[Req.]],0)</f>
        <v>28195.4064</v>
      </c>
      <c r="L240" s="73">
        <f>IF(Tabla22[[#This Row],[Req.2]]&gt;0,LOOKUP(Tabla22[[#This Row],[Product2]],$R$18:$R$23,$T$18:$T$23)*Tabla22[[#This Row],[Base price2]]*Tabla22[[#This Row],[Req.2]]*Tabla22[[#This Row],[QualityBonus]],0)</f>
        <v>17408.489999999998</v>
      </c>
      <c r="M240" s="73">
        <f>IFERROR((Tabla22[[#This Row],[Base price1]]-LOOKUP(Tabla22[[#This Row],[Product]],$R$18:$R$23,$S$18:$S$23))*Tabla22[[#This Row],[Req.]],0)</f>
        <v>18932</v>
      </c>
      <c r="N240" s="73">
        <f>IF(Tabla22[[#This Row],[Req.2]]&gt;0,(Tabla22[[#This Row],[Base price2]]-LOOKUP(Tabla22[[#This Row],[Product2]],$R$18:$R$23,$S$18:$S$23))*Tabla22[[#This Row],[Req.2]],0)</f>
        <v>33325</v>
      </c>
      <c r="O240" s="73">
        <f>SUM(Tabla22[[#This Row],[Bonus1]:[p2]])</f>
        <v>97860.896399999998</v>
      </c>
      <c r="P240" s="73">
        <f>IF(Tabla22[[#This Row],[QualityBonus]]&gt;0,Tabla22[[#This Row],[No wages]]-$C$4,"")</f>
        <v>50991.070808227836</v>
      </c>
    </row>
    <row r="241" spans="1:16" x14ac:dyDescent="0.25">
      <c r="A241" s="13">
        <v>225</v>
      </c>
      <c r="B241" s="13" t="s">
        <v>13</v>
      </c>
      <c r="C241" s="66">
        <v>1.3899999999999999E-2</v>
      </c>
      <c r="D241" s="2" t="s">
        <v>53</v>
      </c>
      <c r="E241" s="73">
        <v>41276</v>
      </c>
      <c r="F241" s="5">
        <v>4</v>
      </c>
      <c r="G241" s="2" t="s">
        <v>52</v>
      </c>
      <c r="H241" s="73">
        <v>120130</v>
      </c>
      <c r="I241" s="5">
        <v>4</v>
      </c>
      <c r="J241" s="74">
        <f>Tabla22[[#This Row],[Base price1]]*Tabla22[[#This Row],[Req.]]+Tabla22[[#This Row],[Base price2]]*Tabla22[[#This Row],[Req.2]]</f>
        <v>645624</v>
      </c>
      <c r="K241" s="73">
        <f>IFERROR(LOOKUP(Tabla22[[#This Row],[Product]],$R$18:$R$23,$T$18:$T$23)*Tabla22[[#This Row],[QualityBonus]]*Tabla22[[#This Row],[Base price1]]*Tabla22[[#This Row],[Req.]],0)</f>
        <v>9179.7824000000001</v>
      </c>
      <c r="L241" s="73">
        <f>IF(Tabla22[[#This Row],[Req.2]]&gt;0,LOOKUP(Tabla22[[#This Row],[Product2]],$R$18:$R$23,$T$18:$T$23)*Tabla22[[#This Row],[Base price2]]*Tabla22[[#This Row],[Req.2]]*Tabla22[[#This Row],[QualityBonus]],0)</f>
        <v>33396.14</v>
      </c>
      <c r="M241" s="73">
        <f>IFERROR((Tabla22[[#This Row],[Base price1]]-LOOKUP(Tabla22[[#This Row],[Product]],$R$18:$R$23,$S$18:$S$23))*Tabla22[[#This Row],[Req.]],0)</f>
        <v>28304</v>
      </c>
      <c r="N241" s="73">
        <f>IF(Tabla22[[#This Row],[Req.2]]&gt;0,(Tabla22[[#This Row],[Base price2]]-LOOKUP(Tabla22[[#This Row],[Product2]],$R$18:$R$23,$S$18:$S$23))*Tabla22[[#This Row],[Req.2]],0)</f>
        <v>32520</v>
      </c>
      <c r="O241" s="73">
        <f>SUM(Tabla22[[#This Row],[Bonus1]:[p2]])</f>
        <v>103399.9224</v>
      </c>
      <c r="P241" s="73">
        <f>IF(Tabla22[[#This Row],[QualityBonus]]&gt;0,Tabla22[[#This Row],[No wages]]-$C$4,"")</f>
        <v>56530.096808227834</v>
      </c>
    </row>
    <row r="242" spans="1:16" x14ac:dyDescent="0.25">
      <c r="A242" s="13">
        <v>226</v>
      </c>
      <c r="B242" s="13" t="s">
        <v>13</v>
      </c>
      <c r="C242" s="66">
        <v>2.0199999999999999E-2</v>
      </c>
      <c r="D242" s="2" t="s">
        <v>54</v>
      </c>
      <c r="E242" s="73">
        <v>59452</v>
      </c>
      <c r="F242" s="5">
        <v>3</v>
      </c>
      <c r="G242" s="2" t="s">
        <v>53</v>
      </c>
      <c r="H242" s="73">
        <v>41574</v>
      </c>
      <c r="I242" s="5">
        <v>5</v>
      </c>
      <c r="J242" s="74">
        <f>Tabla22[[#This Row],[Base price1]]*Tabla22[[#This Row],[Req.]]+Tabla22[[#This Row],[Base price2]]*Tabla22[[#This Row],[Req.2]]</f>
        <v>386226</v>
      </c>
      <c r="K242" s="73">
        <f>IFERROR(LOOKUP(Tabla22[[#This Row],[Product]],$R$18:$R$23,$T$18:$T$23)*Tabla22[[#This Row],[QualityBonus]]*Tabla22[[#This Row],[Base price1]]*Tabla22[[#This Row],[Req.]],0)</f>
        <v>18013.955999999998</v>
      </c>
      <c r="L242" s="73">
        <f>IF(Tabla22[[#This Row],[Req.2]]&gt;0,LOOKUP(Tabla22[[#This Row],[Product2]],$R$18:$R$23,$T$18:$T$23)*Tabla22[[#This Row],[Base price2]]*Tabla22[[#This Row],[Req.2]]*Tabla22[[#This Row],[QualityBonus]],0)</f>
        <v>16795.896000000001</v>
      </c>
      <c r="M242" s="73">
        <f>IFERROR((Tabla22[[#This Row],[Base price1]]-LOOKUP(Tabla22[[#This Row],[Product]],$R$18:$R$23,$S$18:$S$23))*Tabla22[[#This Row],[Req.]],0)</f>
        <v>22356</v>
      </c>
      <c r="N242" s="73">
        <f>IF(Tabla22[[#This Row],[Req.2]]&gt;0,(Tabla22[[#This Row],[Base price2]]-LOOKUP(Tabla22[[#This Row],[Product2]],$R$18:$R$23,$S$18:$S$23))*Tabla22[[#This Row],[Req.2]],0)</f>
        <v>36870</v>
      </c>
      <c r="O242" s="73">
        <f>SUM(Tabla22[[#This Row],[Bonus1]:[p2]])</f>
        <v>94035.851999999999</v>
      </c>
      <c r="P242" s="73">
        <f>IF(Tabla22[[#This Row],[QualityBonus]]&gt;0,Tabla22[[#This Row],[No wages]]-$C$4,"")</f>
        <v>47166.026408227837</v>
      </c>
    </row>
    <row r="243" spans="1:16" x14ac:dyDescent="0.25">
      <c r="A243" s="13">
        <v>227</v>
      </c>
      <c r="B243" s="13" t="s">
        <v>13</v>
      </c>
      <c r="C243" s="66">
        <v>1.66E-2</v>
      </c>
      <c r="D243" s="2" t="s">
        <v>54</v>
      </c>
      <c r="E243" s="73">
        <v>60389</v>
      </c>
      <c r="F243" s="5">
        <v>2</v>
      </c>
      <c r="G243" s="2" t="s">
        <v>53</v>
      </c>
      <c r="H243" s="73">
        <v>40784</v>
      </c>
      <c r="I243" s="5">
        <v>4</v>
      </c>
      <c r="J243" s="74">
        <f>Tabla22[[#This Row],[Base price1]]*Tabla22[[#This Row],[Req.]]+Tabla22[[#This Row],[Base price2]]*Tabla22[[#This Row],[Req.2]]</f>
        <v>283914</v>
      </c>
      <c r="K243" s="73">
        <f>IFERROR(LOOKUP(Tabla22[[#This Row],[Product]],$R$18:$R$23,$T$18:$T$23)*Tabla22[[#This Row],[QualityBonus]]*Tabla22[[#This Row],[Base price1]]*Tabla22[[#This Row],[Req.]],0)</f>
        <v>10024.574000000001</v>
      </c>
      <c r="L243" s="73">
        <f>IF(Tabla22[[#This Row],[Req.2]]&gt;0,LOOKUP(Tabla22[[#This Row],[Product2]],$R$18:$R$23,$T$18:$T$23)*Tabla22[[#This Row],[Base price2]]*Tabla22[[#This Row],[Req.2]]*Tabla22[[#This Row],[QualityBonus]],0)</f>
        <v>10832.2304</v>
      </c>
      <c r="M243" s="73">
        <f>IFERROR((Tabla22[[#This Row],[Base price1]]-LOOKUP(Tabla22[[#This Row],[Product]],$R$18:$R$23,$S$18:$S$23))*Tabla22[[#This Row],[Req.]],0)</f>
        <v>16778</v>
      </c>
      <c r="N243" s="73">
        <f>IF(Tabla22[[#This Row],[Req.2]]&gt;0,(Tabla22[[#This Row],[Base price2]]-LOOKUP(Tabla22[[#This Row],[Product2]],$R$18:$R$23,$S$18:$S$23))*Tabla22[[#This Row],[Req.2]],0)</f>
        <v>26336</v>
      </c>
      <c r="O243" s="73">
        <f>SUM(Tabla22[[#This Row],[Bonus1]:[p2]])</f>
        <v>63970.804400000001</v>
      </c>
      <c r="P243" s="73">
        <f>IF(Tabla22[[#This Row],[QualityBonus]]&gt;0,Tabla22[[#This Row],[No wages]]-$C$4,"")</f>
        <v>17100.978808227839</v>
      </c>
    </row>
    <row r="244" spans="1:16" x14ac:dyDescent="0.25">
      <c r="A244" s="13">
        <v>228</v>
      </c>
      <c r="B244" s="13" t="s">
        <v>13</v>
      </c>
      <c r="C244" s="66">
        <v>1.5299999999999999E-2</v>
      </c>
      <c r="D244" s="2" t="s">
        <v>53</v>
      </c>
      <c r="E244" s="73">
        <v>40087</v>
      </c>
      <c r="F244" s="5">
        <v>2</v>
      </c>
      <c r="G244" s="2" t="s">
        <v>57</v>
      </c>
      <c r="H244" s="73">
        <v>82753</v>
      </c>
      <c r="I244" s="5">
        <v>1</v>
      </c>
      <c r="J244" s="74">
        <f>Tabla22[[#This Row],[Base price1]]*Tabla22[[#This Row],[Req.]]+Tabla22[[#This Row],[Base price2]]*Tabla22[[#This Row],[Req.2]]</f>
        <v>162927</v>
      </c>
      <c r="K244" s="73">
        <f>IFERROR(LOOKUP(Tabla22[[#This Row],[Product]],$R$18:$R$23,$T$18:$T$23)*Tabla22[[#This Row],[QualityBonus]]*Tabla22[[#This Row],[Base price1]]*Tabla22[[#This Row],[Req.]],0)</f>
        <v>4906.6487999999999</v>
      </c>
      <c r="L244" s="73">
        <f>IF(Tabla22[[#This Row],[Req.2]]&gt;0,LOOKUP(Tabla22[[#This Row],[Product2]],$R$18:$R$23,$T$18:$T$23)*Tabla22[[#This Row],[Base price2]]*Tabla22[[#This Row],[Req.2]]*Tabla22[[#This Row],[QualityBonus]],0)</f>
        <v>5064.4835999999996</v>
      </c>
      <c r="M244" s="73">
        <f>IFERROR((Tabla22[[#This Row],[Base price1]]-LOOKUP(Tabla22[[#This Row],[Product]],$R$18:$R$23,$S$18:$S$23))*Tabla22[[#This Row],[Req.]],0)</f>
        <v>11774</v>
      </c>
      <c r="N244" s="73">
        <f>IF(Tabla22[[#This Row],[Req.2]]&gt;0,(Tabla22[[#This Row],[Base price2]]-LOOKUP(Tabla22[[#This Row],[Product2]],$R$18:$R$23,$S$18:$S$23))*Tabla22[[#This Row],[Req.2]],0)</f>
        <v>4753</v>
      </c>
      <c r="O244" s="73">
        <f>SUM(Tabla22[[#This Row],[Bonus1]:[p2]])</f>
        <v>26498.132399999999</v>
      </c>
      <c r="P244" s="73">
        <f>IF(Tabla22[[#This Row],[QualityBonus]]&gt;0,Tabla22[[#This Row],[No wages]]-$C$4,"")</f>
        <v>-20371.693191772163</v>
      </c>
    </row>
    <row r="245" spans="1:16" x14ac:dyDescent="0.25">
      <c r="A245" s="13">
        <v>229</v>
      </c>
      <c r="B245" s="13" t="s">
        <v>13</v>
      </c>
      <c r="C245" s="66">
        <v>2.9000000000000001E-2</v>
      </c>
      <c r="D245" s="2" t="s">
        <v>53</v>
      </c>
      <c r="E245" s="73">
        <v>42041</v>
      </c>
      <c r="F245" s="5">
        <v>4</v>
      </c>
      <c r="G245" s="2" t="s">
        <v>54</v>
      </c>
      <c r="H245" s="73">
        <v>59840</v>
      </c>
      <c r="I245" s="5">
        <v>4</v>
      </c>
      <c r="J245" s="74">
        <f>Tabla22[[#This Row],[Base price1]]*Tabla22[[#This Row],[Req.]]+Tabla22[[#This Row],[Base price2]]*Tabla22[[#This Row],[Req.2]]</f>
        <v>407524</v>
      </c>
      <c r="K245" s="73">
        <f>IFERROR(LOOKUP(Tabla22[[#This Row],[Product]],$R$18:$R$23,$T$18:$T$23)*Tabla22[[#This Row],[QualityBonus]]*Tabla22[[#This Row],[Base price1]]*Tabla22[[#This Row],[Req.]],0)</f>
        <v>19507.024000000001</v>
      </c>
      <c r="L245" s="73">
        <f>IF(Tabla22[[#This Row],[Req.2]]&gt;0,LOOKUP(Tabla22[[#This Row],[Product2]],$R$18:$R$23,$T$18:$T$23)*Tabla22[[#This Row],[Base price2]]*Tabla22[[#This Row],[Req.2]]*Tabla22[[#This Row],[QualityBonus]],0)</f>
        <v>34707.200000000004</v>
      </c>
      <c r="M245" s="73">
        <f>IFERROR((Tabla22[[#This Row],[Base price1]]-LOOKUP(Tabla22[[#This Row],[Product]],$R$18:$R$23,$S$18:$S$23))*Tabla22[[#This Row],[Req.]],0)</f>
        <v>31364</v>
      </c>
      <c r="N245" s="73">
        <f>IF(Tabla22[[#This Row],[Req.2]]&gt;0,(Tabla22[[#This Row],[Base price2]]-LOOKUP(Tabla22[[#This Row],[Product2]],$R$18:$R$23,$S$18:$S$23))*Tabla22[[#This Row],[Req.2]],0)</f>
        <v>31360</v>
      </c>
      <c r="O245" s="73">
        <f>SUM(Tabla22[[#This Row],[Bonus1]:[p2]])</f>
        <v>116938.224</v>
      </c>
      <c r="P245" s="73">
        <f>IF(Tabla22[[#This Row],[QualityBonus]]&gt;0,Tabla22[[#This Row],[No wages]]-$C$4,"")</f>
        <v>70068.398408227833</v>
      </c>
    </row>
    <row r="246" spans="1:16" x14ac:dyDescent="0.25">
      <c r="A246" s="13">
        <v>230</v>
      </c>
      <c r="B246" s="13" t="s">
        <v>13</v>
      </c>
      <c r="C246" s="66">
        <v>1.14E-2</v>
      </c>
      <c r="D246" s="2" t="s">
        <v>53</v>
      </c>
      <c r="E246" s="73">
        <v>42281</v>
      </c>
      <c r="F246" s="5">
        <v>5</v>
      </c>
      <c r="G246" s="2" t="s">
        <v>56</v>
      </c>
      <c r="H246" s="73">
        <v>231868</v>
      </c>
      <c r="I246" s="5">
        <v>3</v>
      </c>
      <c r="J246" s="74">
        <f>Tabla22[[#This Row],[Base price1]]*Tabla22[[#This Row],[Req.]]+Tabla22[[#This Row],[Base price2]]*Tabla22[[#This Row],[Req.2]]</f>
        <v>907009</v>
      </c>
      <c r="K246" s="73">
        <f>IFERROR(LOOKUP(Tabla22[[#This Row],[Product]],$R$18:$R$23,$T$18:$T$23)*Tabla22[[#This Row],[QualityBonus]]*Tabla22[[#This Row],[Base price1]]*Tabla22[[#This Row],[Req.]],0)</f>
        <v>9640.0679999999993</v>
      </c>
      <c r="L246" s="73">
        <f>IF(Tabla22[[#This Row],[Req.2]]&gt;0,LOOKUP(Tabla22[[#This Row],[Product2]],$R$18:$R$23,$T$18:$T$23)*Tabla22[[#This Row],[Base price2]]*Tabla22[[#This Row],[Req.2]]*Tabla22[[#This Row],[QualityBonus]],0)</f>
        <v>31719.542400000002</v>
      </c>
      <c r="M246" s="73">
        <f>IFERROR((Tabla22[[#This Row],[Base price1]]-LOOKUP(Tabla22[[#This Row],[Product]],$R$18:$R$23,$S$18:$S$23))*Tabla22[[#This Row],[Req.]],0)</f>
        <v>40405</v>
      </c>
      <c r="N246" s="73">
        <f>IF(Tabla22[[#This Row],[Req.2]]&gt;0,(Tabla22[[#This Row],[Base price2]]-LOOKUP(Tabla22[[#This Row],[Product2]],$R$18:$R$23,$S$18:$S$23))*Tabla22[[#This Row],[Req.2]],0)</f>
        <v>32604</v>
      </c>
      <c r="O246" s="73">
        <f>SUM(Tabla22[[#This Row],[Bonus1]:[p2]])</f>
        <v>114368.61040000001</v>
      </c>
      <c r="P246" s="73">
        <f>IF(Tabla22[[#This Row],[QualityBonus]]&gt;0,Tabla22[[#This Row],[No wages]]-$C$4,"")</f>
        <v>67498.784808227851</v>
      </c>
    </row>
    <row r="247" spans="1:16" x14ac:dyDescent="0.25">
      <c r="A247" s="13">
        <v>231</v>
      </c>
      <c r="B247" s="13" t="s">
        <v>13</v>
      </c>
      <c r="C247" s="66">
        <v>2.0299999999999999E-2</v>
      </c>
      <c r="D247" s="2" t="s">
        <v>55</v>
      </c>
      <c r="E247" s="73">
        <v>86586</v>
      </c>
      <c r="F247" s="5">
        <v>1</v>
      </c>
      <c r="G247" s="2"/>
      <c r="H247" s="73"/>
      <c r="I247" s="5"/>
      <c r="J247" s="74">
        <f>Tabla22[[#This Row],[Base price1]]*Tabla22[[#This Row],[Req.]]+Tabla22[[#This Row],[Base price2]]*Tabla22[[#This Row],[Req.2]]</f>
        <v>86586</v>
      </c>
      <c r="K247" s="73">
        <f>IFERROR(LOOKUP(Tabla22[[#This Row],[Product]],$R$18:$R$23,$T$18:$T$23)*Tabla22[[#This Row],[QualityBonus]]*Tabla22[[#This Row],[Base price1]]*Tabla22[[#This Row],[Req.]],0)</f>
        <v>7030.7831999999999</v>
      </c>
      <c r="L247" s="73">
        <f>IF(Tabla22[[#This Row],[Req.2]]&gt;0,LOOKUP(Tabla22[[#This Row],[Product2]],$R$18:$R$23,$T$18:$T$23)*Tabla22[[#This Row],[Base price2]]*Tabla22[[#This Row],[Req.2]]*Tabla22[[#This Row],[QualityBonus]],0)</f>
        <v>0</v>
      </c>
      <c r="M247" s="73">
        <f>IFERROR((Tabla22[[#This Row],[Base price1]]-LOOKUP(Tabla22[[#This Row],[Product]],$R$18:$R$23,$S$18:$S$23))*Tabla22[[#This Row],[Req.]],0)</f>
        <v>8586</v>
      </c>
      <c r="N247" s="73">
        <f>IF(Tabla22[[#This Row],[Req.2]]&gt;0,(Tabla22[[#This Row],[Base price2]]-LOOKUP(Tabla22[[#This Row],[Product2]],$R$18:$R$23,$S$18:$S$23))*Tabla22[[#This Row],[Req.2]],0)</f>
        <v>0</v>
      </c>
      <c r="O247" s="73">
        <f>SUM(Tabla22[[#This Row],[Bonus1]:[p2]])</f>
        <v>15616.7832</v>
      </c>
      <c r="P247" s="73">
        <f>IF(Tabla22[[#This Row],[QualityBonus]]&gt;0,Tabla22[[#This Row],[No wages]]-$C$4,"")</f>
        <v>-31253.042391772164</v>
      </c>
    </row>
    <row r="248" spans="1:16" x14ac:dyDescent="0.25">
      <c r="A248" s="13">
        <v>232</v>
      </c>
      <c r="B248" s="13" t="s">
        <v>13</v>
      </c>
      <c r="C248" s="66">
        <v>2.07E-2</v>
      </c>
      <c r="D248" s="2" t="s">
        <v>54</v>
      </c>
      <c r="E248" s="73">
        <v>62664</v>
      </c>
      <c r="F248" s="5">
        <v>1</v>
      </c>
      <c r="G248" s="2" t="s">
        <v>57</v>
      </c>
      <c r="H248" s="73">
        <v>84005</v>
      </c>
      <c r="I248" s="5">
        <v>2</v>
      </c>
      <c r="J248" s="74">
        <f>Tabla22[[#This Row],[Base price1]]*Tabla22[[#This Row],[Req.]]+Tabla22[[#This Row],[Base price2]]*Tabla22[[#This Row],[Req.2]]</f>
        <v>230674</v>
      </c>
      <c r="K248" s="73">
        <f>IFERROR(LOOKUP(Tabla22[[#This Row],[Product]],$R$18:$R$23,$T$18:$T$23)*Tabla22[[#This Row],[QualityBonus]]*Tabla22[[#This Row],[Base price1]]*Tabla22[[#This Row],[Req.]],0)</f>
        <v>6485.7239999999993</v>
      </c>
      <c r="L248" s="73">
        <f>IF(Tabla22[[#This Row],[Req.2]]&gt;0,LOOKUP(Tabla22[[#This Row],[Product2]],$R$18:$R$23,$T$18:$T$23)*Tabla22[[#This Row],[Base price2]]*Tabla22[[#This Row],[Req.2]]*Tabla22[[#This Row],[QualityBonus]],0)</f>
        <v>13911.227999999999</v>
      </c>
      <c r="M248" s="73">
        <f>IFERROR((Tabla22[[#This Row],[Base price1]]-LOOKUP(Tabla22[[#This Row],[Product]],$R$18:$R$23,$S$18:$S$23))*Tabla22[[#This Row],[Req.]],0)</f>
        <v>10664</v>
      </c>
      <c r="N248" s="73">
        <f>IF(Tabla22[[#This Row],[Req.2]]&gt;0,(Tabla22[[#This Row],[Base price2]]-LOOKUP(Tabla22[[#This Row],[Product2]],$R$18:$R$23,$S$18:$S$23))*Tabla22[[#This Row],[Req.2]],0)</f>
        <v>12010</v>
      </c>
      <c r="O248" s="73">
        <f>SUM(Tabla22[[#This Row],[Bonus1]:[p2]])</f>
        <v>43070.951999999997</v>
      </c>
      <c r="P248" s="73">
        <f>IF(Tabla22[[#This Row],[QualityBonus]]&gt;0,Tabla22[[#This Row],[No wages]]-$C$4,"")</f>
        <v>-3798.8735917721642</v>
      </c>
    </row>
    <row r="249" spans="1:16" x14ac:dyDescent="0.25">
      <c r="A249" s="13">
        <v>233</v>
      </c>
      <c r="B249" s="13" t="s">
        <v>13</v>
      </c>
      <c r="C249" s="66">
        <v>1.23E-2</v>
      </c>
      <c r="D249" s="2" t="s">
        <v>56</v>
      </c>
      <c r="E249" s="73">
        <v>220680</v>
      </c>
      <c r="F249" s="5">
        <v>2</v>
      </c>
      <c r="G249" s="2" t="s">
        <v>57</v>
      </c>
      <c r="H249" s="73">
        <v>85165</v>
      </c>
      <c r="I249" s="5">
        <v>2</v>
      </c>
      <c r="J249" s="74">
        <f>Tabla22[[#This Row],[Base price1]]*Tabla22[[#This Row],[Req.]]+Tabla22[[#This Row],[Base price2]]*Tabla22[[#This Row],[Req.2]]</f>
        <v>611690</v>
      </c>
      <c r="K249" s="73">
        <f>IFERROR(LOOKUP(Tabla22[[#This Row],[Product]],$R$18:$R$23,$T$18:$T$23)*Tabla22[[#This Row],[QualityBonus]]*Tabla22[[#This Row],[Base price1]]*Tabla22[[#This Row],[Req.]],0)</f>
        <v>21714.912</v>
      </c>
      <c r="L249" s="73">
        <f>IF(Tabla22[[#This Row],[Req.2]]&gt;0,LOOKUP(Tabla22[[#This Row],[Product2]],$R$18:$R$23,$T$18:$T$23)*Tabla22[[#This Row],[Base price2]]*Tabla22[[#This Row],[Req.2]]*Tabla22[[#This Row],[QualityBonus]],0)</f>
        <v>8380.2360000000008</v>
      </c>
      <c r="M249" s="73">
        <f>IFERROR((Tabla22[[#This Row],[Base price1]]-LOOKUP(Tabla22[[#This Row],[Product]],$R$18:$R$23,$S$18:$S$23))*Tabla22[[#This Row],[Req.]],0)</f>
        <v>-640</v>
      </c>
      <c r="N249" s="73">
        <f>IF(Tabla22[[#This Row],[Req.2]]&gt;0,(Tabla22[[#This Row],[Base price2]]-LOOKUP(Tabla22[[#This Row],[Product2]],$R$18:$R$23,$S$18:$S$23))*Tabla22[[#This Row],[Req.2]],0)</f>
        <v>14330</v>
      </c>
      <c r="O249" s="73">
        <f>SUM(Tabla22[[#This Row],[Bonus1]:[p2]])</f>
        <v>43785.148000000001</v>
      </c>
      <c r="P249" s="73">
        <f>IF(Tabla22[[#This Row],[QualityBonus]]&gt;0,Tabla22[[#This Row],[No wages]]-$C$4,"")</f>
        <v>-3084.6775917721607</v>
      </c>
    </row>
    <row r="250" spans="1:16" x14ac:dyDescent="0.25">
      <c r="A250" s="13">
        <v>234</v>
      </c>
      <c r="B250" s="13" t="s">
        <v>13</v>
      </c>
      <c r="C250" s="66">
        <v>2.24E-2</v>
      </c>
      <c r="D250" s="2" t="s">
        <v>55</v>
      </c>
      <c r="E250" s="73">
        <v>83641</v>
      </c>
      <c r="F250" s="5">
        <v>1</v>
      </c>
      <c r="G250" s="2"/>
      <c r="H250" s="73"/>
      <c r="I250" s="5"/>
      <c r="J250" s="74">
        <f>Tabla22[[#This Row],[Base price1]]*Tabla22[[#This Row],[Req.]]+Tabla22[[#This Row],[Base price2]]*Tabla22[[#This Row],[Req.2]]</f>
        <v>83641</v>
      </c>
      <c r="K250" s="73">
        <f>IFERROR(LOOKUP(Tabla22[[#This Row],[Product]],$R$18:$R$23,$T$18:$T$23)*Tabla22[[#This Row],[QualityBonus]]*Tabla22[[#This Row],[Base price1]]*Tabla22[[#This Row],[Req.]],0)</f>
        <v>7494.2335999999996</v>
      </c>
      <c r="L250" s="73">
        <f>IF(Tabla22[[#This Row],[Req.2]]&gt;0,LOOKUP(Tabla22[[#This Row],[Product2]],$R$18:$R$23,$T$18:$T$23)*Tabla22[[#This Row],[Base price2]]*Tabla22[[#This Row],[Req.2]]*Tabla22[[#This Row],[QualityBonus]],0)</f>
        <v>0</v>
      </c>
      <c r="M250" s="73">
        <f>IFERROR((Tabla22[[#This Row],[Base price1]]-LOOKUP(Tabla22[[#This Row],[Product]],$R$18:$R$23,$S$18:$S$23))*Tabla22[[#This Row],[Req.]],0)</f>
        <v>5641</v>
      </c>
      <c r="N250" s="73">
        <f>IF(Tabla22[[#This Row],[Req.2]]&gt;0,(Tabla22[[#This Row],[Base price2]]-LOOKUP(Tabla22[[#This Row],[Product2]],$R$18:$R$23,$S$18:$S$23))*Tabla22[[#This Row],[Req.2]],0)</f>
        <v>0</v>
      </c>
      <c r="O250" s="73">
        <f>SUM(Tabla22[[#This Row],[Bonus1]:[p2]])</f>
        <v>13135.2336</v>
      </c>
      <c r="P250" s="73">
        <f>IF(Tabla22[[#This Row],[QualityBonus]]&gt;0,Tabla22[[#This Row],[No wages]]-$C$4,"")</f>
        <v>-33734.591991772162</v>
      </c>
    </row>
    <row r="251" spans="1:16" x14ac:dyDescent="0.25">
      <c r="A251" s="13">
        <v>235</v>
      </c>
      <c r="B251" s="13" t="s">
        <v>13</v>
      </c>
      <c r="C251" s="66">
        <v>2.5399999999999999E-2</v>
      </c>
      <c r="D251" s="2" t="s">
        <v>54</v>
      </c>
      <c r="E251" s="73">
        <v>59847</v>
      </c>
      <c r="F251" s="5">
        <v>1</v>
      </c>
      <c r="G251" s="2" t="s">
        <v>56</v>
      </c>
      <c r="H251" s="73">
        <v>224161</v>
      </c>
      <c r="I251" s="5">
        <v>4</v>
      </c>
      <c r="J251" s="74">
        <f>Tabla22[[#This Row],[Base price1]]*Tabla22[[#This Row],[Req.]]+Tabla22[[#This Row],[Base price2]]*Tabla22[[#This Row],[Req.2]]</f>
        <v>956491</v>
      </c>
      <c r="K251" s="73">
        <f>IFERROR(LOOKUP(Tabla22[[#This Row],[Product]],$R$18:$R$23,$T$18:$T$23)*Tabla22[[#This Row],[QualityBonus]]*Tabla22[[#This Row],[Base price1]]*Tabla22[[#This Row],[Req.]],0)</f>
        <v>7600.5690000000004</v>
      </c>
      <c r="L251" s="73">
        <f>IF(Tabla22[[#This Row],[Req.2]]&gt;0,LOOKUP(Tabla22[[#This Row],[Product2]],$R$18:$R$23,$T$18:$T$23)*Tabla22[[#This Row],[Base price2]]*Tabla22[[#This Row],[Req.2]]*Tabla22[[#This Row],[QualityBonus]],0)</f>
        <v>91099.030400000003</v>
      </c>
      <c r="M251" s="73">
        <f>IFERROR((Tabla22[[#This Row],[Base price1]]-LOOKUP(Tabla22[[#This Row],[Product]],$R$18:$R$23,$S$18:$S$23))*Tabla22[[#This Row],[Req.]],0)</f>
        <v>7847</v>
      </c>
      <c r="N251" s="73">
        <f>IF(Tabla22[[#This Row],[Req.2]]&gt;0,(Tabla22[[#This Row],[Base price2]]-LOOKUP(Tabla22[[#This Row],[Product2]],$R$18:$R$23,$S$18:$S$23))*Tabla22[[#This Row],[Req.2]],0)</f>
        <v>12644</v>
      </c>
      <c r="O251" s="73">
        <f>SUM(Tabla22[[#This Row],[Bonus1]:[p2]])</f>
        <v>119190.59940000001</v>
      </c>
      <c r="P251" s="73">
        <f>IF(Tabla22[[#This Row],[QualityBonus]]&gt;0,Tabla22[[#This Row],[No wages]]-$C$4,"")</f>
        <v>72320.773808227852</v>
      </c>
    </row>
    <row r="252" spans="1:16" x14ac:dyDescent="0.25">
      <c r="A252" s="13">
        <v>236</v>
      </c>
      <c r="B252" s="13" t="s">
        <v>13</v>
      </c>
      <c r="C252" s="66">
        <v>2.8899999999999999E-2</v>
      </c>
      <c r="D252" s="2" t="s">
        <v>27</v>
      </c>
      <c r="E252" s="73">
        <v>819339</v>
      </c>
      <c r="F252" s="5">
        <v>4</v>
      </c>
      <c r="G252" s="2" t="s">
        <v>54</v>
      </c>
      <c r="H252" s="73">
        <v>60856</v>
      </c>
      <c r="I252" s="5">
        <v>1</v>
      </c>
      <c r="J252" s="74">
        <f>Tabla22[[#This Row],[Base price1]]*Tabla22[[#This Row],[Req.]]+Tabla22[[#This Row],[Base price2]]*Tabla22[[#This Row],[Req.2]]</f>
        <v>3338212</v>
      </c>
      <c r="K252" s="73">
        <f>IFERROR(LOOKUP(Tabla22[[#This Row],[Product]],$R$18:$R$23,$T$18:$T$23)*Tabla22[[#This Row],[QualityBonus]]*Tabla22[[#This Row],[Base price1]]*Tabla22[[#This Row],[Req.]],0)</f>
        <v>378862.35359999997</v>
      </c>
      <c r="L252" s="73">
        <f>IF(Tabla22[[#This Row],[Req.2]]&gt;0,LOOKUP(Tabla22[[#This Row],[Product2]],$R$18:$R$23,$T$18:$T$23)*Tabla22[[#This Row],[Base price2]]*Tabla22[[#This Row],[Req.2]]*Tabla22[[#This Row],[QualityBonus]],0)</f>
        <v>8793.6919999999991</v>
      </c>
      <c r="M252" s="73">
        <f>IFERROR((Tabla22[[#This Row],[Base price1]]-LOOKUP(Tabla22[[#This Row],[Product]],$R$18:$R$23,$S$18:$S$23))*Tabla22[[#This Row],[Req.]],0)</f>
        <v>-78644</v>
      </c>
      <c r="N252" s="73">
        <f>IF(Tabla22[[#This Row],[Req.2]]&gt;0,(Tabla22[[#This Row],[Base price2]]-LOOKUP(Tabla22[[#This Row],[Product2]],$R$18:$R$23,$S$18:$S$23))*Tabla22[[#This Row],[Req.2]],0)</f>
        <v>8856</v>
      </c>
      <c r="O252" s="73">
        <f>SUM(Tabla22[[#This Row],[Bonus1]:[p2]])</f>
        <v>317868.04559999995</v>
      </c>
      <c r="P252" s="73">
        <f>IF(Tabla22[[#This Row],[QualityBonus]]&gt;0,Tabla22[[#This Row],[No wages]]-$C$4,"")</f>
        <v>270998.2200082278</v>
      </c>
    </row>
    <row r="253" spans="1:16" x14ac:dyDescent="0.25">
      <c r="A253" s="24">
        <v>237</v>
      </c>
      <c r="B253" s="24" t="s">
        <v>13</v>
      </c>
      <c r="C253" s="44">
        <v>2.5399999999999999E-2</v>
      </c>
      <c r="D253" s="37" t="s">
        <v>52</v>
      </c>
      <c r="E253" s="72">
        <v>121384</v>
      </c>
      <c r="F253" s="39">
        <v>1</v>
      </c>
      <c r="G253" s="37" t="s">
        <v>27</v>
      </c>
      <c r="H253" s="72">
        <v>851258</v>
      </c>
      <c r="I253" s="39">
        <v>4</v>
      </c>
      <c r="J253" s="75">
        <f>Tabla22[[#This Row],[Base price1]]*Tabla22[[#This Row],[Req.]]+Tabla22[[#This Row],[Base price2]]*Tabla22[[#This Row],[Req.2]]</f>
        <v>3526416</v>
      </c>
      <c r="K253" s="72">
        <f>IFERROR(LOOKUP(Tabla22[[#This Row],[Product]],$R$18:$R$23,$T$18:$T$23)*Tabla22[[#This Row],[QualityBonus]]*Tabla22[[#This Row],[Base price1]]*Tabla22[[#This Row],[Req.]],0)</f>
        <v>15415.768</v>
      </c>
      <c r="L253" s="72">
        <f>IF(Tabla22[[#This Row],[Req.2]]&gt;0,LOOKUP(Tabla22[[#This Row],[Product2]],$R$18:$R$23,$T$18:$T$23)*Tabla22[[#This Row],[Base price2]]*Tabla22[[#This Row],[Req.2]]*Tabla22[[#This Row],[QualityBonus]],0)</f>
        <v>345951.2512</v>
      </c>
      <c r="M253" s="72">
        <f>IFERROR((Tabla22[[#This Row],[Base price1]]-LOOKUP(Tabla22[[#This Row],[Product]],$R$18:$R$23,$S$18:$S$23))*Tabla22[[#This Row],[Req.]],0)</f>
        <v>9384</v>
      </c>
      <c r="N253" s="72">
        <f>IF(Tabla22[[#This Row],[Req.2]]&gt;0,(Tabla22[[#This Row],[Base price2]]-LOOKUP(Tabla22[[#This Row],[Product2]],$R$18:$R$23,$S$18:$S$23))*Tabla22[[#This Row],[Req.2]],0)</f>
        <v>49032</v>
      </c>
      <c r="O253" s="72">
        <f>SUM(Tabla22[[#This Row],[Bonus1]:[p2]])</f>
        <v>419783.01919999998</v>
      </c>
      <c r="P253" s="72">
        <f>IF(Tabla22[[#This Row],[QualityBonus]]&gt;0,Tabla22[[#This Row],[No wages]]-$C$4,"")</f>
        <v>372913.19360822783</v>
      </c>
    </row>
    <row r="254" spans="1:16" x14ac:dyDescent="0.25">
      <c r="A254" s="13">
        <v>238</v>
      </c>
      <c r="B254" s="13" t="s">
        <v>13</v>
      </c>
      <c r="C254" s="66"/>
      <c r="D254" s="2"/>
      <c r="E254" s="73"/>
      <c r="G254" s="2"/>
      <c r="H254" s="73"/>
      <c r="I254" s="5"/>
      <c r="J254" s="74">
        <f>Tabla22[[#This Row],[Base price1]]*Tabla22[[#This Row],[Req.]]+Tabla22[[#This Row],[Base price2]]*Tabla22[[#This Row],[Req.2]]</f>
        <v>0</v>
      </c>
      <c r="K254" s="73">
        <f>IFERROR(LOOKUP(Tabla22[[#This Row],[Product]],$R$18:$R$23,$T$18:$T$23)*Tabla22[[#This Row],[QualityBonus]]*Tabla22[[#This Row],[Base price1]]*Tabla22[[#This Row],[Req.]],0)</f>
        <v>0</v>
      </c>
      <c r="L254" s="73">
        <f>IF(Tabla22[[#This Row],[Req.2]]&gt;0,LOOKUP(Tabla22[[#This Row],[Product2]],$R$18:$R$23,$T$18:$T$23)*Tabla22[[#This Row],[Base price2]]*Tabla22[[#This Row],[Req.2]]*Tabla22[[#This Row],[QualityBonus]],0)</f>
        <v>0</v>
      </c>
      <c r="M254" s="73">
        <f>IFERROR((Tabla22[[#This Row],[Base price1]]-LOOKUP(Tabla22[[#This Row],[Product]],$R$18:$R$23,$S$18:$S$23))*Tabla22[[#This Row],[Req.]],0)</f>
        <v>0</v>
      </c>
      <c r="N254" s="73">
        <f>IF(Tabla22[[#This Row],[Req.2]]&gt;0,(Tabla22[[#This Row],[Base price2]]-LOOKUP(Tabla22[[#This Row],[Product2]],$R$18:$R$23,$S$18:$S$23))*Tabla22[[#This Row],[Req.2]],0)</f>
        <v>0</v>
      </c>
      <c r="O254" s="73">
        <f>SUM(Tabla22[[#This Row],[Bonus1]:[p2]])</f>
        <v>0</v>
      </c>
      <c r="P254" s="73" t="str">
        <f>IF(Tabla22[[#This Row],[QualityBonus]]&gt;0,Tabla22[[#This Row],[No wages]]-$C$4,"")</f>
        <v/>
      </c>
    </row>
    <row r="255" spans="1:16" x14ac:dyDescent="0.25">
      <c r="A255" s="13">
        <v>239</v>
      </c>
      <c r="B255" s="13" t="s">
        <v>13</v>
      </c>
      <c r="C255" s="66"/>
      <c r="D255" s="2"/>
      <c r="E255" s="73"/>
      <c r="G255" s="2"/>
      <c r="H255" s="73"/>
      <c r="I255" s="5"/>
      <c r="J255" s="74">
        <f>Tabla22[[#This Row],[Base price1]]*Tabla22[[#This Row],[Req.]]+Tabla22[[#This Row],[Base price2]]*Tabla22[[#This Row],[Req.2]]</f>
        <v>0</v>
      </c>
      <c r="K255" s="73">
        <f>IFERROR(LOOKUP(Tabla22[[#This Row],[Product]],$R$18:$R$23,$T$18:$T$23)*Tabla22[[#This Row],[QualityBonus]]*Tabla22[[#This Row],[Base price1]]*Tabla22[[#This Row],[Req.]],0)</f>
        <v>0</v>
      </c>
      <c r="L255" s="73">
        <f>IF(Tabla22[[#This Row],[Req.2]]&gt;0,LOOKUP(Tabla22[[#This Row],[Product2]],$R$18:$R$23,$T$18:$T$23)*Tabla22[[#This Row],[Base price2]]*Tabla22[[#This Row],[Req.2]]*Tabla22[[#This Row],[QualityBonus]],0)</f>
        <v>0</v>
      </c>
      <c r="M255" s="73">
        <f>IFERROR((Tabla22[[#This Row],[Base price1]]-LOOKUP(Tabla22[[#This Row],[Product]],$R$18:$R$23,$S$18:$S$23))*Tabla22[[#This Row],[Req.]],0)</f>
        <v>0</v>
      </c>
      <c r="N255" s="73">
        <f>IF(Tabla22[[#This Row],[Req.2]]&gt;0,(Tabla22[[#This Row],[Base price2]]-LOOKUP(Tabla22[[#This Row],[Product2]],$R$18:$R$23,$S$18:$S$23))*Tabla22[[#This Row],[Req.2]],0)</f>
        <v>0</v>
      </c>
      <c r="O255" s="73">
        <f>SUM(Tabla22[[#This Row],[Bonus1]:[p2]])</f>
        <v>0</v>
      </c>
      <c r="P255" s="73" t="str">
        <f>IF(Tabla22[[#This Row],[QualityBonus]]&gt;0,Tabla22[[#This Row],[No wages]]-$C$4,"")</f>
        <v/>
      </c>
    </row>
    <row r="256" spans="1:16" x14ac:dyDescent="0.25">
      <c r="A256" s="13">
        <v>240</v>
      </c>
      <c r="B256" s="13" t="s">
        <v>13</v>
      </c>
      <c r="C256" s="66"/>
      <c r="D256" s="2"/>
      <c r="E256" s="73"/>
      <c r="G256" s="2"/>
      <c r="H256" s="73"/>
      <c r="I256" s="5"/>
      <c r="J256" s="74">
        <f>Tabla22[[#This Row],[Base price1]]*Tabla22[[#This Row],[Req.]]+Tabla22[[#This Row],[Base price2]]*Tabla22[[#This Row],[Req.2]]</f>
        <v>0</v>
      </c>
      <c r="K256" s="73">
        <f>IFERROR(LOOKUP(Tabla22[[#This Row],[Product]],$R$18:$R$23,$T$18:$T$23)*Tabla22[[#This Row],[QualityBonus]]*Tabla22[[#This Row],[Base price1]]*Tabla22[[#This Row],[Req.]],0)</f>
        <v>0</v>
      </c>
      <c r="L256" s="73">
        <f>IF(Tabla22[[#This Row],[Req.2]]&gt;0,LOOKUP(Tabla22[[#This Row],[Product2]],$R$18:$R$23,$T$18:$T$23)*Tabla22[[#This Row],[Base price2]]*Tabla22[[#This Row],[Req.2]]*Tabla22[[#This Row],[QualityBonus]],0)</f>
        <v>0</v>
      </c>
      <c r="M256" s="73">
        <f>IFERROR((Tabla22[[#This Row],[Base price1]]-LOOKUP(Tabla22[[#This Row],[Product]],$R$18:$R$23,$S$18:$S$23))*Tabla22[[#This Row],[Req.]],0)</f>
        <v>0</v>
      </c>
      <c r="N256" s="73">
        <f>IF(Tabla22[[#This Row],[Req.2]]&gt;0,(Tabla22[[#This Row],[Base price2]]-LOOKUP(Tabla22[[#This Row],[Product2]],$R$18:$R$23,$S$18:$S$23))*Tabla22[[#This Row],[Req.2]],0)</f>
        <v>0</v>
      </c>
      <c r="O256" s="73">
        <f>SUM(Tabla22[[#This Row],[Bonus1]:[p2]])</f>
        <v>0</v>
      </c>
      <c r="P256" s="73" t="str">
        <f>IF(Tabla22[[#This Row],[QualityBonus]]&gt;0,Tabla22[[#This Row],[No wages]]-$C$4,"")</f>
        <v/>
      </c>
    </row>
    <row r="257" spans="1:16" x14ac:dyDescent="0.25">
      <c r="A257" s="13">
        <v>241</v>
      </c>
      <c r="B257" s="13" t="s">
        <v>13</v>
      </c>
      <c r="C257" s="66"/>
      <c r="D257" s="2"/>
      <c r="E257" s="73"/>
      <c r="G257" s="2"/>
      <c r="H257" s="73"/>
      <c r="I257" s="5"/>
      <c r="J257" s="74">
        <f>Tabla22[[#This Row],[Base price1]]*Tabla22[[#This Row],[Req.]]+Tabla22[[#This Row],[Base price2]]*Tabla22[[#This Row],[Req.2]]</f>
        <v>0</v>
      </c>
      <c r="K257" s="73">
        <f>IFERROR(LOOKUP(Tabla22[[#This Row],[Product]],$R$18:$R$23,$T$18:$T$23)*Tabla22[[#This Row],[QualityBonus]]*Tabla22[[#This Row],[Base price1]]*Tabla22[[#This Row],[Req.]],0)</f>
        <v>0</v>
      </c>
      <c r="L257" s="73">
        <f>IF(Tabla22[[#This Row],[Req.2]]&gt;0,LOOKUP(Tabla22[[#This Row],[Product2]],$R$18:$R$23,$T$18:$T$23)*Tabla22[[#This Row],[Base price2]]*Tabla22[[#This Row],[Req.2]]*Tabla22[[#This Row],[QualityBonus]],0)</f>
        <v>0</v>
      </c>
      <c r="M257" s="73">
        <f>IFERROR((Tabla22[[#This Row],[Base price1]]-LOOKUP(Tabla22[[#This Row],[Product]],$R$18:$R$23,$S$18:$S$23))*Tabla22[[#This Row],[Req.]],0)</f>
        <v>0</v>
      </c>
      <c r="N257" s="73">
        <f>IF(Tabla22[[#This Row],[Req.2]]&gt;0,(Tabla22[[#This Row],[Base price2]]-LOOKUP(Tabla22[[#This Row],[Product2]],$R$18:$R$23,$S$18:$S$23))*Tabla22[[#This Row],[Req.2]],0)</f>
        <v>0</v>
      </c>
      <c r="O257" s="73">
        <f>SUM(Tabla22[[#This Row],[Bonus1]:[p2]])</f>
        <v>0</v>
      </c>
      <c r="P257" s="73" t="str">
        <f>IF(Tabla22[[#This Row],[QualityBonus]]&gt;0,Tabla22[[#This Row],[No wages]]-$C$4,"")</f>
        <v/>
      </c>
    </row>
    <row r="258" spans="1:16" x14ac:dyDescent="0.25">
      <c r="A258" s="13">
        <v>242</v>
      </c>
      <c r="B258" s="13" t="s">
        <v>13</v>
      </c>
      <c r="C258" s="66"/>
      <c r="D258" s="2"/>
      <c r="E258" s="73"/>
      <c r="G258" s="2"/>
      <c r="H258" s="73"/>
      <c r="I258" s="5"/>
      <c r="J258" s="74">
        <f>Tabla22[[#This Row],[Base price1]]*Tabla22[[#This Row],[Req.]]+Tabla22[[#This Row],[Base price2]]*Tabla22[[#This Row],[Req.2]]</f>
        <v>0</v>
      </c>
      <c r="K258" s="73">
        <f>IFERROR(LOOKUP(Tabla22[[#This Row],[Product]],$R$18:$R$23,$T$18:$T$23)*Tabla22[[#This Row],[QualityBonus]]*Tabla22[[#This Row],[Base price1]]*Tabla22[[#This Row],[Req.]],0)</f>
        <v>0</v>
      </c>
      <c r="L258" s="73">
        <f>IF(Tabla22[[#This Row],[Req.2]]&gt;0,LOOKUP(Tabla22[[#This Row],[Product2]],$R$18:$R$23,$T$18:$T$23)*Tabla22[[#This Row],[Base price2]]*Tabla22[[#This Row],[Req.2]]*Tabla22[[#This Row],[QualityBonus]],0)</f>
        <v>0</v>
      </c>
      <c r="M258" s="73">
        <f>IFERROR((Tabla22[[#This Row],[Base price1]]-LOOKUP(Tabla22[[#This Row],[Product]],$R$18:$R$23,$S$18:$S$23))*Tabla22[[#This Row],[Req.]],0)</f>
        <v>0</v>
      </c>
      <c r="N258" s="73">
        <f>IF(Tabla22[[#This Row],[Req.2]]&gt;0,(Tabla22[[#This Row],[Base price2]]-LOOKUP(Tabla22[[#This Row],[Product2]],$R$18:$R$23,$S$18:$S$23))*Tabla22[[#This Row],[Req.2]],0)</f>
        <v>0</v>
      </c>
      <c r="O258" s="73">
        <f>SUM(Tabla22[[#This Row],[Bonus1]:[p2]])</f>
        <v>0</v>
      </c>
      <c r="P258" s="73" t="str">
        <f>IF(Tabla22[[#This Row],[QualityBonus]]&gt;0,Tabla22[[#This Row],[No wages]]-$C$4,"")</f>
        <v/>
      </c>
    </row>
    <row r="259" spans="1:16" x14ac:dyDescent="0.25">
      <c r="A259" s="13">
        <v>243</v>
      </c>
      <c r="B259" s="13" t="s">
        <v>13</v>
      </c>
      <c r="C259" s="66"/>
      <c r="D259" s="2"/>
      <c r="E259" s="73"/>
      <c r="G259" s="2"/>
      <c r="H259" s="73"/>
      <c r="I259" s="5"/>
      <c r="J259" s="74">
        <f>Tabla22[[#This Row],[Base price1]]*Tabla22[[#This Row],[Req.]]+Tabla22[[#This Row],[Base price2]]*Tabla22[[#This Row],[Req.2]]</f>
        <v>0</v>
      </c>
      <c r="K259" s="73">
        <f>IFERROR(LOOKUP(Tabla22[[#This Row],[Product]],$R$18:$R$23,$T$18:$T$23)*Tabla22[[#This Row],[QualityBonus]]*Tabla22[[#This Row],[Base price1]]*Tabla22[[#This Row],[Req.]],0)</f>
        <v>0</v>
      </c>
      <c r="L259" s="73">
        <f>IF(Tabla22[[#This Row],[Req.2]]&gt;0,LOOKUP(Tabla22[[#This Row],[Product2]],$R$18:$R$23,$T$18:$T$23)*Tabla22[[#This Row],[Base price2]]*Tabla22[[#This Row],[Req.2]]*Tabla22[[#This Row],[QualityBonus]],0)</f>
        <v>0</v>
      </c>
      <c r="M259" s="73">
        <f>IFERROR((Tabla22[[#This Row],[Base price1]]-LOOKUP(Tabla22[[#This Row],[Product]],$R$18:$R$23,$S$18:$S$23))*Tabla22[[#This Row],[Req.]],0)</f>
        <v>0</v>
      </c>
      <c r="N259" s="73">
        <f>IF(Tabla22[[#This Row],[Req.2]]&gt;0,(Tabla22[[#This Row],[Base price2]]-LOOKUP(Tabla22[[#This Row],[Product2]],$R$18:$R$23,$S$18:$S$23))*Tabla22[[#This Row],[Req.2]],0)</f>
        <v>0</v>
      </c>
      <c r="O259" s="73">
        <f>SUM(Tabla22[[#This Row],[Bonus1]:[p2]])</f>
        <v>0</v>
      </c>
      <c r="P259" s="73" t="str">
        <f>IF(Tabla22[[#This Row],[QualityBonus]]&gt;0,Tabla22[[#This Row],[No wages]]-$C$4,"")</f>
        <v/>
      </c>
    </row>
    <row r="260" spans="1:16" x14ac:dyDescent="0.25">
      <c r="A260" s="13">
        <v>244</v>
      </c>
      <c r="B260" s="13" t="s">
        <v>13</v>
      </c>
      <c r="C260" s="66"/>
      <c r="D260" s="2"/>
      <c r="E260" s="73"/>
      <c r="G260" s="2"/>
      <c r="H260" s="73"/>
      <c r="I260" s="5"/>
      <c r="J260" s="74">
        <f>Tabla22[[#This Row],[Base price1]]*Tabla22[[#This Row],[Req.]]+Tabla22[[#This Row],[Base price2]]*Tabla22[[#This Row],[Req.2]]</f>
        <v>0</v>
      </c>
      <c r="K260" s="73">
        <f>IFERROR(LOOKUP(Tabla22[[#This Row],[Product]],$R$18:$R$23,$T$18:$T$23)*Tabla22[[#This Row],[QualityBonus]]*Tabla22[[#This Row],[Base price1]]*Tabla22[[#This Row],[Req.]],0)</f>
        <v>0</v>
      </c>
      <c r="L260" s="73">
        <f>IF(Tabla22[[#This Row],[Req.2]]&gt;0,LOOKUP(Tabla22[[#This Row],[Product2]],$R$18:$R$23,$T$18:$T$23)*Tabla22[[#This Row],[Base price2]]*Tabla22[[#This Row],[Req.2]]*Tabla22[[#This Row],[QualityBonus]],0)</f>
        <v>0</v>
      </c>
      <c r="M260" s="73">
        <f>IFERROR((Tabla22[[#This Row],[Base price1]]-LOOKUP(Tabla22[[#This Row],[Product]],$R$18:$R$23,$S$18:$S$23))*Tabla22[[#This Row],[Req.]],0)</f>
        <v>0</v>
      </c>
      <c r="N260" s="73">
        <f>IF(Tabla22[[#This Row],[Req.2]]&gt;0,(Tabla22[[#This Row],[Base price2]]-LOOKUP(Tabla22[[#This Row],[Product2]],$R$18:$R$23,$S$18:$S$23))*Tabla22[[#This Row],[Req.2]],0)</f>
        <v>0</v>
      </c>
      <c r="O260" s="73">
        <f>SUM(Tabla22[[#This Row],[Bonus1]:[p2]])</f>
        <v>0</v>
      </c>
      <c r="P260" s="73" t="str">
        <f>IF(Tabla22[[#This Row],[QualityBonus]]&gt;0,Tabla22[[#This Row],[No wages]]-$C$4,"")</f>
        <v/>
      </c>
    </row>
    <row r="261" spans="1:16" x14ac:dyDescent="0.25">
      <c r="A261" s="13">
        <v>245</v>
      </c>
      <c r="B261" s="13" t="s">
        <v>13</v>
      </c>
      <c r="C261" s="66"/>
      <c r="D261" s="2"/>
      <c r="E261" s="73"/>
      <c r="G261" s="2"/>
      <c r="H261" s="73"/>
      <c r="I261" s="5"/>
      <c r="J261" s="74">
        <f>Tabla22[[#This Row],[Base price1]]*Tabla22[[#This Row],[Req.]]+Tabla22[[#This Row],[Base price2]]*Tabla22[[#This Row],[Req.2]]</f>
        <v>0</v>
      </c>
      <c r="K261" s="73">
        <f>IFERROR(LOOKUP(Tabla22[[#This Row],[Product]],$R$18:$R$23,$T$18:$T$23)*Tabla22[[#This Row],[QualityBonus]]*Tabla22[[#This Row],[Base price1]]*Tabla22[[#This Row],[Req.]],0)</f>
        <v>0</v>
      </c>
      <c r="L261" s="73">
        <f>IF(Tabla22[[#This Row],[Req.2]]&gt;0,LOOKUP(Tabla22[[#This Row],[Product2]],$R$18:$R$23,$T$18:$T$23)*Tabla22[[#This Row],[Base price2]]*Tabla22[[#This Row],[Req.2]]*Tabla22[[#This Row],[QualityBonus]],0)</f>
        <v>0</v>
      </c>
      <c r="M261" s="73">
        <f>IFERROR((Tabla22[[#This Row],[Base price1]]-LOOKUP(Tabla22[[#This Row],[Product]],$R$18:$R$23,$S$18:$S$23))*Tabla22[[#This Row],[Req.]],0)</f>
        <v>0</v>
      </c>
      <c r="N261" s="73">
        <f>IF(Tabla22[[#This Row],[Req.2]]&gt;0,(Tabla22[[#This Row],[Base price2]]-LOOKUP(Tabla22[[#This Row],[Product2]],$R$18:$R$23,$S$18:$S$23))*Tabla22[[#This Row],[Req.2]],0)</f>
        <v>0</v>
      </c>
      <c r="O261" s="73">
        <f>SUM(Tabla22[[#This Row],[Bonus1]:[p2]])</f>
        <v>0</v>
      </c>
      <c r="P261" s="73" t="str">
        <f>IF(Tabla22[[#This Row],[QualityBonus]]&gt;0,Tabla22[[#This Row],[No wages]]-$C$4,"")</f>
        <v/>
      </c>
    </row>
    <row r="262" spans="1:16" x14ac:dyDescent="0.25">
      <c r="A262" s="13">
        <v>246</v>
      </c>
      <c r="B262" s="13" t="s">
        <v>13</v>
      </c>
      <c r="C262" s="66"/>
      <c r="D262" s="2"/>
      <c r="E262" s="73"/>
      <c r="G262" s="2"/>
      <c r="H262" s="73"/>
      <c r="I262" s="5"/>
      <c r="J262" s="74">
        <f>Tabla22[[#This Row],[Base price1]]*Tabla22[[#This Row],[Req.]]+Tabla22[[#This Row],[Base price2]]*Tabla22[[#This Row],[Req.2]]</f>
        <v>0</v>
      </c>
      <c r="K262" s="73">
        <f>IFERROR(LOOKUP(Tabla22[[#This Row],[Product]],$R$18:$R$23,$T$18:$T$23)*Tabla22[[#This Row],[QualityBonus]]*Tabla22[[#This Row],[Base price1]]*Tabla22[[#This Row],[Req.]],0)</f>
        <v>0</v>
      </c>
      <c r="L262" s="73">
        <f>IF(Tabla22[[#This Row],[Req.2]]&gt;0,LOOKUP(Tabla22[[#This Row],[Product2]],$R$18:$R$23,$T$18:$T$23)*Tabla22[[#This Row],[Base price2]]*Tabla22[[#This Row],[Req.2]]*Tabla22[[#This Row],[QualityBonus]],0)</f>
        <v>0</v>
      </c>
      <c r="M262" s="73">
        <f>IFERROR((Tabla22[[#This Row],[Base price1]]-LOOKUP(Tabla22[[#This Row],[Product]],$R$18:$R$23,$S$18:$S$23))*Tabla22[[#This Row],[Req.]],0)</f>
        <v>0</v>
      </c>
      <c r="N262" s="73">
        <f>IF(Tabla22[[#This Row],[Req.2]]&gt;0,(Tabla22[[#This Row],[Base price2]]-LOOKUP(Tabla22[[#This Row],[Product2]],$R$18:$R$23,$S$18:$S$23))*Tabla22[[#This Row],[Req.2]],0)</f>
        <v>0</v>
      </c>
      <c r="O262" s="73">
        <f>SUM(Tabla22[[#This Row],[Bonus1]:[p2]])</f>
        <v>0</v>
      </c>
      <c r="P262" s="73" t="str">
        <f>IF(Tabla22[[#This Row],[QualityBonus]]&gt;0,Tabla22[[#This Row],[No wages]]-$C$4,"")</f>
        <v/>
      </c>
    </row>
    <row r="263" spans="1:16" x14ac:dyDescent="0.25">
      <c r="A263" s="13">
        <v>247</v>
      </c>
      <c r="B263" s="13" t="s">
        <v>13</v>
      </c>
      <c r="C263" s="66"/>
      <c r="D263" s="2"/>
      <c r="E263" s="73"/>
      <c r="G263" s="2"/>
      <c r="H263" s="73"/>
      <c r="I263" s="5"/>
      <c r="J263" s="74">
        <f>Tabla22[[#This Row],[Base price1]]*Tabla22[[#This Row],[Req.]]+Tabla22[[#This Row],[Base price2]]*Tabla22[[#This Row],[Req.2]]</f>
        <v>0</v>
      </c>
      <c r="K263" s="73">
        <f>IFERROR(LOOKUP(Tabla22[[#This Row],[Product]],$R$18:$R$23,$T$18:$T$23)*Tabla22[[#This Row],[QualityBonus]]*Tabla22[[#This Row],[Base price1]]*Tabla22[[#This Row],[Req.]],0)</f>
        <v>0</v>
      </c>
      <c r="L263" s="73">
        <f>IF(Tabla22[[#This Row],[Req.2]]&gt;0,LOOKUP(Tabla22[[#This Row],[Product2]],$R$18:$R$23,$T$18:$T$23)*Tabla22[[#This Row],[Base price2]]*Tabla22[[#This Row],[Req.2]]*Tabla22[[#This Row],[QualityBonus]],0)</f>
        <v>0</v>
      </c>
      <c r="M263" s="73">
        <f>IFERROR((Tabla22[[#This Row],[Base price1]]-LOOKUP(Tabla22[[#This Row],[Product]],$R$18:$R$23,$S$18:$S$23))*Tabla22[[#This Row],[Req.]],0)</f>
        <v>0</v>
      </c>
      <c r="N263" s="73">
        <f>IF(Tabla22[[#This Row],[Req.2]]&gt;0,(Tabla22[[#This Row],[Base price2]]-LOOKUP(Tabla22[[#This Row],[Product2]],$R$18:$R$23,$S$18:$S$23))*Tabla22[[#This Row],[Req.2]],0)</f>
        <v>0</v>
      </c>
      <c r="O263" s="73">
        <f>SUM(Tabla22[[#This Row],[Bonus1]:[p2]])</f>
        <v>0</v>
      </c>
      <c r="P263" s="73" t="str">
        <f>IF(Tabla22[[#This Row],[QualityBonus]]&gt;0,Tabla22[[#This Row],[No wages]]-$C$4,"")</f>
        <v/>
      </c>
    </row>
    <row r="264" spans="1:16" x14ac:dyDescent="0.25">
      <c r="A264" s="13">
        <v>248</v>
      </c>
      <c r="B264" s="13" t="s">
        <v>13</v>
      </c>
      <c r="C264" s="66"/>
      <c r="D264" s="2"/>
      <c r="E264" s="73"/>
      <c r="G264" s="2"/>
      <c r="H264" s="73"/>
      <c r="I264" s="5"/>
      <c r="J264" s="74">
        <f>Tabla22[[#This Row],[Base price1]]*Tabla22[[#This Row],[Req.]]+Tabla22[[#This Row],[Base price2]]*Tabla22[[#This Row],[Req.2]]</f>
        <v>0</v>
      </c>
      <c r="K264" s="73">
        <f>IFERROR(LOOKUP(Tabla22[[#This Row],[Product]],$R$18:$R$23,$T$18:$T$23)*Tabla22[[#This Row],[QualityBonus]]*Tabla22[[#This Row],[Base price1]]*Tabla22[[#This Row],[Req.]],0)</f>
        <v>0</v>
      </c>
      <c r="L264" s="73">
        <f>IF(Tabla22[[#This Row],[Req.2]]&gt;0,LOOKUP(Tabla22[[#This Row],[Product2]],$R$18:$R$23,$T$18:$T$23)*Tabla22[[#This Row],[Base price2]]*Tabla22[[#This Row],[Req.2]]*Tabla22[[#This Row],[QualityBonus]],0)</f>
        <v>0</v>
      </c>
      <c r="M264" s="73">
        <f>IFERROR((Tabla22[[#This Row],[Base price1]]-LOOKUP(Tabla22[[#This Row],[Product]],$R$18:$R$23,$S$18:$S$23))*Tabla22[[#This Row],[Req.]],0)</f>
        <v>0</v>
      </c>
      <c r="N264" s="73">
        <f>IF(Tabla22[[#This Row],[Req.2]]&gt;0,(Tabla22[[#This Row],[Base price2]]-LOOKUP(Tabla22[[#This Row],[Product2]],$R$18:$R$23,$S$18:$S$23))*Tabla22[[#This Row],[Req.2]],0)</f>
        <v>0</v>
      </c>
      <c r="O264" s="73">
        <f>SUM(Tabla22[[#This Row],[Bonus1]:[p2]])</f>
        <v>0</v>
      </c>
      <c r="P264" s="73" t="str">
        <f>IF(Tabla22[[#This Row],[QualityBonus]]&gt;0,Tabla22[[#This Row],[No wages]]-$C$4,"")</f>
        <v/>
      </c>
    </row>
    <row r="265" spans="1:16" x14ac:dyDescent="0.25">
      <c r="A265" s="13">
        <v>249</v>
      </c>
      <c r="B265" s="13" t="s">
        <v>13</v>
      </c>
      <c r="C265" s="66"/>
      <c r="D265" s="2"/>
      <c r="E265" s="73"/>
      <c r="G265" s="2"/>
      <c r="H265" s="73"/>
      <c r="I265" s="5"/>
      <c r="J265" s="74">
        <f>Tabla22[[#This Row],[Base price1]]*Tabla22[[#This Row],[Req.]]+Tabla22[[#This Row],[Base price2]]*Tabla22[[#This Row],[Req.2]]</f>
        <v>0</v>
      </c>
      <c r="K265" s="73">
        <f>IFERROR(LOOKUP(Tabla22[[#This Row],[Product]],$R$18:$R$23,$T$18:$T$23)*Tabla22[[#This Row],[QualityBonus]]*Tabla22[[#This Row],[Base price1]]*Tabla22[[#This Row],[Req.]],0)</f>
        <v>0</v>
      </c>
      <c r="L265" s="73">
        <f>IF(Tabla22[[#This Row],[Req.2]]&gt;0,LOOKUP(Tabla22[[#This Row],[Product2]],$R$18:$R$23,$T$18:$T$23)*Tabla22[[#This Row],[Base price2]]*Tabla22[[#This Row],[Req.2]]*Tabla22[[#This Row],[QualityBonus]],0)</f>
        <v>0</v>
      </c>
      <c r="M265" s="73">
        <f>IFERROR((Tabla22[[#This Row],[Base price1]]-LOOKUP(Tabla22[[#This Row],[Product]],$R$18:$R$23,$S$18:$S$23))*Tabla22[[#This Row],[Req.]],0)</f>
        <v>0</v>
      </c>
      <c r="N265" s="73">
        <f>IF(Tabla22[[#This Row],[Req.2]]&gt;0,(Tabla22[[#This Row],[Base price2]]-LOOKUP(Tabla22[[#This Row],[Product2]],$R$18:$R$23,$S$18:$S$23))*Tabla22[[#This Row],[Req.2]],0)</f>
        <v>0</v>
      </c>
      <c r="O265" s="73">
        <f>SUM(Tabla22[[#This Row],[Bonus1]:[p2]])</f>
        <v>0</v>
      </c>
      <c r="P265" s="73" t="str">
        <f>IF(Tabla22[[#This Row],[QualityBonus]]&gt;0,Tabla22[[#This Row],[No wages]]-$C$4,"")</f>
        <v/>
      </c>
    </row>
    <row r="266" spans="1:16" x14ac:dyDescent="0.25">
      <c r="A266" s="13">
        <v>250</v>
      </c>
      <c r="B266" s="13" t="s">
        <v>13</v>
      </c>
      <c r="C266" s="66"/>
      <c r="D266" s="2"/>
      <c r="E266" s="73"/>
      <c r="G266" s="2"/>
      <c r="H266" s="73"/>
      <c r="I266" s="5"/>
      <c r="J266" s="74">
        <f>Tabla22[[#This Row],[Base price1]]*Tabla22[[#This Row],[Req.]]+Tabla22[[#This Row],[Base price2]]*Tabla22[[#This Row],[Req.2]]</f>
        <v>0</v>
      </c>
      <c r="K266" s="73">
        <f>IFERROR(LOOKUP(Tabla22[[#This Row],[Product]],$R$18:$R$23,$T$18:$T$23)*Tabla22[[#This Row],[QualityBonus]]*Tabla22[[#This Row],[Base price1]]*Tabla22[[#This Row],[Req.]],0)</f>
        <v>0</v>
      </c>
      <c r="L266" s="73">
        <f>IF(Tabla22[[#This Row],[Req.2]]&gt;0,LOOKUP(Tabla22[[#This Row],[Product2]],$R$18:$R$23,$T$18:$T$23)*Tabla22[[#This Row],[Base price2]]*Tabla22[[#This Row],[Req.2]]*Tabla22[[#This Row],[QualityBonus]],0)</f>
        <v>0</v>
      </c>
      <c r="M266" s="73">
        <f>IFERROR((Tabla22[[#This Row],[Base price1]]-LOOKUP(Tabla22[[#This Row],[Product]],$R$18:$R$23,$S$18:$S$23))*Tabla22[[#This Row],[Req.]],0)</f>
        <v>0</v>
      </c>
      <c r="N266" s="73">
        <f>IF(Tabla22[[#This Row],[Req.2]]&gt;0,(Tabla22[[#This Row],[Base price2]]-LOOKUP(Tabla22[[#This Row],[Product2]],$R$18:$R$23,$S$18:$S$23))*Tabla22[[#This Row],[Req.2]],0)</f>
        <v>0</v>
      </c>
      <c r="O266" s="73">
        <f>SUM(Tabla22[[#This Row],[Bonus1]:[p2]])</f>
        <v>0</v>
      </c>
      <c r="P266" s="73" t="str">
        <f>IF(Tabla22[[#This Row],[QualityBonus]]&gt;0,Tabla22[[#This Row],[No wages]]-$C$4,"")</f>
        <v/>
      </c>
    </row>
    <row r="267" spans="1:16" x14ac:dyDescent="0.25">
      <c r="A267" s="13">
        <v>251</v>
      </c>
      <c r="B267" s="13" t="s">
        <v>13</v>
      </c>
      <c r="C267" s="66"/>
      <c r="D267" s="2"/>
      <c r="E267" s="73"/>
      <c r="G267" s="2"/>
      <c r="H267" s="73"/>
      <c r="I267" s="5"/>
      <c r="J267" s="74">
        <f>Tabla22[[#This Row],[Base price1]]*Tabla22[[#This Row],[Req.]]+Tabla22[[#This Row],[Base price2]]*Tabla22[[#This Row],[Req.2]]</f>
        <v>0</v>
      </c>
      <c r="K267" s="73">
        <f>IFERROR(LOOKUP(Tabla22[[#This Row],[Product]],$R$18:$R$23,$T$18:$T$23)*Tabla22[[#This Row],[QualityBonus]]*Tabla22[[#This Row],[Base price1]]*Tabla22[[#This Row],[Req.]],0)</f>
        <v>0</v>
      </c>
      <c r="L267" s="73">
        <f>IF(Tabla22[[#This Row],[Req.2]]&gt;0,LOOKUP(Tabla22[[#This Row],[Product2]],$R$18:$R$23,$T$18:$T$23)*Tabla22[[#This Row],[Base price2]]*Tabla22[[#This Row],[Req.2]]*Tabla22[[#This Row],[QualityBonus]],0)</f>
        <v>0</v>
      </c>
      <c r="M267" s="73">
        <f>IFERROR((Tabla22[[#This Row],[Base price1]]-LOOKUP(Tabla22[[#This Row],[Product]],$R$18:$R$23,$S$18:$S$23))*Tabla22[[#This Row],[Req.]],0)</f>
        <v>0</v>
      </c>
      <c r="N267" s="73">
        <f>IF(Tabla22[[#This Row],[Req.2]]&gt;0,(Tabla22[[#This Row],[Base price2]]-LOOKUP(Tabla22[[#This Row],[Product2]],$R$18:$R$23,$S$18:$S$23))*Tabla22[[#This Row],[Req.2]],0)</f>
        <v>0</v>
      </c>
      <c r="O267" s="73">
        <f>SUM(Tabla22[[#This Row],[Bonus1]:[p2]])</f>
        <v>0</v>
      </c>
      <c r="P267" s="73" t="str">
        <f>IF(Tabla22[[#This Row],[QualityBonus]]&gt;0,Tabla22[[#This Row],[No wages]]-$C$4,"")</f>
        <v/>
      </c>
    </row>
    <row r="268" spans="1:16" x14ac:dyDescent="0.25">
      <c r="A268" s="13">
        <v>252</v>
      </c>
      <c r="B268" s="13" t="s">
        <v>13</v>
      </c>
      <c r="C268" s="66"/>
      <c r="D268" s="2"/>
      <c r="E268" s="73"/>
      <c r="G268" s="2"/>
      <c r="H268" s="73"/>
      <c r="I268" s="5"/>
      <c r="J268" s="74">
        <f>Tabla22[[#This Row],[Base price1]]*Tabla22[[#This Row],[Req.]]+Tabla22[[#This Row],[Base price2]]*Tabla22[[#This Row],[Req.2]]</f>
        <v>0</v>
      </c>
      <c r="K268" s="73">
        <f>IFERROR(LOOKUP(Tabla22[[#This Row],[Product]],$R$18:$R$23,$T$18:$T$23)*Tabla22[[#This Row],[QualityBonus]]*Tabla22[[#This Row],[Base price1]]*Tabla22[[#This Row],[Req.]],0)</f>
        <v>0</v>
      </c>
      <c r="L268" s="73">
        <f>IF(Tabla22[[#This Row],[Req.2]]&gt;0,LOOKUP(Tabla22[[#This Row],[Product2]],$R$18:$R$23,$T$18:$T$23)*Tabla22[[#This Row],[Base price2]]*Tabla22[[#This Row],[Req.2]]*Tabla22[[#This Row],[QualityBonus]],0)</f>
        <v>0</v>
      </c>
      <c r="M268" s="73">
        <f>IFERROR((Tabla22[[#This Row],[Base price1]]-LOOKUP(Tabla22[[#This Row],[Product]],$R$18:$R$23,$S$18:$S$23))*Tabla22[[#This Row],[Req.]],0)</f>
        <v>0</v>
      </c>
      <c r="N268" s="73">
        <f>IF(Tabla22[[#This Row],[Req.2]]&gt;0,(Tabla22[[#This Row],[Base price2]]-LOOKUP(Tabla22[[#This Row],[Product2]],$R$18:$R$23,$S$18:$S$23))*Tabla22[[#This Row],[Req.2]],0)</f>
        <v>0</v>
      </c>
      <c r="O268" s="73">
        <f>SUM(Tabla22[[#This Row],[Bonus1]:[p2]])</f>
        <v>0</v>
      </c>
      <c r="P268" s="73" t="str">
        <f>IF(Tabla22[[#This Row],[QualityBonus]]&gt;0,Tabla22[[#This Row],[No wages]]-$C$4,"")</f>
        <v/>
      </c>
    </row>
    <row r="269" spans="1:16" x14ac:dyDescent="0.25">
      <c r="A269" s="13">
        <v>253</v>
      </c>
      <c r="B269" s="13" t="s">
        <v>13</v>
      </c>
      <c r="C269" s="66"/>
      <c r="D269" s="2"/>
      <c r="E269" s="73"/>
      <c r="G269" s="2"/>
      <c r="H269" s="73"/>
      <c r="I269" s="5"/>
      <c r="J269" s="74">
        <f>Tabla22[[#This Row],[Base price1]]*Tabla22[[#This Row],[Req.]]+Tabla22[[#This Row],[Base price2]]*Tabla22[[#This Row],[Req.2]]</f>
        <v>0</v>
      </c>
      <c r="K269" s="73">
        <f>IFERROR(LOOKUP(Tabla22[[#This Row],[Product]],$R$18:$R$23,$T$18:$T$23)*Tabla22[[#This Row],[QualityBonus]]*Tabla22[[#This Row],[Base price1]]*Tabla22[[#This Row],[Req.]],0)</f>
        <v>0</v>
      </c>
      <c r="L269" s="73">
        <f>IF(Tabla22[[#This Row],[Req.2]]&gt;0,LOOKUP(Tabla22[[#This Row],[Product2]],$R$18:$R$23,$T$18:$T$23)*Tabla22[[#This Row],[Base price2]]*Tabla22[[#This Row],[Req.2]]*Tabla22[[#This Row],[QualityBonus]],0)</f>
        <v>0</v>
      </c>
      <c r="M269" s="73">
        <f>IFERROR((Tabla22[[#This Row],[Base price1]]-LOOKUP(Tabla22[[#This Row],[Product]],$R$18:$R$23,$S$18:$S$23))*Tabla22[[#This Row],[Req.]],0)</f>
        <v>0</v>
      </c>
      <c r="N269" s="73">
        <f>IF(Tabla22[[#This Row],[Req.2]]&gt;0,(Tabla22[[#This Row],[Base price2]]-LOOKUP(Tabla22[[#This Row],[Product2]],$R$18:$R$23,$S$18:$S$23))*Tabla22[[#This Row],[Req.2]],0)</f>
        <v>0</v>
      </c>
      <c r="O269" s="73">
        <f>SUM(Tabla22[[#This Row],[Bonus1]:[p2]])</f>
        <v>0</v>
      </c>
      <c r="P269" s="73" t="str">
        <f>IF(Tabla22[[#This Row],[QualityBonus]]&gt;0,Tabla22[[#This Row],[No wages]]-$C$4,"")</f>
        <v/>
      </c>
    </row>
    <row r="270" spans="1:16" x14ac:dyDescent="0.25">
      <c r="A270" s="13">
        <v>254</v>
      </c>
      <c r="B270" s="13" t="s">
        <v>13</v>
      </c>
      <c r="C270" s="66"/>
      <c r="D270" s="2"/>
      <c r="E270" s="73"/>
      <c r="G270" s="2"/>
      <c r="H270" s="73"/>
      <c r="I270" s="5"/>
      <c r="J270" s="74">
        <f>Tabla22[[#This Row],[Base price1]]*Tabla22[[#This Row],[Req.]]+Tabla22[[#This Row],[Base price2]]*Tabla22[[#This Row],[Req.2]]</f>
        <v>0</v>
      </c>
      <c r="K270" s="73">
        <f>IFERROR(LOOKUP(Tabla22[[#This Row],[Product]],$R$18:$R$23,$T$18:$T$23)*Tabla22[[#This Row],[QualityBonus]]*Tabla22[[#This Row],[Base price1]]*Tabla22[[#This Row],[Req.]],0)</f>
        <v>0</v>
      </c>
      <c r="L270" s="73">
        <f>IF(Tabla22[[#This Row],[Req.2]]&gt;0,LOOKUP(Tabla22[[#This Row],[Product2]],$R$18:$R$23,$T$18:$T$23)*Tabla22[[#This Row],[Base price2]]*Tabla22[[#This Row],[Req.2]]*Tabla22[[#This Row],[QualityBonus]],0)</f>
        <v>0</v>
      </c>
      <c r="M270" s="73">
        <f>IFERROR((Tabla22[[#This Row],[Base price1]]-LOOKUP(Tabla22[[#This Row],[Product]],$R$18:$R$23,$S$18:$S$23))*Tabla22[[#This Row],[Req.]],0)</f>
        <v>0</v>
      </c>
      <c r="N270" s="73">
        <f>IF(Tabla22[[#This Row],[Req.2]]&gt;0,(Tabla22[[#This Row],[Base price2]]-LOOKUP(Tabla22[[#This Row],[Product2]],$R$18:$R$23,$S$18:$S$23))*Tabla22[[#This Row],[Req.2]],0)</f>
        <v>0</v>
      </c>
      <c r="O270" s="73">
        <f>SUM(Tabla22[[#This Row],[Bonus1]:[p2]])</f>
        <v>0</v>
      </c>
      <c r="P270" s="73" t="str">
        <f>IF(Tabla22[[#This Row],[QualityBonus]]&gt;0,Tabla22[[#This Row],[No wages]]-$C$4,"")</f>
        <v/>
      </c>
    </row>
    <row r="271" spans="1:16" x14ac:dyDescent="0.25">
      <c r="A271" s="13">
        <v>255</v>
      </c>
      <c r="B271" s="13" t="s">
        <v>13</v>
      </c>
      <c r="C271" s="66"/>
      <c r="D271" s="2"/>
      <c r="E271" s="73"/>
      <c r="G271" s="2"/>
      <c r="H271" s="73"/>
      <c r="I271" s="5"/>
      <c r="J271" s="74">
        <f>Tabla22[[#This Row],[Base price1]]*Tabla22[[#This Row],[Req.]]+Tabla22[[#This Row],[Base price2]]*Tabla22[[#This Row],[Req.2]]</f>
        <v>0</v>
      </c>
      <c r="K271" s="73">
        <f>IFERROR(LOOKUP(Tabla22[[#This Row],[Product]],$R$18:$R$23,$T$18:$T$23)*Tabla22[[#This Row],[QualityBonus]]*Tabla22[[#This Row],[Base price1]]*Tabla22[[#This Row],[Req.]],0)</f>
        <v>0</v>
      </c>
      <c r="L271" s="73">
        <f>IF(Tabla22[[#This Row],[Req.2]]&gt;0,LOOKUP(Tabla22[[#This Row],[Product2]],$R$18:$R$23,$T$18:$T$23)*Tabla22[[#This Row],[Base price2]]*Tabla22[[#This Row],[Req.2]]*Tabla22[[#This Row],[QualityBonus]],0)</f>
        <v>0</v>
      </c>
      <c r="M271" s="73">
        <f>IFERROR((Tabla22[[#This Row],[Base price1]]-LOOKUP(Tabla22[[#This Row],[Product]],$R$18:$R$23,$S$18:$S$23))*Tabla22[[#This Row],[Req.]],0)</f>
        <v>0</v>
      </c>
      <c r="N271" s="73">
        <f>IF(Tabla22[[#This Row],[Req.2]]&gt;0,(Tabla22[[#This Row],[Base price2]]-LOOKUP(Tabla22[[#This Row],[Product2]],$R$18:$R$23,$S$18:$S$23))*Tabla22[[#This Row],[Req.2]],0)</f>
        <v>0</v>
      </c>
      <c r="O271" s="73">
        <f>SUM(Tabla22[[#This Row],[Bonus1]:[p2]])</f>
        <v>0</v>
      </c>
      <c r="P271" s="73" t="str">
        <f>IF(Tabla22[[#This Row],[QualityBonus]]&gt;0,Tabla22[[#This Row],[No wages]]-$C$4,"")</f>
        <v/>
      </c>
    </row>
    <row r="272" spans="1:16" x14ac:dyDescent="0.25">
      <c r="A272" s="13">
        <v>256</v>
      </c>
      <c r="B272" s="13" t="s">
        <v>13</v>
      </c>
      <c r="C272" s="66"/>
      <c r="D272" s="2"/>
      <c r="E272" s="73"/>
      <c r="G272" s="2"/>
      <c r="H272" s="73"/>
      <c r="I272" s="5"/>
      <c r="J272" s="74">
        <f>Tabla22[[#This Row],[Base price1]]*Tabla22[[#This Row],[Req.]]+Tabla22[[#This Row],[Base price2]]*Tabla22[[#This Row],[Req.2]]</f>
        <v>0</v>
      </c>
      <c r="K272" s="73">
        <f>IFERROR(LOOKUP(Tabla22[[#This Row],[Product]],$R$18:$R$23,$T$18:$T$23)*Tabla22[[#This Row],[QualityBonus]]*Tabla22[[#This Row],[Base price1]]*Tabla22[[#This Row],[Req.]],0)</f>
        <v>0</v>
      </c>
      <c r="L272" s="73">
        <f>IF(Tabla22[[#This Row],[Req.2]]&gt;0,LOOKUP(Tabla22[[#This Row],[Product2]],$R$18:$R$23,$T$18:$T$23)*Tabla22[[#This Row],[Base price2]]*Tabla22[[#This Row],[Req.2]]*Tabla22[[#This Row],[QualityBonus]],0)</f>
        <v>0</v>
      </c>
      <c r="M272" s="73">
        <f>IFERROR((Tabla22[[#This Row],[Base price1]]-LOOKUP(Tabla22[[#This Row],[Product]],$R$18:$R$23,$S$18:$S$23))*Tabla22[[#This Row],[Req.]],0)</f>
        <v>0</v>
      </c>
      <c r="N272" s="73">
        <f>IF(Tabla22[[#This Row],[Req.2]]&gt;0,(Tabla22[[#This Row],[Base price2]]-LOOKUP(Tabla22[[#This Row],[Product2]],$R$18:$R$23,$S$18:$S$23))*Tabla22[[#This Row],[Req.2]],0)</f>
        <v>0</v>
      </c>
      <c r="O272" s="73">
        <f>SUM(Tabla22[[#This Row],[Bonus1]:[p2]])</f>
        <v>0</v>
      </c>
      <c r="P272" s="73" t="str">
        <f>IF(Tabla22[[#This Row],[QualityBonus]]&gt;0,Tabla22[[#This Row],[No wages]]-$C$4,"")</f>
        <v/>
      </c>
    </row>
    <row r="273" spans="1:16" x14ac:dyDescent="0.25">
      <c r="A273" s="13">
        <v>257</v>
      </c>
      <c r="B273" s="13" t="s">
        <v>13</v>
      </c>
      <c r="C273" s="66"/>
      <c r="D273" s="2"/>
      <c r="E273" s="73"/>
      <c r="G273" s="2"/>
      <c r="H273" s="73"/>
      <c r="I273" s="5"/>
      <c r="J273" s="74">
        <f>Tabla22[[#This Row],[Base price1]]*Tabla22[[#This Row],[Req.]]+Tabla22[[#This Row],[Base price2]]*Tabla22[[#This Row],[Req.2]]</f>
        <v>0</v>
      </c>
      <c r="K273" s="73">
        <f>IFERROR(LOOKUP(Tabla22[[#This Row],[Product]],$R$18:$R$23,$T$18:$T$23)*Tabla22[[#This Row],[QualityBonus]]*Tabla22[[#This Row],[Base price1]]*Tabla22[[#This Row],[Req.]],0)</f>
        <v>0</v>
      </c>
      <c r="L273" s="73">
        <f>IF(Tabla22[[#This Row],[Req.2]]&gt;0,LOOKUP(Tabla22[[#This Row],[Product2]],$R$18:$R$23,$T$18:$T$23)*Tabla22[[#This Row],[Base price2]]*Tabla22[[#This Row],[Req.2]]*Tabla22[[#This Row],[QualityBonus]],0)</f>
        <v>0</v>
      </c>
      <c r="M273" s="73">
        <f>IFERROR((Tabla22[[#This Row],[Base price1]]-LOOKUP(Tabla22[[#This Row],[Product]],$R$18:$R$23,$S$18:$S$23))*Tabla22[[#This Row],[Req.]],0)</f>
        <v>0</v>
      </c>
      <c r="N273" s="73">
        <f>IF(Tabla22[[#This Row],[Req.2]]&gt;0,(Tabla22[[#This Row],[Base price2]]-LOOKUP(Tabla22[[#This Row],[Product2]],$R$18:$R$23,$S$18:$S$23))*Tabla22[[#This Row],[Req.2]],0)</f>
        <v>0</v>
      </c>
      <c r="O273" s="73">
        <f>SUM(Tabla22[[#This Row],[Bonus1]:[p2]])</f>
        <v>0</v>
      </c>
      <c r="P273" s="73" t="str">
        <f>IF(Tabla22[[#This Row],[QualityBonus]]&gt;0,Tabla22[[#This Row],[No wages]]-$C$4,"")</f>
        <v/>
      </c>
    </row>
    <row r="274" spans="1:16" x14ac:dyDescent="0.25">
      <c r="A274" s="13">
        <v>258</v>
      </c>
      <c r="B274" s="13" t="s">
        <v>13</v>
      </c>
      <c r="C274" s="66"/>
      <c r="D274" s="2"/>
      <c r="E274" s="73"/>
      <c r="G274" s="2"/>
      <c r="H274" s="73"/>
      <c r="I274" s="5"/>
      <c r="J274" s="74">
        <f>Tabla22[[#This Row],[Base price1]]*Tabla22[[#This Row],[Req.]]+Tabla22[[#This Row],[Base price2]]*Tabla22[[#This Row],[Req.2]]</f>
        <v>0</v>
      </c>
      <c r="K274" s="73">
        <f>IFERROR(LOOKUP(Tabla22[[#This Row],[Product]],$R$18:$R$23,$T$18:$T$23)*Tabla22[[#This Row],[QualityBonus]]*Tabla22[[#This Row],[Base price1]]*Tabla22[[#This Row],[Req.]],0)</f>
        <v>0</v>
      </c>
      <c r="L274" s="73">
        <f>IF(Tabla22[[#This Row],[Req.2]]&gt;0,LOOKUP(Tabla22[[#This Row],[Product2]],$R$18:$R$23,$T$18:$T$23)*Tabla22[[#This Row],[Base price2]]*Tabla22[[#This Row],[Req.2]]*Tabla22[[#This Row],[QualityBonus]],0)</f>
        <v>0</v>
      </c>
      <c r="M274" s="73">
        <f>IFERROR((Tabla22[[#This Row],[Base price1]]-LOOKUP(Tabla22[[#This Row],[Product]],$R$18:$R$23,$S$18:$S$23))*Tabla22[[#This Row],[Req.]],0)</f>
        <v>0</v>
      </c>
      <c r="N274" s="73">
        <f>IF(Tabla22[[#This Row],[Req.2]]&gt;0,(Tabla22[[#This Row],[Base price2]]-LOOKUP(Tabla22[[#This Row],[Product2]],$R$18:$R$23,$S$18:$S$23))*Tabla22[[#This Row],[Req.2]],0)</f>
        <v>0</v>
      </c>
      <c r="O274" s="73">
        <f>SUM(Tabla22[[#This Row],[Bonus1]:[p2]])</f>
        <v>0</v>
      </c>
      <c r="P274" s="73" t="str">
        <f>IF(Tabla22[[#This Row],[QualityBonus]]&gt;0,Tabla22[[#This Row],[No wages]]-$C$4,"")</f>
        <v/>
      </c>
    </row>
    <row r="275" spans="1:16" x14ac:dyDescent="0.25">
      <c r="A275" s="13">
        <v>259</v>
      </c>
      <c r="B275" s="13" t="s">
        <v>13</v>
      </c>
      <c r="C275" s="66"/>
      <c r="D275" s="2"/>
      <c r="E275" s="73"/>
      <c r="G275" s="2"/>
      <c r="H275" s="73"/>
      <c r="I275" s="5"/>
      <c r="J275" s="74">
        <f>Tabla22[[#This Row],[Base price1]]*Tabla22[[#This Row],[Req.]]+Tabla22[[#This Row],[Base price2]]*Tabla22[[#This Row],[Req.2]]</f>
        <v>0</v>
      </c>
      <c r="K275" s="73">
        <f>IFERROR(LOOKUP(Tabla22[[#This Row],[Product]],$R$18:$R$23,$T$18:$T$23)*Tabla22[[#This Row],[QualityBonus]]*Tabla22[[#This Row],[Base price1]]*Tabla22[[#This Row],[Req.]],0)</f>
        <v>0</v>
      </c>
      <c r="L275" s="73">
        <f>IF(Tabla22[[#This Row],[Req.2]]&gt;0,LOOKUP(Tabla22[[#This Row],[Product2]],$R$18:$R$23,$T$18:$T$23)*Tabla22[[#This Row],[Base price2]]*Tabla22[[#This Row],[Req.2]]*Tabla22[[#This Row],[QualityBonus]],0)</f>
        <v>0</v>
      </c>
      <c r="M275" s="73">
        <f>IFERROR((Tabla22[[#This Row],[Base price1]]-LOOKUP(Tabla22[[#This Row],[Product]],$R$18:$R$23,$S$18:$S$23))*Tabla22[[#This Row],[Req.]],0)</f>
        <v>0</v>
      </c>
      <c r="N275" s="73">
        <f>IF(Tabla22[[#This Row],[Req.2]]&gt;0,(Tabla22[[#This Row],[Base price2]]-LOOKUP(Tabla22[[#This Row],[Product2]],$R$18:$R$23,$S$18:$S$23))*Tabla22[[#This Row],[Req.2]],0)</f>
        <v>0</v>
      </c>
      <c r="O275" s="73">
        <f>SUM(Tabla22[[#This Row],[Bonus1]:[p2]])</f>
        <v>0</v>
      </c>
      <c r="P275" s="73" t="str">
        <f>IF(Tabla22[[#This Row],[QualityBonus]]&gt;0,Tabla22[[#This Row],[No wages]]-$C$4,"")</f>
        <v/>
      </c>
    </row>
    <row r="276" spans="1:16" x14ac:dyDescent="0.25">
      <c r="A276" s="13">
        <v>260</v>
      </c>
      <c r="B276" s="13" t="s">
        <v>13</v>
      </c>
      <c r="C276" s="66"/>
      <c r="D276" s="2"/>
      <c r="E276" s="73"/>
      <c r="G276" s="2"/>
      <c r="H276" s="73"/>
      <c r="I276" s="5"/>
      <c r="J276" s="74">
        <f>Tabla22[[#This Row],[Base price1]]*Tabla22[[#This Row],[Req.]]+Tabla22[[#This Row],[Base price2]]*Tabla22[[#This Row],[Req.2]]</f>
        <v>0</v>
      </c>
      <c r="K276" s="73">
        <f>IFERROR(LOOKUP(Tabla22[[#This Row],[Product]],$R$18:$R$23,$T$18:$T$23)*Tabla22[[#This Row],[QualityBonus]]*Tabla22[[#This Row],[Base price1]]*Tabla22[[#This Row],[Req.]],0)</f>
        <v>0</v>
      </c>
      <c r="L276" s="73">
        <f>IF(Tabla22[[#This Row],[Req.2]]&gt;0,LOOKUP(Tabla22[[#This Row],[Product2]],$R$18:$R$23,$T$18:$T$23)*Tabla22[[#This Row],[Base price2]]*Tabla22[[#This Row],[Req.2]]*Tabla22[[#This Row],[QualityBonus]],0)</f>
        <v>0</v>
      </c>
      <c r="M276" s="73">
        <f>IFERROR((Tabla22[[#This Row],[Base price1]]-LOOKUP(Tabla22[[#This Row],[Product]],$R$18:$R$23,$S$18:$S$23))*Tabla22[[#This Row],[Req.]],0)</f>
        <v>0</v>
      </c>
      <c r="N276" s="73">
        <f>IF(Tabla22[[#This Row],[Req.2]]&gt;0,(Tabla22[[#This Row],[Base price2]]-LOOKUP(Tabla22[[#This Row],[Product2]],$R$18:$R$23,$S$18:$S$23))*Tabla22[[#This Row],[Req.2]],0)</f>
        <v>0</v>
      </c>
      <c r="O276" s="73">
        <f>SUM(Tabla22[[#This Row],[Bonus1]:[p2]])</f>
        <v>0</v>
      </c>
      <c r="P276" s="73" t="str">
        <f>IF(Tabla22[[#This Row],[QualityBonus]]&gt;0,Tabla22[[#This Row],[No wages]]-$C$4,"")</f>
        <v/>
      </c>
    </row>
    <row r="277" spans="1:16" x14ac:dyDescent="0.25">
      <c r="A277" s="13">
        <v>261</v>
      </c>
      <c r="B277" s="13" t="s">
        <v>13</v>
      </c>
      <c r="C277" s="66"/>
      <c r="D277" s="2"/>
      <c r="E277" s="73"/>
      <c r="G277" s="2"/>
      <c r="H277" s="73"/>
      <c r="I277" s="5"/>
      <c r="J277" s="74">
        <f>Tabla22[[#This Row],[Base price1]]*Tabla22[[#This Row],[Req.]]+Tabla22[[#This Row],[Base price2]]*Tabla22[[#This Row],[Req.2]]</f>
        <v>0</v>
      </c>
      <c r="K277" s="73">
        <f>IFERROR(LOOKUP(Tabla22[[#This Row],[Product]],$R$18:$R$23,$T$18:$T$23)*Tabla22[[#This Row],[QualityBonus]]*Tabla22[[#This Row],[Base price1]]*Tabla22[[#This Row],[Req.]],0)</f>
        <v>0</v>
      </c>
      <c r="L277" s="73">
        <f>IF(Tabla22[[#This Row],[Req.2]]&gt;0,LOOKUP(Tabla22[[#This Row],[Product2]],$R$18:$R$23,$T$18:$T$23)*Tabla22[[#This Row],[Base price2]]*Tabla22[[#This Row],[Req.2]]*Tabla22[[#This Row],[QualityBonus]],0)</f>
        <v>0</v>
      </c>
      <c r="M277" s="73">
        <f>IFERROR((Tabla22[[#This Row],[Base price1]]-LOOKUP(Tabla22[[#This Row],[Product]],$R$18:$R$23,$S$18:$S$23))*Tabla22[[#This Row],[Req.]],0)</f>
        <v>0</v>
      </c>
      <c r="N277" s="73">
        <f>IF(Tabla22[[#This Row],[Req.2]]&gt;0,(Tabla22[[#This Row],[Base price2]]-LOOKUP(Tabla22[[#This Row],[Product2]],$R$18:$R$23,$S$18:$S$23))*Tabla22[[#This Row],[Req.2]],0)</f>
        <v>0</v>
      </c>
      <c r="O277" s="73">
        <f>SUM(Tabla22[[#This Row],[Bonus1]:[p2]])</f>
        <v>0</v>
      </c>
      <c r="P277" s="73" t="str">
        <f>IF(Tabla22[[#This Row],[QualityBonus]]&gt;0,Tabla22[[#This Row],[No wages]]-$C$4,"")</f>
        <v/>
      </c>
    </row>
    <row r="278" spans="1:16" x14ac:dyDescent="0.25">
      <c r="A278" s="13">
        <v>262</v>
      </c>
      <c r="B278" s="13" t="s">
        <v>13</v>
      </c>
      <c r="C278" s="66"/>
      <c r="D278" s="2"/>
      <c r="E278" s="73"/>
      <c r="G278" s="2"/>
      <c r="H278" s="73"/>
      <c r="I278" s="5"/>
      <c r="J278" s="74">
        <f>Tabla22[[#This Row],[Base price1]]*Tabla22[[#This Row],[Req.]]+Tabla22[[#This Row],[Base price2]]*Tabla22[[#This Row],[Req.2]]</f>
        <v>0</v>
      </c>
      <c r="K278" s="73">
        <f>IFERROR(LOOKUP(Tabla22[[#This Row],[Product]],$R$18:$R$23,$T$18:$T$23)*Tabla22[[#This Row],[QualityBonus]]*Tabla22[[#This Row],[Base price1]]*Tabla22[[#This Row],[Req.]],0)</f>
        <v>0</v>
      </c>
      <c r="L278" s="73">
        <f>IF(Tabla22[[#This Row],[Req.2]]&gt;0,LOOKUP(Tabla22[[#This Row],[Product2]],$R$18:$R$23,$T$18:$T$23)*Tabla22[[#This Row],[Base price2]]*Tabla22[[#This Row],[Req.2]]*Tabla22[[#This Row],[QualityBonus]],0)</f>
        <v>0</v>
      </c>
      <c r="M278" s="73">
        <f>IFERROR((Tabla22[[#This Row],[Base price1]]-LOOKUP(Tabla22[[#This Row],[Product]],$R$18:$R$23,$S$18:$S$23))*Tabla22[[#This Row],[Req.]],0)</f>
        <v>0</v>
      </c>
      <c r="N278" s="73">
        <f>IF(Tabla22[[#This Row],[Req.2]]&gt;0,(Tabla22[[#This Row],[Base price2]]-LOOKUP(Tabla22[[#This Row],[Product2]],$R$18:$R$23,$S$18:$S$23))*Tabla22[[#This Row],[Req.2]],0)</f>
        <v>0</v>
      </c>
      <c r="O278" s="73">
        <f>SUM(Tabla22[[#This Row],[Bonus1]:[p2]])</f>
        <v>0</v>
      </c>
      <c r="P278" s="73" t="str">
        <f>IF(Tabla22[[#This Row],[QualityBonus]]&gt;0,Tabla22[[#This Row],[No wages]]-$C$4,"")</f>
        <v/>
      </c>
    </row>
    <row r="279" spans="1:16" x14ac:dyDescent="0.25">
      <c r="A279" s="13">
        <v>263</v>
      </c>
      <c r="B279" s="13" t="s">
        <v>13</v>
      </c>
      <c r="C279" s="66"/>
      <c r="D279" s="2"/>
      <c r="E279" s="73"/>
      <c r="G279" s="2"/>
      <c r="H279" s="73"/>
      <c r="I279" s="5"/>
      <c r="J279" s="74">
        <f>Tabla22[[#This Row],[Base price1]]*Tabla22[[#This Row],[Req.]]+Tabla22[[#This Row],[Base price2]]*Tabla22[[#This Row],[Req.2]]</f>
        <v>0</v>
      </c>
      <c r="K279" s="73">
        <f>IFERROR(LOOKUP(Tabla22[[#This Row],[Product]],$R$18:$R$23,$T$18:$T$23)*Tabla22[[#This Row],[QualityBonus]]*Tabla22[[#This Row],[Base price1]]*Tabla22[[#This Row],[Req.]],0)</f>
        <v>0</v>
      </c>
      <c r="L279" s="73">
        <f>IF(Tabla22[[#This Row],[Req.2]]&gt;0,LOOKUP(Tabla22[[#This Row],[Product2]],$R$18:$R$23,$T$18:$T$23)*Tabla22[[#This Row],[Base price2]]*Tabla22[[#This Row],[Req.2]]*Tabla22[[#This Row],[QualityBonus]],0)</f>
        <v>0</v>
      </c>
      <c r="M279" s="73">
        <f>IFERROR((Tabla22[[#This Row],[Base price1]]-LOOKUP(Tabla22[[#This Row],[Product]],$R$18:$R$23,$S$18:$S$23))*Tabla22[[#This Row],[Req.]],0)</f>
        <v>0</v>
      </c>
      <c r="N279" s="73">
        <f>IF(Tabla22[[#This Row],[Req.2]]&gt;0,(Tabla22[[#This Row],[Base price2]]-LOOKUP(Tabla22[[#This Row],[Product2]],$R$18:$R$23,$S$18:$S$23))*Tabla22[[#This Row],[Req.2]],0)</f>
        <v>0</v>
      </c>
      <c r="O279" s="73">
        <f>SUM(Tabla22[[#This Row],[Bonus1]:[p2]])</f>
        <v>0</v>
      </c>
      <c r="P279" s="73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79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disablePrompts="1" count="2">
    <dataValidation type="list" allowBlank="1" showInputMessage="1" showErrorMessage="1" sqref="O2 X2 B17:B279">
      <formula1>$B$10:$B$12</formula1>
    </dataValidation>
    <dataValidation type="list" allowBlank="1" showInputMessage="1" showErrorMessage="1" sqref="D17:D279 G17:G279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topLeftCell="A10"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98" t="s">
        <v>14</v>
      </c>
      <c r="J5" s="98"/>
      <c r="K5" s="98"/>
      <c r="L5" s="98"/>
      <c r="M5" s="98"/>
      <c r="N5" s="98"/>
      <c r="O5" s="98"/>
      <c r="P5" s="98"/>
      <c r="Q5" s="98"/>
      <c r="R5" s="98"/>
      <c r="S5" s="99"/>
      <c r="U5" s="12"/>
      <c r="V5" s="98" t="s">
        <v>16</v>
      </c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98" t="s">
        <v>17</v>
      </c>
      <c r="J30" s="98"/>
      <c r="K30" s="98"/>
      <c r="L30" s="98"/>
      <c r="M30" s="98"/>
      <c r="N30" s="98"/>
      <c r="O30" s="98"/>
      <c r="P30" s="98"/>
      <c r="Q30" s="98"/>
      <c r="R30" s="98"/>
      <c r="S30" s="99"/>
      <c r="U30" s="12"/>
      <c r="V30" s="98" t="s">
        <v>15</v>
      </c>
      <c r="W30" s="98"/>
      <c r="X30" s="98"/>
      <c r="Y30" s="98"/>
      <c r="Z30" s="98"/>
      <c r="AA30" s="98"/>
      <c r="AB30" s="98"/>
      <c r="AC30" s="98"/>
      <c r="AD30" s="98"/>
      <c r="AE30" s="98"/>
      <c r="AF30" s="99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9"/>
  <sheetViews>
    <sheetView tabSelected="1" workbookViewId="0">
      <selection activeCell="M18" sqref="M18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0" t="s">
        <v>31</v>
      </c>
      <c r="D1" s="100"/>
      <c r="E1" s="100"/>
      <c r="F1" s="100"/>
      <c r="G1" s="100"/>
      <c r="H1" s="100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4.8649789029535864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49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95.743016219639131</v>
      </c>
      <c r="D18" s="25">
        <f t="shared" si="2"/>
        <v>58.789273767677599</v>
      </c>
      <c r="E18" s="25">
        <f t="shared" si="2"/>
        <v>39.287123922617766</v>
      </c>
      <c r="F18" s="25">
        <f t="shared" si="2"/>
        <v>27.171025141251313</v>
      </c>
      <c r="G18" s="25">
        <f t="shared" si="2"/>
        <v>13.660704018827289</v>
      </c>
      <c r="H18" s="25">
        <f t="shared" si="2"/>
        <v>3.7328231747126264</v>
      </c>
      <c r="I18" t="s">
        <v>28</v>
      </c>
    </row>
    <row r="19" spans="3:10" x14ac:dyDescent="0.25">
      <c r="C19" s="25">
        <f>C18/2</f>
        <v>47.871508109819565</v>
      </c>
      <c r="D19" s="25">
        <f t="shared" ref="D19:G19" si="3">D18/2</f>
        <v>29.3946368838388</v>
      </c>
      <c r="E19" s="25">
        <f t="shared" si="3"/>
        <v>19.643561961308883</v>
      </c>
      <c r="F19" s="25">
        <f t="shared" si="3"/>
        <v>13.585512570625657</v>
      </c>
      <c r="G19" s="25">
        <f t="shared" si="3"/>
        <v>6.8303520094136445</v>
      </c>
      <c r="H19" s="25">
        <f>H18/2</f>
        <v>1.8664115873563132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2" t="s">
        <v>81</v>
      </c>
      <c r="D24" s="83"/>
      <c r="E24" s="83"/>
      <c r="F24" s="83"/>
      <c r="G24" s="83"/>
      <c r="H24" s="83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4">
        <v>1</v>
      </c>
      <c r="I25" s="13" t="s">
        <v>82</v>
      </c>
      <c r="J25" s="14"/>
    </row>
    <row r="26" spans="3:10" x14ac:dyDescent="0.25">
      <c r="C26" s="85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6">
        <f>C26*$N$2*$N$3</f>
        <v>95.806931600098963</v>
      </c>
      <c r="D27" s="87">
        <f t="shared" ref="D27:H27" si="7">D26*$N$2*$N$3</f>
        <v>58.557075701953231</v>
      </c>
      <c r="E27" s="87">
        <f t="shared" si="7"/>
        <v>39.554360167706477</v>
      </c>
      <c r="F27" s="87">
        <f t="shared" si="7"/>
        <v>26.8984760643811</v>
      </c>
      <c r="G27" s="87">
        <f t="shared" si="7"/>
        <v>13.789246858847052</v>
      </c>
      <c r="H27" s="87">
        <f t="shared" si="7"/>
        <v>3.7778758517389179</v>
      </c>
      <c r="I27" s="13" t="s">
        <v>28</v>
      </c>
      <c r="J27" s="14"/>
    </row>
    <row r="28" spans="3:10" x14ac:dyDescent="0.25">
      <c r="C28" s="88">
        <f>C27/47*24</f>
        <v>48.922688476646286</v>
      </c>
      <c r="D28" s="88">
        <f t="shared" ref="D28:H28" si="8">D27/47*24</f>
        <v>29.901485464827182</v>
      </c>
      <c r="E28" s="88">
        <f t="shared" si="8"/>
        <v>20.197971149467136</v>
      </c>
      <c r="F28" s="88">
        <f t="shared" si="8"/>
        <v>13.735392032875456</v>
      </c>
      <c r="G28" s="88">
        <f t="shared" si="8"/>
        <v>7.0413175449431762</v>
      </c>
      <c r="H28" s="88">
        <f t="shared" si="8"/>
        <v>1.9291280945049794</v>
      </c>
      <c r="I28" s="24" t="s">
        <v>84</v>
      </c>
      <c r="J28" s="34"/>
    </row>
    <row r="29" spans="3:10" x14ac:dyDescent="0.25"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2021-09-07T03:16:16Z</dcterms:modified>
</cp:coreProperties>
</file>