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activeTab="1"/>
  </bookViews>
  <sheets>
    <sheet name="BFR" sheetId="4" r:id="rId1"/>
    <sheet name="SA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C19" i="3"/>
  <c r="D19" i="3"/>
  <c r="B19" i="3"/>
  <c r="D24" i="4"/>
  <c r="B24" i="4"/>
  <c r="F19" i="4"/>
  <c r="E19" i="4"/>
  <c r="D19" i="4"/>
  <c r="C19" i="4"/>
  <c r="F16" i="4"/>
  <c r="F24" i="4" s="1"/>
  <c r="C16" i="4"/>
  <c r="C24" i="4" s="1"/>
  <c r="B20" i="4" l="1"/>
  <c r="B27" i="4"/>
  <c r="C25" i="4"/>
  <c r="F25" i="4"/>
  <c r="B21" i="4"/>
  <c r="E16" i="4"/>
  <c r="E24" i="4" s="1"/>
  <c r="B20" i="3"/>
  <c r="B41" i="4" l="1"/>
  <c r="C26" i="4" s="1"/>
  <c r="E25" i="4"/>
  <c r="E26" i="4" s="1"/>
  <c r="F26" i="4"/>
  <c r="I25" i="4"/>
  <c r="H25" i="4"/>
  <c r="G25" i="4"/>
  <c r="L25" i="4"/>
  <c r="L26" i="4" s="1"/>
  <c r="D25" i="4"/>
  <c r="D26" i="4" s="1"/>
  <c r="K25" i="4"/>
  <c r="K26" i="4" s="1"/>
  <c r="J25" i="4"/>
  <c r="J26" i="4" s="1"/>
  <c r="B25" i="4"/>
  <c r="B21" i="3"/>
  <c r="B41" i="3" s="1"/>
  <c r="G26" i="4" l="1"/>
  <c r="H26" i="4"/>
  <c r="I26" i="4"/>
  <c r="B28" i="4"/>
  <c r="B38" i="4" s="1"/>
  <c r="B35" i="4" s="1"/>
  <c r="B36" i="4" s="1"/>
  <c r="B37" i="4" s="1"/>
  <c r="B26" i="4"/>
  <c r="B27" i="3"/>
  <c r="E25" i="3" s="1"/>
  <c r="E26" i="3" s="1"/>
  <c r="B42" i="4" l="1"/>
  <c r="I25" i="3"/>
  <c r="I26" i="3" s="1"/>
  <c r="G25" i="3"/>
  <c r="G26" i="3" s="1"/>
  <c r="J25" i="3"/>
  <c r="J26" i="3" s="1"/>
  <c r="H25" i="3"/>
  <c r="H26" i="3" s="1"/>
  <c r="L25" i="3"/>
  <c r="L26" i="3" s="1"/>
  <c r="D25" i="3"/>
  <c r="D26" i="3" s="1"/>
  <c r="K25" i="3"/>
  <c r="K26" i="3" s="1"/>
  <c r="B25" i="3"/>
  <c r="F25" i="3"/>
  <c r="F26" i="3" s="1"/>
  <c r="C25" i="3"/>
  <c r="C26" i="3" s="1"/>
  <c r="B28" i="3" l="1"/>
  <c r="B38" i="3" s="1"/>
  <c r="B35" i="3" s="1"/>
  <c r="B36" i="3" s="1"/>
  <c r="B37" i="3" s="1"/>
  <c r="B26" i="3"/>
  <c r="B42" i="3" l="1"/>
</calcChain>
</file>

<file path=xl/sharedStrings.xml><?xml version="1.0" encoding="utf-8"?>
<sst xmlns="http://schemas.openxmlformats.org/spreadsheetml/2006/main" count="113" uniqueCount="68">
  <si>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</si>
  <si>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</si>
  <si>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</si>
  <si>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</si>
  <si>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</si>
  <si>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</si>
  <si>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</si>
  <si>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</si>
  <si>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</si>
  <si>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</si>
  <si>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</si>
  <si>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</si>
  <si>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</si>
  <si>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</si>
  <si>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</si>
  <si>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</si>
  <si>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</si>
  <si>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</si>
  <si>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</si>
  <si>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</si>
  <si>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</si>
  <si>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</si>
  <si>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</si>
  <si>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</si>
  <si>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</si>
  <si>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</si>
  <si>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</si>
  <si>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</si>
  <si>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</si>
  <si>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</si>
  <si>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</si>
  <si>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</si>
  <si>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</si>
  <si>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</si>
  <si>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</si>
  <si>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</si>
  <si>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</si>
  <si>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</si>
  <si>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</si>
  <si>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</si>
  <si>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</si>
  <si>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</si>
  <si>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</si>
  <si>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</si>
  <si>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</si>
  <si>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</si>
  <si>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</si>
  <si>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</si>
  <si>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</si>
  <si>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</si>
  <si>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</si>
  <si>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</si>
  <si>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</si>
  <si>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</si>
  <si>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</si>
  <si>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</si>
  <si>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</si>
  <si>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</si>
  <si>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</si>
  <si>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Ion Drive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</si>
  <si>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</si>
  <si>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</si>
  <si>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</si>
  <si>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</si>
  <si>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</si>
  <si>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</si>
  <si>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</si>
  <si>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Ion-HGEC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</si>
</sst>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10" fontId="0" fillId="2" borderId="8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43" fontId="0" fillId="5" borderId="8" xfId="3" applyFon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390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0485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553325"/>
          <a:ext cx="2581635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10" workbookViewId="0">
      <selection activeCell="C33" sqref="C33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627989</v>
      </c>
    </row>
    <row r="21" spans="1:13" ht="14.25" customHeight="1" x14ac:dyDescent="0.25">
      <c r="A21" s="13" t="s">
        <v>43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9">
        <f>B16/B17</f>
        <v>4.7619047619047619</v>
      </c>
      <c r="C24" s="20">
        <f>B17/C17*C16</f>
        <v>0.13999999999999999</v>
      </c>
      <c r="D24" s="20">
        <f>B17/D17*D16</f>
        <v>0.7</v>
      </c>
      <c r="E24" s="20">
        <f>C17/E17*E16</f>
        <v>182.14285714285714</v>
      </c>
      <c r="F24" s="20">
        <f>D17/F17*F16</f>
        <v>7.5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50">
        <f>B24/$B$27</f>
        <v>2.4389411093279741E-2</v>
      </c>
      <c r="C25" s="45">
        <f t="shared" ref="C25:L25" si="0">C24/$B$27</f>
        <v>7.1704868614242431E-4</v>
      </c>
      <c r="D25" s="45">
        <f t="shared" si="0"/>
        <v>3.5852434307121219E-3</v>
      </c>
      <c r="E25" s="45">
        <f t="shared" si="0"/>
        <v>0.9328949743179501</v>
      </c>
      <c r="F25" s="45">
        <f t="shared" si="0"/>
        <v>3.8413322471915597E-2</v>
      </c>
      <c r="G25" s="45">
        <f t="shared" si="0"/>
        <v>0</v>
      </c>
      <c r="H25" s="45">
        <f t="shared" si="0"/>
        <v>0</v>
      </c>
      <c r="I25" s="45">
        <f t="shared" si="0"/>
        <v>0</v>
      </c>
      <c r="J25" s="45">
        <f t="shared" si="0"/>
        <v>0</v>
      </c>
      <c r="K25" s="45">
        <f t="shared" si="0"/>
        <v>0</v>
      </c>
      <c r="L25" s="46">
        <f t="shared" si="0"/>
        <v>0</v>
      </c>
    </row>
    <row r="26" spans="1:13" x14ac:dyDescent="0.25">
      <c r="A26" s="48" t="s">
        <v>57</v>
      </c>
      <c r="B26" s="51">
        <f>B25*$B$41</f>
        <v>1.8672145328729672</v>
      </c>
      <c r="C26" s="52">
        <f t="shared" ref="C26:L26" si="1">C25*$B$41</f>
        <v>5.4896107266465231E-2</v>
      </c>
      <c r="D26" s="52">
        <f t="shared" si="1"/>
        <v>0.27448053633232616</v>
      </c>
      <c r="E26" s="52">
        <f t="shared" si="1"/>
        <v>71.420955882390999</v>
      </c>
      <c r="F26" s="52">
        <f t="shared" si="1"/>
        <v>2.9408628892749236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3">
        <f t="shared" si="1"/>
        <v>0</v>
      </c>
    </row>
    <row r="27" spans="1:13" x14ac:dyDescent="0.25">
      <c r="A27" s="13" t="s">
        <v>22</v>
      </c>
      <c r="B27" s="47">
        <f>SUM(B24:L24)</f>
        <v>195.2447619047619</v>
      </c>
    </row>
    <row r="28" spans="1:13" x14ac:dyDescent="0.25">
      <c r="A28" s="14" t="s">
        <v>44</v>
      </c>
      <c r="B28" s="24">
        <f>B25</f>
        <v>2.4389411093279741E-2</v>
      </c>
    </row>
    <row r="31" spans="1:13" x14ac:dyDescent="0.25">
      <c r="A31" s="19" t="s">
        <v>18</v>
      </c>
      <c r="B31" s="3">
        <v>102</v>
      </c>
    </row>
    <row r="32" spans="1:13" x14ac:dyDescent="0.25">
      <c r="A32" s="23" t="s">
        <v>17</v>
      </c>
      <c r="B32" s="6">
        <v>780000</v>
      </c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41">
        <f>B38/24/B28/B31</f>
        <v>19623.307692307717</v>
      </c>
    </row>
    <row r="36" spans="1:2" x14ac:dyDescent="0.25">
      <c r="A36" s="23" t="s">
        <v>48</v>
      </c>
      <c r="B36" s="42">
        <f>B32-B35</f>
        <v>760376.69230769225</v>
      </c>
    </row>
    <row r="37" spans="1:2" x14ac:dyDescent="0.25">
      <c r="A37" s="22" t="s">
        <v>55</v>
      </c>
      <c r="B37" s="35">
        <f>B36-B21-B20</f>
        <v>35427.692307692254</v>
      </c>
    </row>
    <row r="38" spans="1:2" x14ac:dyDescent="0.25">
      <c r="A38" s="22" t="s">
        <v>25</v>
      </c>
      <c r="B38" s="27">
        <f>(B32-B20-(B31*(1-B34)/170+1)*B21/(1+B33))*B31*B28*24</f>
        <v>1171615.048041513</v>
      </c>
    </row>
    <row r="41" spans="1:2" ht="16.5" customHeight="1" x14ac:dyDescent="0.25">
      <c r="A41" s="19" t="s">
        <v>56</v>
      </c>
      <c r="B41" s="43">
        <f>((B32-B20)*(1+B33)/B21-1)*170/2/(1-B34)</f>
        <v>76.55840994813768</v>
      </c>
    </row>
    <row r="42" spans="1:2" x14ac:dyDescent="0.25">
      <c r="A42" s="22" t="s">
        <v>45</v>
      </c>
      <c r="B42" s="27">
        <f>(B32-B20-((B41*(1-B34)/170+1)*B21/(1+B33)))*B41*B28*24</f>
        <v>1317063.6136552137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topLeftCell="A13" workbookViewId="0">
      <selection activeCell="B35" sqref="B3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58</v>
      </c>
      <c r="B4" s="30">
        <v>4480</v>
      </c>
      <c r="E4" s="38" t="s">
        <v>54</v>
      </c>
      <c r="F4" s="38"/>
    </row>
    <row r="5" spans="1:13" x14ac:dyDescent="0.25">
      <c r="A5" s="4"/>
      <c r="B5" s="8"/>
      <c r="E5" s="39" t="s">
        <v>51</v>
      </c>
      <c r="F5" s="39"/>
    </row>
    <row r="6" spans="1:13" x14ac:dyDescent="0.25">
      <c r="A6" s="4" t="s">
        <v>60</v>
      </c>
      <c r="B6" s="8">
        <v>1490</v>
      </c>
      <c r="E6" s="36" t="s">
        <v>52</v>
      </c>
      <c r="F6" s="36"/>
    </row>
    <row r="7" spans="1:13" x14ac:dyDescent="0.25">
      <c r="A7" s="4" t="s">
        <v>62</v>
      </c>
      <c r="B7" s="8">
        <v>7.4</v>
      </c>
    </row>
    <row r="8" spans="1:13" x14ac:dyDescent="0.25">
      <c r="A8" s="4" t="s">
        <v>63</v>
      </c>
      <c r="B8" s="8">
        <v>14.2</v>
      </c>
    </row>
    <row r="9" spans="1:13" x14ac:dyDescent="0.25">
      <c r="A9" s="4" t="s">
        <v>64</v>
      </c>
      <c r="B9" s="8">
        <v>6200</v>
      </c>
    </row>
    <row r="10" spans="1:13" x14ac:dyDescent="0.25">
      <c r="A10" s="4" t="s">
        <v>65</v>
      </c>
      <c r="B10" s="8">
        <v>82</v>
      </c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61</v>
      </c>
      <c r="C15" s="2" t="s">
        <v>66</v>
      </c>
      <c r="D15" s="2" t="s">
        <v>59</v>
      </c>
      <c r="E15" s="2" t="s">
        <v>67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v>8</v>
      </c>
      <c r="D16" s="5">
        <v>1</v>
      </c>
      <c r="E16" s="5">
        <v>8</v>
      </c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0.11</v>
      </c>
      <c r="C17" s="33">
        <v>1.84</v>
      </c>
      <c r="D17" s="33">
        <v>0.56000000000000005</v>
      </c>
      <c r="E17" s="33">
        <v>1.84</v>
      </c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6402.57</v>
      </c>
      <c r="C18" s="31">
        <v>206.61</v>
      </c>
      <c r="D18" s="31">
        <v>1109.5899999999999</v>
      </c>
      <c r="E18" s="31">
        <v>206.61</v>
      </c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f>2*B6+4*B4</f>
        <v>20900</v>
      </c>
      <c r="C19" s="9">
        <f>4*B7+3*B8+0.0625*B9</f>
        <v>459.7</v>
      </c>
      <c r="D19" s="9">
        <f>30*B10+15*B8</f>
        <v>2673</v>
      </c>
      <c r="E19" s="9">
        <f>4*B7+3*B8+0.0625*B9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30928.199999999997</v>
      </c>
    </row>
    <row r="21" spans="1:13" ht="14.25" customHeight="1" x14ac:dyDescent="0.25">
      <c r="A21" s="13" t="s">
        <v>43</v>
      </c>
      <c r="B21" s="18">
        <f>SUMPRODUCT(B18:L18,B16:L16)</f>
        <v>10817.919999999998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9">
        <v>1</v>
      </c>
      <c r="C24" s="20"/>
      <c r="D24" s="20"/>
      <c r="E24" s="20"/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50">
        <f>B24/$B$27</f>
        <v>1</v>
      </c>
      <c r="C25" s="45">
        <f t="shared" ref="C25:L25" si="0">C24/$B$27</f>
        <v>0</v>
      </c>
      <c r="D25" s="45">
        <f t="shared" si="0"/>
        <v>0</v>
      </c>
      <c r="E25" s="45">
        <f t="shared" si="0"/>
        <v>0</v>
      </c>
      <c r="F25" s="45">
        <f t="shared" si="0"/>
        <v>0</v>
      </c>
      <c r="G25" s="45">
        <f t="shared" si="0"/>
        <v>0</v>
      </c>
      <c r="H25" s="45">
        <f t="shared" si="0"/>
        <v>0</v>
      </c>
      <c r="I25" s="45">
        <f t="shared" si="0"/>
        <v>0</v>
      </c>
      <c r="J25" s="45">
        <f t="shared" si="0"/>
        <v>0</v>
      </c>
      <c r="K25" s="45">
        <f t="shared" si="0"/>
        <v>0</v>
      </c>
      <c r="L25" s="46">
        <f t="shared" si="0"/>
        <v>0</v>
      </c>
    </row>
    <row r="26" spans="1:13" x14ac:dyDescent="0.25">
      <c r="A26" s="48" t="s">
        <v>57</v>
      </c>
      <c r="B26" s="51">
        <f>B25*$B$41</f>
        <v>-482.47670531858256</v>
      </c>
      <c r="C26" s="52">
        <f t="shared" ref="C26:L26" si="1">C25*$B$41</f>
        <v>0</v>
      </c>
      <c r="D26" s="52">
        <f t="shared" si="1"/>
        <v>0</v>
      </c>
      <c r="E26" s="52">
        <f t="shared" si="1"/>
        <v>0</v>
      </c>
      <c r="F26" s="52">
        <f t="shared" si="1"/>
        <v>0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3">
        <f t="shared" si="1"/>
        <v>0</v>
      </c>
    </row>
    <row r="27" spans="1:13" x14ac:dyDescent="0.25">
      <c r="A27" s="13" t="s">
        <v>22</v>
      </c>
      <c r="B27" s="47">
        <f>SUM(B24:L24)</f>
        <v>1</v>
      </c>
    </row>
    <row r="28" spans="1:13" x14ac:dyDescent="0.25">
      <c r="A28" s="14" t="s">
        <v>44</v>
      </c>
      <c r="B28" s="24">
        <f>B25</f>
        <v>1</v>
      </c>
    </row>
    <row r="31" spans="1:13" x14ac:dyDescent="0.25">
      <c r="A31" s="19" t="s">
        <v>18</v>
      </c>
      <c r="B31" s="3"/>
    </row>
    <row r="32" spans="1:13" x14ac:dyDescent="0.25">
      <c r="A32" s="23" t="s">
        <v>17</v>
      </c>
      <c r="B32" s="6"/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41" t="e">
        <f>B38/24/B28/B31</f>
        <v>#DIV/0!</v>
      </c>
    </row>
    <row r="36" spans="1:2" x14ac:dyDescent="0.25">
      <c r="A36" s="23" t="s">
        <v>48</v>
      </c>
      <c r="B36" s="42" t="e">
        <f>B32-B35</f>
        <v>#DIV/0!</v>
      </c>
    </row>
    <row r="37" spans="1:2" x14ac:dyDescent="0.25">
      <c r="A37" s="22" t="s">
        <v>55</v>
      </c>
      <c r="B37" s="35" t="e">
        <f>B36-B21-B20</f>
        <v>#DIV/0!</v>
      </c>
    </row>
    <row r="38" spans="1:2" x14ac:dyDescent="0.25">
      <c r="A38" s="22" t="s">
        <v>25</v>
      </c>
      <c r="B38" s="27">
        <f>(B32-B20-(B31*(1-B34)/170+1)*B21/(1+B33))*B31*B28*24</f>
        <v>0</v>
      </c>
    </row>
    <row r="41" spans="1:2" ht="16.5" customHeight="1" x14ac:dyDescent="0.25">
      <c r="A41" s="19" t="s">
        <v>56</v>
      </c>
      <c r="B41" s="43">
        <f>((B32-B20)*(1+B33)/B21-1)*170/2/(1-B34)</f>
        <v>-482.47670531858256</v>
      </c>
    </row>
    <row r="42" spans="1:2" x14ac:dyDescent="0.25">
      <c r="A42" s="22" t="s">
        <v>45</v>
      </c>
      <c r="B42" s="27">
        <f>(B32-B20-((B41*(1-B34)/170+1)*B21/(1+B33)))*B41*B28*24</f>
        <v>239289413.98767176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BFR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2021-07-13T19:27:25Z</dcterms:modified>
</cp:coreProperties>
</file>