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OF\Documents\GitHub\SimCompanies\"/>
    </mc:Choice>
  </mc:AlternateContent>
  <bookViews>
    <workbookView xWindow="0" yWindow="0" windowWidth="28800" windowHeight="11730"/>
  </bookViews>
  <sheets>
    <sheet name="Propulsion Factory Q3" sheetId="6" r:id="rId1"/>
    <sheet name="Aerospace Factory Q3" sheetId="7" r:id="rId2"/>
    <sheet name="Aerospace Electronics Q3 " sheetId="8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1" i="8" l="1"/>
  <c r="F22" i="8" s="1"/>
  <c r="E21" i="8"/>
  <c r="E22" i="8" s="1"/>
  <c r="D21" i="8"/>
  <c r="D22" i="8" s="1"/>
  <c r="C21" i="8"/>
  <c r="C22" i="8" s="1"/>
  <c r="B21" i="8"/>
  <c r="B22" i="8" s="1"/>
  <c r="F32" i="8"/>
  <c r="E32" i="8"/>
  <c r="D32" i="8"/>
  <c r="C32" i="8"/>
  <c r="B32" i="8"/>
  <c r="F23" i="8"/>
  <c r="E23" i="8"/>
  <c r="D23" i="8"/>
  <c r="C23" i="8"/>
  <c r="B23" i="8"/>
  <c r="E18" i="7"/>
  <c r="D18" i="7"/>
  <c r="D19" i="7" s="1"/>
  <c r="C18" i="7"/>
  <c r="B18" i="7"/>
  <c r="H29" i="7"/>
  <c r="G29" i="7"/>
  <c r="E29" i="7"/>
  <c r="D29" i="7"/>
  <c r="C29" i="7"/>
  <c r="B29" i="7"/>
  <c r="H20" i="7"/>
  <c r="H32" i="7" s="1"/>
  <c r="G20" i="7"/>
  <c r="G32" i="7" s="1"/>
  <c r="E20" i="7"/>
  <c r="D20" i="7"/>
  <c r="C20" i="7"/>
  <c r="B20" i="7"/>
  <c r="H19" i="7"/>
  <c r="G19" i="7"/>
  <c r="E19" i="7"/>
  <c r="C19" i="7"/>
  <c r="B19" i="7"/>
  <c r="F38" i="8" l="1"/>
  <c r="F39" i="8" s="1"/>
  <c r="B35" i="8"/>
  <c r="C38" i="8"/>
  <c r="C39" i="8" s="1"/>
  <c r="D38" i="8"/>
  <c r="D39" i="8" s="1"/>
  <c r="F35" i="8"/>
  <c r="E33" i="8"/>
  <c r="E35" i="8"/>
  <c r="E38" i="8"/>
  <c r="E39" i="8" s="1"/>
  <c r="C33" i="8"/>
  <c r="F33" i="8"/>
  <c r="C35" i="8"/>
  <c r="D35" i="8"/>
  <c r="B33" i="8"/>
  <c r="D33" i="8"/>
  <c r="B38" i="8"/>
  <c r="B39" i="8" s="1"/>
  <c r="B32" i="7"/>
  <c r="C32" i="7"/>
  <c r="D32" i="7"/>
  <c r="E32" i="7"/>
  <c r="G35" i="7"/>
  <c r="G36" i="7" s="1"/>
  <c r="H35" i="7"/>
  <c r="H36" i="7" s="1"/>
  <c r="B30" i="7"/>
  <c r="C30" i="7"/>
  <c r="D30" i="7"/>
  <c r="B35" i="7"/>
  <c r="B36" i="7" s="1"/>
  <c r="E30" i="7"/>
  <c r="C35" i="7"/>
  <c r="C36" i="7" s="1"/>
  <c r="G30" i="7"/>
  <c r="D35" i="7"/>
  <c r="D36" i="7" s="1"/>
  <c r="H30" i="7"/>
  <c r="E35" i="7"/>
  <c r="E36" i="7" s="1"/>
  <c r="C29" i="6"/>
  <c r="D29" i="6"/>
  <c r="E29" i="6"/>
  <c r="F29" i="6"/>
  <c r="G29" i="6"/>
  <c r="B29" i="6"/>
  <c r="G18" i="6"/>
  <c r="G19" i="6" s="1"/>
  <c r="F18" i="6"/>
  <c r="F19" i="6" s="1"/>
  <c r="E18" i="6"/>
  <c r="E19" i="6" s="1"/>
  <c r="D18" i="6"/>
  <c r="D19" i="6" s="1"/>
  <c r="C18" i="6"/>
  <c r="C19" i="6" s="1"/>
  <c r="B18" i="6"/>
  <c r="C20" i="6"/>
  <c r="D20" i="6"/>
  <c r="E20" i="6"/>
  <c r="F20" i="6"/>
  <c r="G20" i="6"/>
  <c r="B20" i="6"/>
  <c r="B19" i="6"/>
  <c r="B30" i="6" s="1"/>
  <c r="B31" i="6" s="1"/>
  <c r="D34" i="8" l="1"/>
  <c r="D31" i="8"/>
  <c r="B31" i="8"/>
  <c r="B34" i="8"/>
  <c r="E31" i="8"/>
  <c r="E34" i="8"/>
  <c r="F34" i="8"/>
  <c r="F31" i="8"/>
  <c r="C34" i="8"/>
  <c r="C31" i="8"/>
  <c r="E30" i="6"/>
  <c r="E32" i="6"/>
  <c r="H31" i="7"/>
  <c r="H28" i="7"/>
  <c r="B31" i="7"/>
  <c r="B28" i="7"/>
  <c r="E28" i="7"/>
  <c r="E31" i="7"/>
  <c r="D28" i="7"/>
  <c r="D31" i="7"/>
  <c r="G31" i="7"/>
  <c r="G28" i="7"/>
  <c r="C31" i="7"/>
  <c r="C28" i="7"/>
  <c r="G30" i="6"/>
  <c r="G32" i="6"/>
  <c r="F32" i="6"/>
  <c r="F30" i="6"/>
  <c r="D30" i="6"/>
  <c r="D32" i="6"/>
  <c r="C32" i="6"/>
  <c r="C30" i="6"/>
  <c r="B32" i="6"/>
  <c r="G35" i="6"/>
  <c r="G36" i="6" s="1"/>
  <c r="F35" i="6"/>
  <c r="F36" i="6" s="1"/>
  <c r="E35" i="6"/>
  <c r="E36" i="6" s="1"/>
  <c r="D35" i="6"/>
  <c r="D36" i="6" s="1"/>
  <c r="C35" i="6"/>
  <c r="C36" i="6" s="1"/>
  <c r="C31" i="6" l="1"/>
  <c r="C28" i="6"/>
  <c r="E28" i="6"/>
  <c r="E31" i="6"/>
  <c r="G28" i="6"/>
  <c r="G31" i="6"/>
  <c r="D31" i="6"/>
  <c r="D28" i="6"/>
  <c r="F28" i="6"/>
  <c r="F31" i="6"/>
  <c r="B35" i="6" l="1"/>
  <c r="B36" i="6" s="1"/>
  <c r="B28" i="6" l="1"/>
</calcChain>
</file>

<file path=xl/sharedStrings.xml><?xml version="1.0" encoding="utf-8"?>
<sst xmlns="http://schemas.openxmlformats.org/spreadsheetml/2006/main" count="127" uniqueCount="60">
  <si>
    <t>Alphas</t>
  </si>
  <si>
    <t>Product Name</t>
  </si>
  <si>
    <t xml:space="preserve">(Pu) Produced units per hour </t>
  </si>
  <si>
    <t>(Pw) Product wages, no Admin costs</t>
  </si>
  <si>
    <t>(In) Input resources</t>
  </si>
  <si>
    <t>Input resources</t>
  </si>
  <si>
    <t xml:space="preserve">(those not produced) </t>
  </si>
  <si>
    <t>Steel</t>
  </si>
  <si>
    <t>HGEC</t>
  </si>
  <si>
    <t>Name</t>
  </si>
  <si>
    <t>Price</t>
  </si>
  <si>
    <t>(Bl) Building level</t>
  </si>
  <si>
    <t>Daily Profit</t>
  </si>
  <si>
    <t>(In_T) Total Input Resources</t>
  </si>
  <si>
    <t>(Pb) Productivity bonus</t>
  </si>
  <si>
    <t>(Sk) Executives Management Skills</t>
  </si>
  <si>
    <t>Optimal Daily Profit</t>
  </si>
  <si>
    <t>Total Unitary costs</t>
  </si>
  <si>
    <t>Total Unitary profit</t>
  </si>
  <si>
    <t>COLOR CODES</t>
  </si>
  <si>
    <t>Partial results</t>
  </si>
  <si>
    <t>Final results</t>
  </si>
  <si>
    <t>Change constantly (manually)</t>
  </si>
  <si>
    <t xml:space="preserve">Change rarely (manually) </t>
  </si>
  <si>
    <t>Total Unitary admin costs</t>
  </si>
  <si>
    <t>(Bl*) Optimal Building level</t>
  </si>
  <si>
    <t>Chemicals</t>
  </si>
  <si>
    <t>Batteries</t>
  </si>
  <si>
    <t>Aluminium</t>
  </si>
  <si>
    <t>Total Units daily</t>
  </si>
  <si>
    <t>(Sp) Selling price, of the final product</t>
  </si>
  <si>
    <t>(Ro) Robots; 1 or 0</t>
  </si>
  <si>
    <t>(Fw) Factory wages</t>
  </si>
  <si>
    <t>Electric motor</t>
  </si>
  <si>
    <t>Combustion engine</t>
  </si>
  <si>
    <t>Solid Fuel booster</t>
  </si>
  <si>
    <t>Rocket engine</t>
  </si>
  <si>
    <t>Ion drive</t>
  </si>
  <si>
    <t>Jet engine</t>
  </si>
  <si>
    <t>Electronic components</t>
  </si>
  <si>
    <t>Rocket Fuel</t>
  </si>
  <si>
    <t>Fuselage</t>
  </si>
  <si>
    <t>Wing</t>
  </si>
  <si>
    <t>Propellant tank</t>
  </si>
  <si>
    <t>Heat shield</t>
  </si>
  <si>
    <t>Sub-Orbital 2nd stage</t>
  </si>
  <si>
    <t>Orbital Booster</t>
  </si>
  <si>
    <t>Starship</t>
  </si>
  <si>
    <t>Carbon Composite</t>
  </si>
  <si>
    <t>Silicon</t>
  </si>
  <si>
    <t>?</t>
  </si>
  <si>
    <t>Flight computer</t>
  </si>
  <si>
    <t>cockpit</t>
  </si>
  <si>
    <t>Attitude control</t>
  </si>
  <si>
    <t>Quadcopter</t>
  </si>
  <si>
    <t>Satellite</t>
  </si>
  <si>
    <t>On-board computer</t>
  </si>
  <si>
    <t>Displays</t>
  </si>
  <si>
    <t>Basic interior</t>
  </si>
  <si>
    <t>Plastic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</si>
</sst>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$&quot;* #,##0.00_-;\-&quot;$&quot;* #,##0.00_-;_-&quot;$&quot;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7">
    <xf numFmtId="0" fontId="0" fillId="0" borderId="0" xfId="0"/>
    <xf numFmtId="0" fontId="0" fillId="2" borderId="1" xfId="0" applyFill="1" applyBorder="1"/>
    <xf numFmtId="0" fontId="0" fillId="2" borderId="3" xfId="0" applyFill="1" applyBorder="1"/>
    <xf numFmtId="44" fontId="0" fillId="2" borderId="4" xfId="1" applyFont="1" applyFill="1" applyBorder="1"/>
    <xf numFmtId="44" fontId="0" fillId="2" borderId="6" xfId="1" applyFont="1" applyFill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" xfId="0" applyBorder="1"/>
    <xf numFmtId="0" fontId="0" fillId="0" borderId="5" xfId="0" applyBorder="1"/>
    <xf numFmtId="0" fontId="0" fillId="0" borderId="3" xfId="0" applyBorder="1"/>
    <xf numFmtId="0" fontId="0" fillId="0" borderId="4" xfId="0" applyBorder="1"/>
    <xf numFmtId="44" fontId="0" fillId="5" borderId="6" xfId="1" applyFont="1" applyFill="1" applyBorder="1"/>
    <xf numFmtId="0" fontId="0" fillId="0" borderId="2" xfId="0" applyBorder="1"/>
    <xf numFmtId="0" fontId="0" fillId="2" borderId="5" xfId="0" applyFill="1" applyBorder="1"/>
    <xf numFmtId="44" fontId="0" fillId="2" borderId="2" xfId="1" applyFont="1" applyFill="1" applyBorder="1"/>
    <xf numFmtId="44" fontId="0" fillId="4" borderId="6" xfId="0" applyNumberFormat="1" applyFill="1" applyBorder="1"/>
    <xf numFmtId="0" fontId="0" fillId="5" borderId="0" xfId="0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2" fillId="0" borderId="0" xfId="0" applyFont="1"/>
    <xf numFmtId="0" fontId="0" fillId="5" borderId="2" xfId="0" applyFill="1" applyBorder="1"/>
    <xf numFmtId="0" fontId="0" fillId="2" borderId="7" xfId="0" applyFill="1" applyBorder="1"/>
    <xf numFmtId="0" fontId="0" fillId="3" borderId="8" xfId="0" applyFill="1" applyBorder="1"/>
    <xf numFmtId="44" fontId="0" fillId="3" borderId="8" xfId="1" applyFont="1" applyFill="1" applyBorder="1"/>
    <xf numFmtId="44" fontId="0" fillId="2" borderId="8" xfId="1" applyFont="1" applyFill="1" applyBorder="1"/>
    <xf numFmtId="44" fontId="0" fillId="4" borderId="7" xfId="1" applyFont="1" applyFill="1" applyBorder="1"/>
    <xf numFmtId="44" fontId="0" fillId="4" borderId="9" xfId="1" applyFont="1" applyFill="1" applyBorder="1"/>
    <xf numFmtId="44" fontId="0" fillId="4" borderId="4" xfId="1" applyFont="1" applyFill="1" applyBorder="1"/>
    <xf numFmtId="1" fontId="0" fillId="4" borderId="4" xfId="0" applyNumberFormat="1" applyFill="1" applyBorder="1"/>
    <xf numFmtId="44" fontId="0" fillId="2" borderId="10" xfId="1" applyFont="1" applyFill="1" applyBorder="1"/>
    <xf numFmtId="0" fontId="0" fillId="3" borderId="11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10" fontId="0" fillId="3" borderId="10" xfId="0" applyNumberFormat="1" applyFill="1" applyBorder="1" applyAlignment="1">
      <alignment horizontal="center"/>
    </xf>
    <xf numFmtId="0" fontId="0" fillId="3" borderId="10" xfId="0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486833</xdr:colOff>
      <xdr:row>31</xdr:row>
      <xdr:rowOff>95249</xdr:rowOff>
    </xdr:from>
    <xdr:to>
      <xdr:col>13</xdr:col>
      <xdr:colOff>664095</xdr:colOff>
      <xdr:row>33</xdr:row>
      <xdr:rowOff>178796</xdr:rowOff>
    </xdr:to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73000" y="8434916"/>
          <a:ext cx="4304762" cy="485714"/>
        </a:xfrm>
        <a:prstGeom prst="rect">
          <a:avLst/>
        </a:prstGeom>
      </xdr:spPr>
    </xdr:pic>
    <xdr:clientData/>
  </xdr:twoCellAnchor>
  <xdr:twoCellAnchor editAs="oneCell">
    <xdr:from>
      <xdr:col>9</xdr:col>
      <xdr:colOff>412750</xdr:colOff>
      <xdr:row>29</xdr:row>
      <xdr:rowOff>84667</xdr:rowOff>
    </xdr:from>
    <xdr:to>
      <xdr:col>9</xdr:col>
      <xdr:colOff>1397000</xdr:colOff>
      <xdr:row>31</xdr:row>
      <xdr:rowOff>118458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340167" y="6529917"/>
          <a:ext cx="984250" cy="41479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486833</xdr:colOff>
      <xdr:row>31</xdr:row>
      <xdr:rowOff>95249</xdr:rowOff>
    </xdr:from>
    <xdr:to>
      <xdr:col>14</xdr:col>
      <xdr:colOff>664095</xdr:colOff>
      <xdr:row>33</xdr:row>
      <xdr:rowOff>178796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45483" y="5972174"/>
          <a:ext cx="4301587" cy="483597"/>
        </a:xfrm>
        <a:prstGeom prst="rect">
          <a:avLst/>
        </a:prstGeom>
      </xdr:spPr>
    </xdr:pic>
    <xdr:clientData/>
  </xdr:twoCellAnchor>
  <xdr:twoCellAnchor editAs="oneCell">
    <xdr:from>
      <xdr:col>10</xdr:col>
      <xdr:colOff>412750</xdr:colOff>
      <xdr:row>29</xdr:row>
      <xdr:rowOff>84667</xdr:rowOff>
    </xdr:from>
    <xdr:to>
      <xdr:col>10</xdr:col>
      <xdr:colOff>1397000</xdr:colOff>
      <xdr:row>31</xdr:row>
      <xdr:rowOff>118458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471400" y="5580592"/>
          <a:ext cx="984250" cy="41479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486833</xdr:colOff>
      <xdr:row>34</xdr:row>
      <xdr:rowOff>95249</xdr:rowOff>
    </xdr:from>
    <xdr:to>
      <xdr:col>12</xdr:col>
      <xdr:colOff>664095</xdr:colOff>
      <xdr:row>37</xdr:row>
      <xdr:rowOff>7346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12283" y="5972174"/>
          <a:ext cx="4301587" cy="483597"/>
        </a:xfrm>
        <a:prstGeom prst="rect">
          <a:avLst/>
        </a:prstGeom>
      </xdr:spPr>
    </xdr:pic>
    <xdr:clientData/>
  </xdr:twoCellAnchor>
  <xdr:twoCellAnchor editAs="oneCell">
    <xdr:from>
      <xdr:col>8</xdr:col>
      <xdr:colOff>412750</xdr:colOff>
      <xdr:row>32</xdr:row>
      <xdr:rowOff>84667</xdr:rowOff>
    </xdr:from>
    <xdr:to>
      <xdr:col>8</xdr:col>
      <xdr:colOff>1397000</xdr:colOff>
      <xdr:row>34</xdr:row>
      <xdr:rowOff>118458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538200" y="5580592"/>
          <a:ext cx="984250" cy="41479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6"/>
  <sheetViews>
    <sheetView tabSelected="1" zoomScale="90" zoomScaleNormal="90" workbookViewId="0">
      <selection activeCell="A41" sqref="A41"/>
    </sheetView>
  </sheetViews>
  <sheetFormatPr baseColWidth="10" defaultRowHeight="15" x14ac:dyDescent="0.25"/>
  <cols>
    <col min="1" max="1" width="51.7109375" customWidth="1"/>
    <col min="2" max="2" width="21.140625" bestFit="1" customWidth="1"/>
    <col min="3" max="3" width="18.85546875" bestFit="1" customWidth="1"/>
    <col min="4" max="4" width="17.140625" bestFit="1" customWidth="1"/>
    <col min="5" max="6" width="16" bestFit="1" customWidth="1"/>
    <col min="7" max="7" width="17.140625" bestFit="1" customWidth="1"/>
    <col min="10" max="10" width="27.5703125" bestFit="1" customWidth="1"/>
  </cols>
  <sheetData>
    <row r="2" spans="1:11" x14ac:dyDescent="0.25">
      <c r="A2" s="8" t="s">
        <v>5</v>
      </c>
      <c r="B2" s="13" t="s">
        <v>6</v>
      </c>
      <c r="J2" s="21" t="s">
        <v>19</v>
      </c>
    </row>
    <row r="3" spans="1:11" x14ac:dyDescent="0.25">
      <c r="A3" s="10" t="s">
        <v>9</v>
      </c>
      <c r="B3" s="11" t="s">
        <v>10</v>
      </c>
      <c r="J3" s="18" t="s">
        <v>22</v>
      </c>
      <c r="K3" s="18"/>
    </row>
    <row r="4" spans="1:11" x14ac:dyDescent="0.25">
      <c r="A4" s="1" t="s">
        <v>7</v>
      </c>
      <c r="B4" s="15">
        <v>10.8</v>
      </c>
      <c r="J4" s="19" t="s">
        <v>23</v>
      </c>
      <c r="K4" s="19"/>
    </row>
    <row r="5" spans="1:11" x14ac:dyDescent="0.25">
      <c r="A5" s="2" t="s">
        <v>8</v>
      </c>
      <c r="B5" s="3">
        <v>875</v>
      </c>
      <c r="J5" s="20" t="s">
        <v>20</v>
      </c>
      <c r="K5" s="20"/>
    </row>
    <row r="6" spans="1:11" x14ac:dyDescent="0.25">
      <c r="A6" s="2" t="s">
        <v>28</v>
      </c>
      <c r="B6" s="3">
        <v>19.2</v>
      </c>
      <c r="J6" s="17" t="s">
        <v>21</v>
      </c>
      <c r="K6" s="17"/>
    </row>
    <row r="7" spans="1:11" x14ac:dyDescent="0.25">
      <c r="A7" s="2" t="s">
        <v>39</v>
      </c>
      <c r="B7" s="3">
        <v>55.3</v>
      </c>
    </row>
    <row r="8" spans="1:11" x14ac:dyDescent="0.25">
      <c r="A8" s="2" t="s">
        <v>26</v>
      </c>
      <c r="B8" s="3">
        <v>15.3</v>
      </c>
    </row>
    <row r="9" spans="1:11" x14ac:dyDescent="0.25">
      <c r="A9" s="2" t="s">
        <v>40</v>
      </c>
      <c r="B9" s="3">
        <v>34.700000000000003</v>
      </c>
    </row>
    <row r="10" spans="1:11" x14ac:dyDescent="0.25">
      <c r="A10" s="2" t="s">
        <v>27</v>
      </c>
      <c r="B10" s="3">
        <v>86.8</v>
      </c>
    </row>
    <row r="11" spans="1:11" x14ac:dyDescent="0.25">
      <c r="A11" s="14"/>
      <c r="B11" s="4"/>
    </row>
    <row r="14" spans="1:11" x14ac:dyDescent="0.25">
      <c r="A14" t="s">
        <v>0</v>
      </c>
    </row>
    <row r="15" spans="1:11" x14ac:dyDescent="0.25">
      <c r="A15" s="5" t="s">
        <v>1</v>
      </c>
      <c r="B15" s="23" t="s">
        <v>33</v>
      </c>
      <c r="C15" s="23" t="s">
        <v>34</v>
      </c>
      <c r="D15" s="23" t="s">
        <v>35</v>
      </c>
      <c r="E15" s="23" t="s">
        <v>36</v>
      </c>
      <c r="F15" s="23" t="s">
        <v>37</v>
      </c>
      <c r="G15" s="23" t="s">
        <v>38</v>
      </c>
    </row>
    <row r="16" spans="1:11" x14ac:dyDescent="0.25">
      <c r="A16" s="6" t="s">
        <v>2</v>
      </c>
      <c r="B16" s="24">
        <v>30.78</v>
      </c>
      <c r="C16" s="24">
        <v>5.6</v>
      </c>
      <c r="D16" s="24">
        <v>0.28000000000000003</v>
      </c>
      <c r="E16" s="24">
        <v>0.28000000000000003</v>
      </c>
      <c r="F16" s="24">
        <v>0.56000000000000005</v>
      </c>
      <c r="G16" s="24">
        <v>0.84</v>
      </c>
    </row>
    <row r="17" spans="1:7" x14ac:dyDescent="0.25">
      <c r="A17" s="6" t="s">
        <v>32</v>
      </c>
      <c r="B17" s="25">
        <v>621</v>
      </c>
      <c r="C17" s="25">
        <v>621</v>
      </c>
      <c r="D17" s="25">
        <v>621</v>
      </c>
      <c r="E17" s="25">
        <v>621</v>
      </c>
      <c r="F17" s="25">
        <v>621</v>
      </c>
      <c r="G17" s="25">
        <v>621</v>
      </c>
    </row>
    <row r="18" spans="1:7" x14ac:dyDescent="0.25">
      <c r="A18" s="6" t="s">
        <v>4</v>
      </c>
      <c r="B18" s="26">
        <f>2*B4+3*B7</f>
        <v>187.49999999999997</v>
      </c>
      <c r="C18" s="26">
        <f>6*B4+5*B8+5*B7</f>
        <v>417.8</v>
      </c>
      <c r="D18" s="26">
        <f>30*B6+100*B9+50*B8</f>
        <v>4811</v>
      </c>
      <c r="E18" s="26">
        <f>20*B4+8*B5+10*B6</f>
        <v>7408</v>
      </c>
      <c r="F18" s="26">
        <f>8*B5+30*B10+15*B8</f>
        <v>9833.5</v>
      </c>
      <c r="G18" s="26">
        <f>4*B5+5*B6</f>
        <v>3596</v>
      </c>
    </row>
    <row r="19" spans="1:7" ht="14.25" customHeight="1" x14ac:dyDescent="0.25">
      <c r="A19" s="5" t="s">
        <v>13</v>
      </c>
      <c r="B19" s="27">
        <f>B18</f>
        <v>187.49999999999997</v>
      </c>
      <c r="C19" s="27">
        <f t="shared" ref="C19:G19" si="0">C18</f>
        <v>417.8</v>
      </c>
      <c r="D19" s="27">
        <f t="shared" si="0"/>
        <v>4811</v>
      </c>
      <c r="E19" s="27">
        <f t="shared" si="0"/>
        <v>7408</v>
      </c>
      <c r="F19" s="27">
        <f t="shared" si="0"/>
        <v>9833.5</v>
      </c>
      <c r="G19" s="27">
        <f t="shared" si="0"/>
        <v>3596</v>
      </c>
    </row>
    <row r="20" spans="1:7" ht="14.25" customHeight="1" x14ac:dyDescent="0.25">
      <c r="A20" s="7" t="s">
        <v>3</v>
      </c>
      <c r="B20" s="28">
        <f>B17/B16</f>
        <v>20.175438596491226</v>
      </c>
      <c r="C20" s="28">
        <f t="shared" ref="C20:G20" si="1">C17/C16</f>
        <v>110.89285714285715</v>
      </c>
      <c r="D20" s="28">
        <f t="shared" si="1"/>
        <v>2217.8571428571427</v>
      </c>
      <c r="E20" s="28">
        <f t="shared" si="1"/>
        <v>2217.8571428571427</v>
      </c>
      <c r="F20" s="28">
        <f t="shared" si="1"/>
        <v>1108.9285714285713</v>
      </c>
      <c r="G20" s="28">
        <f t="shared" si="1"/>
        <v>739.28571428571433</v>
      </c>
    </row>
    <row r="21" spans="1:7" ht="14.25" customHeight="1" x14ac:dyDescent="0.25"/>
    <row r="23" spans="1:7" x14ac:dyDescent="0.25">
      <c r="A23" s="8" t="s">
        <v>11</v>
      </c>
      <c r="B23" s="36">
        <v>78</v>
      </c>
      <c r="C23" s="36"/>
      <c r="D23" s="36"/>
      <c r="E23" s="36"/>
      <c r="F23" s="36"/>
      <c r="G23" s="36"/>
    </row>
    <row r="24" spans="1:7" x14ac:dyDescent="0.25">
      <c r="A24" s="10" t="s">
        <v>30</v>
      </c>
      <c r="B24" s="31">
        <v>232</v>
      </c>
      <c r="C24" s="31">
        <v>645</v>
      </c>
      <c r="D24" s="31">
        <v>9700</v>
      </c>
      <c r="E24" s="31">
        <v>11550</v>
      </c>
      <c r="F24" s="31">
        <v>11550</v>
      </c>
      <c r="G24" s="31">
        <v>5400</v>
      </c>
    </row>
    <row r="25" spans="1:7" x14ac:dyDescent="0.25">
      <c r="A25" s="10" t="s">
        <v>14</v>
      </c>
      <c r="B25" s="35">
        <v>0.05</v>
      </c>
      <c r="C25" s="35"/>
      <c r="D25" s="35"/>
      <c r="E25" s="35"/>
      <c r="F25" s="35"/>
      <c r="G25" s="35"/>
    </row>
    <row r="26" spans="1:7" x14ac:dyDescent="0.25">
      <c r="A26" s="10" t="s">
        <v>15</v>
      </c>
      <c r="B26" s="35">
        <v>0.25</v>
      </c>
      <c r="C26" s="35"/>
      <c r="D26" s="35"/>
      <c r="E26" s="35"/>
      <c r="F26" s="35"/>
      <c r="G26" s="35"/>
    </row>
    <row r="27" spans="1:7" x14ac:dyDescent="0.25">
      <c r="A27" s="9" t="s">
        <v>31</v>
      </c>
      <c r="B27" s="36">
        <v>0</v>
      </c>
      <c r="C27" s="36"/>
      <c r="D27" s="36"/>
      <c r="E27" s="36"/>
      <c r="F27" s="36"/>
      <c r="G27" s="36"/>
    </row>
    <row r="28" spans="1:7" x14ac:dyDescent="0.25">
      <c r="A28" s="10" t="s">
        <v>18</v>
      </c>
      <c r="B28" s="29">
        <f>B24-B30</f>
        <v>18.673178043147118</v>
      </c>
      <c r="C28" s="29">
        <f t="shared" ref="C28:G28" si="2">C24-C30</f>
        <v>85.24471788715482</v>
      </c>
      <c r="D28" s="29">
        <f t="shared" si="2"/>
        <v>2049.8943577430982</v>
      </c>
      <c r="E28" s="29">
        <f t="shared" si="2"/>
        <v>1302.8943577430982</v>
      </c>
      <c r="F28" s="29">
        <f t="shared" si="2"/>
        <v>296.94717887154911</v>
      </c>
      <c r="G28" s="29">
        <f t="shared" si="2"/>
        <v>857.63145258103214</v>
      </c>
    </row>
    <row r="29" spans="1:7" x14ac:dyDescent="0.25">
      <c r="A29" s="10" t="s">
        <v>29</v>
      </c>
      <c r="B29" s="30">
        <f>$B$23*B16*24*(1+$B$25)</f>
        <v>60501.168000000005</v>
      </c>
      <c r="C29" s="30">
        <f t="shared" ref="C29:G29" si="3">$B$23*C16*24*(1+$B$25)</f>
        <v>11007.359999999999</v>
      </c>
      <c r="D29" s="30">
        <f t="shared" si="3"/>
        <v>550.36800000000017</v>
      </c>
      <c r="E29" s="30">
        <f t="shared" si="3"/>
        <v>550.36800000000017</v>
      </c>
      <c r="F29" s="30">
        <f t="shared" si="3"/>
        <v>1100.7360000000003</v>
      </c>
      <c r="G29" s="30">
        <f t="shared" si="3"/>
        <v>1651.104</v>
      </c>
    </row>
    <row r="30" spans="1:7" x14ac:dyDescent="0.25">
      <c r="A30" s="10" t="s">
        <v>17</v>
      </c>
      <c r="B30" s="29">
        <f>B19+B20*(1+$B$23/170*(1-$B$26))/(1+$B$25)</f>
        <v>213.32682195685288</v>
      </c>
      <c r="C30" s="29">
        <f t="shared" ref="C30:G30" si="4">C19+C20*(1+$B$23/170*(1-$B$26))/(1+$B$25)</f>
        <v>559.75528211284518</v>
      </c>
      <c r="D30" s="29">
        <f t="shared" si="4"/>
        <v>7650.1056422569018</v>
      </c>
      <c r="E30" s="29">
        <f t="shared" si="4"/>
        <v>10247.105642256902</v>
      </c>
      <c r="F30" s="29">
        <f t="shared" si="4"/>
        <v>11253.052821128451</v>
      </c>
      <c r="G30" s="29">
        <f t="shared" si="4"/>
        <v>4542.3685474189679</v>
      </c>
    </row>
    <row r="31" spans="1:7" x14ac:dyDescent="0.25">
      <c r="A31" s="9" t="s">
        <v>24</v>
      </c>
      <c r="B31" s="16">
        <f t="shared" ref="B31:G31" si="5">B30-B19-B20</f>
        <v>5.6513833603616845</v>
      </c>
      <c r="C31" s="16">
        <f t="shared" si="5"/>
        <v>31.062424969988015</v>
      </c>
      <c r="D31" s="16">
        <f t="shared" si="5"/>
        <v>621.24849939975911</v>
      </c>
      <c r="E31" s="16">
        <f t="shared" si="5"/>
        <v>621.24849939975911</v>
      </c>
      <c r="F31" s="16">
        <f t="shared" si="5"/>
        <v>310.62424969987956</v>
      </c>
      <c r="G31" s="16">
        <f t="shared" si="5"/>
        <v>207.08283313325353</v>
      </c>
    </row>
    <row r="32" spans="1:7" x14ac:dyDescent="0.25">
      <c r="A32" s="9" t="s">
        <v>12</v>
      </c>
      <c r="B32" s="12">
        <f>(B24-B19-B20*(1-0.03*$B$27)*(1+$B$23/170*(1-$B$26))*(1-$B$25))*$B$23*B16/(1-$B$25)*24</f>
        <v>1136496.7058823549</v>
      </c>
      <c r="C32" s="12">
        <f t="shared" ref="C32:G32" si="6">(C24-C19-C20*(1-0.03*$B$27)*(1+$B$23/170*(1-$B$26))*(1-$B$25))*$B$23*C16/(1-$B$25)*24</f>
        <v>944587.14798761567</v>
      </c>
      <c r="D32" s="12">
        <f t="shared" si="6"/>
        <v>1134939.9900928796</v>
      </c>
      <c r="E32" s="12">
        <f t="shared" si="6"/>
        <v>722784.70588235313</v>
      </c>
      <c r="F32" s="12">
        <f t="shared" si="6"/>
        <v>331595.82167182682</v>
      </c>
      <c r="G32" s="12">
        <f t="shared" si="6"/>
        <v>1423503.8637770896</v>
      </c>
    </row>
    <row r="33" spans="1:7" ht="16.5" customHeight="1" x14ac:dyDescent="0.25"/>
    <row r="35" spans="1:7" x14ac:dyDescent="0.25">
      <c r="A35" s="8" t="s">
        <v>25</v>
      </c>
      <c r="B35" s="22">
        <f t="shared" ref="B35:G35" si="7">((B24-B19)*(1+B25)/B20-1)*170/2/(1-B26)</f>
        <v>149.13927536231904</v>
      </c>
      <c r="C35" s="22">
        <f t="shared" si="7"/>
        <v>89.150080515297873</v>
      </c>
      <c r="D35" s="22">
        <f t="shared" si="7"/>
        <v>102.37230273752016</v>
      </c>
      <c r="E35" s="22">
        <f t="shared" si="7"/>
        <v>73.74331723027376</v>
      </c>
      <c r="F35" s="22">
        <f t="shared" si="7"/>
        <v>46.570692431562016</v>
      </c>
      <c r="G35" s="22">
        <f t="shared" si="7"/>
        <v>122.41642512077296</v>
      </c>
    </row>
    <row r="36" spans="1:7" x14ac:dyDescent="0.25">
      <c r="A36" s="9" t="s">
        <v>16</v>
      </c>
      <c r="B36" s="12">
        <f>(B24-B19-B20*(1-0.03*$B$27)*(1+B35/170*(1-$B$26))*(1-$B$25))*B35*B16/(1-$B$25)*24</f>
        <v>1475413.0768252218</v>
      </c>
      <c r="C36" s="12">
        <f t="shared" ref="C36:G36" si="8">(C24-C19-C20*(1-0.03*$B$27)*(1+C35/170*(1-$B$26))*(1-$B$25))*C35*C16/(1-$B$25)*24</f>
        <v>1014255.2108599029</v>
      </c>
      <c r="D36" s="12">
        <f t="shared" si="8"/>
        <v>1325512.6964739391</v>
      </c>
      <c r="E36" s="12">
        <f t="shared" si="8"/>
        <v>703980.25387439667</v>
      </c>
      <c r="F36" s="12">
        <f t="shared" si="8"/>
        <v>294224.22260055959</v>
      </c>
      <c r="G36" s="12">
        <f t="shared" si="8"/>
        <v>1876587.3566864992</v>
      </c>
    </row>
  </sheetData>
  <sheetProtection selectLockedCells="1"/>
  <mergeCells count="4">
    <mergeCell ref="B23:G23"/>
    <mergeCell ref="B25:G25"/>
    <mergeCell ref="B26:G26"/>
    <mergeCell ref="B27:G27"/>
  </mergeCells>
  <conditionalFormatting sqref="B36:G36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35:G35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32:G32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6"/>
  <sheetViews>
    <sheetView zoomScale="90" zoomScaleNormal="90" workbookViewId="0">
      <selection activeCell="A42" sqref="A42"/>
    </sheetView>
  </sheetViews>
  <sheetFormatPr baseColWidth="10" defaultRowHeight="15" x14ac:dyDescent="0.25"/>
  <cols>
    <col min="1" max="1" width="51.7109375" customWidth="1"/>
    <col min="2" max="2" width="21.140625" bestFit="1" customWidth="1"/>
    <col min="3" max="3" width="18.85546875" bestFit="1" customWidth="1"/>
    <col min="4" max="4" width="17.140625" bestFit="1" customWidth="1"/>
    <col min="5" max="5" width="16" bestFit="1" customWidth="1"/>
    <col min="6" max="6" width="16" customWidth="1"/>
    <col min="7" max="7" width="16" bestFit="1" customWidth="1"/>
    <col min="8" max="8" width="17.140625" bestFit="1" customWidth="1"/>
    <col min="11" max="11" width="27.5703125" bestFit="1" customWidth="1"/>
  </cols>
  <sheetData>
    <row r="2" spans="1:12" x14ac:dyDescent="0.25">
      <c r="A2" s="8" t="s">
        <v>5</v>
      </c>
      <c r="B2" s="13" t="s">
        <v>6</v>
      </c>
      <c r="K2" s="21" t="s">
        <v>19</v>
      </c>
    </row>
    <row r="3" spans="1:12" x14ac:dyDescent="0.25">
      <c r="A3" s="10" t="s">
        <v>9</v>
      </c>
      <c r="B3" s="11" t="s">
        <v>10</v>
      </c>
      <c r="K3" s="18" t="s">
        <v>22</v>
      </c>
      <c r="L3" s="18"/>
    </row>
    <row r="4" spans="1:12" x14ac:dyDescent="0.25">
      <c r="A4" s="1" t="s">
        <v>48</v>
      </c>
      <c r="B4" s="15">
        <v>68.900000000000006</v>
      </c>
      <c r="K4" s="19" t="s">
        <v>23</v>
      </c>
      <c r="L4" s="19"/>
    </row>
    <row r="5" spans="1:12" x14ac:dyDescent="0.25">
      <c r="A5" s="2" t="s">
        <v>28</v>
      </c>
      <c r="B5" s="3">
        <v>19.2</v>
      </c>
      <c r="K5" s="20" t="s">
        <v>20</v>
      </c>
      <c r="L5" s="20"/>
    </row>
    <row r="6" spans="1:12" x14ac:dyDescent="0.25">
      <c r="A6" s="2" t="s">
        <v>40</v>
      </c>
      <c r="B6" s="3">
        <v>35</v>
      </c>
      <c r="K6" s="17" t="s">
        <v>21</v>
      </c>
      <c r="L6" s="17"/>
    </row>
    <row r="7" spans="1:12" x14ac:dyDescent="0.25">
      <c r="A7" s="2" t="s">
        <v>49</v>
      </c>
      <c r="B7" s="3">
        <v>7.9</v>
      </c>
    </row>
    <row r="8" spans="1:12" x14ac:dyDescent="0.25">
      <c r="A8" s="2" t="s">
        <v>7</v>
      </c>
      <c r="B8" s="3">
        <v>10.8</v>
      </c>
    </row>
    <row r="9" spans="1:12" x14ac:dyDescent="0.25">
      <c r="A9" s="2"/>
      <c r="B9" s="3"/>
    </row>
    <row r="10" spans="1:12" x14ac:dyDescent="0.25">
      <c r="A10" s="2"/>
      <c r="B10" s="3"/>
    </row>
    <row r="11" spans="1:12" x14ac:dyDescent="0.25">
      <c r="A11" s="14"/>
      <c r="B11" s="4"/>
    </row>
    <row r="14" spans="1:12" x14ac:dyDescent="0.25">
      <c r="A14" t="s">
        <v>0</v>
      </c>
    </row>
    <row r="15" spans="1:12" x14ac:dyDescent="0.25">
      <c r="A15" s="5" t="s">
        <v>1</v>
      </c>
      <c r="B15" s="23" t="s">
        <v>41</v>
      </c>
      <c r="C15" s="23" t="s">
        <v>42</v>
      </c>
      <c r="D15" s="23" t="s">
        <v>43</v>
      </c>
      <c r="E15" s="23" t="s">
        <v>44</v>
      </c>
      <c r="F15" s="23" t="s">
        <v>45</v>
      </c>
      <c r="G15" s="23" t="s">
        <v>46</v>
      </c>
      <c r="H15" s="23" t="s">
        <v>47</v>
      </c>
    </row>
    <row r="16" spans="1:12" x14ac:dyDescent="0.25">
      <c r="A16" s="6" t="s">
        <v>2</v>
      </c>
      <c r="B16" s="24">
        <v>3.48</v>
      </c>
      <c r="C16" s="24">
        <v>8.5399999999999991</v>
      </c>
      <c r="D16" s="24">
        <v>4.74</v>
      </c>
      <c r="E16" s="24">
        <v>12.65</v>
      </c>
      <c r="F16" s="24"/>
      <c r="G16" s="24"/>
      <c r="H16" s="24"/>
    </row>
    <row r="17" spans="1:8" x14ac:dyDescent="0.25">
      <c r="A17" s="6" t="s">
        <v>32</v>
      </c>
      <c r="B17" s="25">
        <v>587</v>
      </c>
      <c r="C17" s="25">
        <v>587</v>
      </c>
      <c r="D17" s="25">
        <v>587</v>
      </c>
      <c r="E17" s="25">
        <v>587</v>
      </c>
      <c r="F17" s="25">
        <v>587</v>
      </c>
      <c r="G17" s="25">
        <v>587</v>
      </c>
      <c r="H17" s="25">
        <v>587</v>
      </c>
    </row>
    <row r="18" spans="1:8" x14ac:dyDescent="0.25">
      <c r="A18" s="6" t="s">
        <v>4</v>
      </c>
      <c r="B18" s="26">
        <f>40*B4</f>
        <v>2756</v>
      </c>
      <c r="C18" s="26">
        <f>30*B4+5*B5</f>
        <v>2163</v>
      </c>
      <c r="D18" s="26">
        <f>50*B5+250*B6</f>
        <v>9710</v>
      </c>
      <c r="E18" s="26">
        <f>20*B8+30*B7</f>
        <v>453</v>
      </c>
      <c r="F18" s="26"/>
      <c r="G18" s="26"/>
      <c r="H18" s="26"/>
    </row>
    <row r="19" spans="1:8" ht="14.25" customHeight="1" x14ac:dyDescent="0.25">
      <c r="A19" s="5" t="s">
        <v>13</v>
      </c>
      <c r="B19" s="27">
        <f>B18</f>
        <v>2756</v>
      </c>
      <c r="C19" s="27">
        <f t="shared" ref="C19:H19" si="0">C18</f>
        <v>2163</v>
      </c>
      <c r="D19" s="27">
        <f t="shared" si="0"/>
        <v>9710</v>
      </c>
      <c r="E19" s="27">
        <f t="shared" si="0"/>
        <v>453</v>
      </c>
      <c r="F19" s="27"/>
      <c r="G19" s="27">
        <f t="shared" si="0"/>
        <v>0</v>
      </c>
      <c r="H19" s="27">
        <f t="shared" si="0"/>
        <v>0</v>
      </c>
    </row>
    <row r="20" spans="1:8" ht="14.25" customHeight="1" x14ac:dyDescent="0.25">
      <c r="A20" s="7" t="s">
        <v>3</v>
      </c>
      <c r="B20" s="28">
        <f>B17/B16</f>
        <v>168.67816091954023</v>
      </c>
      <c r="C20" s="28">
        <f t="shared" ref="C20:H20" si="1">C17/C16</f>
        <v>68.735362997658086</v>
      </c>
      <c r="D20" s="28">
        <f t="shared" si="1"/>
        <v>123.83966244725738</v>
      </c>
      <c r="E20" s="28">
        <f t="shared" si="1"/>
        <v>46.403162055335969</v>
      </c>
      <c r="F20" s="28"/>
      <c r="G20" s="28" t="e">
        <f t="shared" si="1"/>
        <v>#DIV/0!</v>
      </c>
      <c r="H20" s="28" t="e">
        <f t="shared" si="1"/>
        <v>#DIV/0!</v>
      </c>
    </row>
    <row r="21" spans="1:8" ht="14.25" customHeight="1" x14ac:dyDescent="0.25"/>
    <row r="23" spans="1:8" x14ac:dyDescent="0.25">
      <c r="A23" s="8" t="s">
        <v>11</v>
      </c>
      <c r="B23" s="36">
        <v>78</v>
      </c>
      <c r="C23" s="36"/>
      <c r="D23" s="36"/>
      <c r="E23" s="36"/>
      <c r="F23" s="36"/>
      <c r="G23" s="36"/>
      <c r="H23" s="36"/>
    </row>
    <row r="24" spans="1:8" x14ac:dyDescent="0.25">
      <c r="A24" s="10" t="s">
        <v>30</v>
      </c>
      <c r="B24" s="31">
        <v>3080</v>
      </c>
      <c r="C24" s="31">
        <v>2210</v>
      </c>
      <c r="D24" s="31">
        <v>9500</v>
      </c>
      <c r="E24" s="31">
        <v>600</v>
      </c>
      <c r="F24" s="31" t="s">
        <v>50</v>
      </c>
      <c r="G24" s="31" t="s">
        <v>50</v>
      </c>
      <c r="H24" s="31" t="s">
        <v>50</v>
      </c>
    </row>
    <row r="25" spans="1:8" x14ac:dyDescent="0.25">
      <c r="A25" s="10" t="s">
        <v>14</v>
      </c>
      <c r="B25" s="35">
        <v>0.05</v>
      </c>
      <c r="C25" s="35"/>
      <c r="D25" s="35"/>
      <c r="E25" s="35"/>
      <c r="F25" s="35"/>
      <c r="G25" s="35"/>
      <c r="H25" s="35"/>
    </row>
    <row r="26" spans="1:8" x14ac:dyDescent="0.25">
      <c r="A26" s="10" t="s">
        <v>15</v>
      </c>
      <c r="B26" s="35">
        <v>0.25</v>
      </c>
      <c r="C26" s="35"/>
      <c r="D26" s="35"/>
      <c r="E26" s="35"/>
      <c r="F26" s="35"/>
      <c r="G26" s="35"/>
      <c r="H26" s="35"/>
    </row>
    <row r="27" spans="1:8" x14ac:dyDescent="0.25">
      <c r="A27" s="9" t="s">
        <v>31</v>
      </c>
      <c r="B27" s="36">
        <v>0</v>
      </c>
      <c r="C27" s="36"/>
      <c r="D27" s="36"/>
      <c r="E27" s="36"/>
      <c r="F27" s="36"/>
      <c r="G27" s="36"/>
      <c r="H27" s="36"/>
    </row>
    <row r="28" spans="1:8" x14ac:dyDescent="0.25">
      <c r="A28" s="10" t="s">
        <v>18</v>
      </c>
      <c r="B28" s="29">
        <f>B24-B30</f>
        <v>108.0730545091601</v>
      </c>
      <c r="C28" s="29">
        <f t="shared" ref="C28:H28" si="2">C24-C30</f>
        <v>-40.988966078234625</v>
      </c>
      <c r="D28" s="29">
        <f t="shared" si="2"/>
        <v>-368.52864352491997</v>
      </c>
      <c r="E28" s="29">
        <f t="shared" si="2"/>
        <v>87.598753335326251</v>
      </c>
      <c r="F28" s="29"/>
      <c r="G28" s="29" t="e">
        <f t="shared" si="2"/>
        <v>#VALUE!</v>
      </c>
      <c r="H28" s="29" t="e">
        <f t="shared" si="2"/>
        <v>#VALUE!</v>
      </c>
    </row>
    <row r="29" spans="1:8" x14ac:dyDescent="0.25">
      <c r="A29" s="10" t="s">
        <v>29</v>
      </c>
      <c r="B29" s="30">
        <f>$B$23*B16*24*(1+$B$25)</f>
        <v>6840.2879999999996</v>
      </c>
      <c r="C29" s="30">
        <f t="shared" ref="C29:H29" si="3">$B$23*C16*24*(1+$B$25)</f>
        <v>16786.223999999998</v>
      </c>
      <c r="D29" s="30">
        <f t="shared" si="3"/>
        <v>9316.9440000000013</v>
      </c>
      <c r="E29" s="30">
        <f t="shared" si="3"/>
        <v>24864.840000000004</v>
      </c>
      <c r="F29" s="30"/>
      <c r="G29" s="30">
        <f t="shared" si="3"/>
        <v>0</v>
      </c>
      <c r="H29" s="30">
        <f t="shared" si="3"/>
        <v>0</v>
      </c>
    </row>
    <row r="30" spans="1:8" x14ac:dyDescent="0.25">
      <c r="A30" s="10" t="s">
        <v>17</v>
      </c>
      <c r="B30" s="29">
        <f>B19+B20*(1+$B$23/170*(1-$B$26))/(1+$B$25)</f>
        <v>2971.9269454908399</v>
      </c>
      <c r="C30" s="29">
        <f t="shared" ref="C30:H30" si="4">C19+C20*(1+$B$23/170*(1-$B$26))/(1+$B$25)</f>
        <v>2250.9889660782346</v>
      </c>
      <c r="D30" s="29">
        <f t="shared" si="4"/>
        <v>9868.52864352492</v>
      </c>
      <c r="E30" s="29">
        <f t="shared" si="4"/>
        <v>512.40124666467375</v>
      </c>
      <c r="F30" s="29"/>
      <c r="G30" s="29" t="e">
        <f t="shared" si="4"/>
        <v>#DIV/0!</v>
      </c>
      <c r="H30" s="29" t="e">
        <f t="shared" si="4"/>
        <v>#DIV/0!</v>
      </c>
    </row>
    <row r="31" spans="1:8" x14ac:dyDescent="0.25">
      <c r="A31" s="9" t="s">
        <v>24</v>
      </c>
      <c r="B31" s="16">
        <f t="shared" ref="B31:H31" si="5">B30-B19-B20</f>
        <v>47.248784571299666</v>
      </c>
      <c r="C31" s="16">
        <f t="shared" si="5"/>
        <v>19.253603080576539</v>
      </c>
      <c r="D31" s="16">
        <f t="shared" si="5"/>
        <v>34.688981077662589</v>
      </c>
      <c r="E31" s="16">
        <f t="shared" si="5"/>
        <v>12.998084609337781</v>
      </c>
      <c r="F31" s="16"/>
      <c r="G31" s="16" t="e">
        <f t="shared" si="5"/>
        <v>#DIV/0!</v>
      </c>
      <c r="H31" s="16" t="e">
        <f t="shared" si="5"/>
        <v>#DIV/0!</v>
      </c>
    </row>
    <row r="32" spans="1:8" x14ac:dyDescent="0.25">
      <c r="A32" s="9" t="s">
        <v>12</v>
      </c>
      <c r="B32" s="12">
        <f>(B24-B19-B20*(1-0.03*$B$27)*(1+$B$23/170*(1-$B$26))*(1-$B$25))*$B$23*B16/(1-$B$25)*24</f>
        <v>744805.33746130019</v>
      </c>
      <c r="C32" s="12">
        <f t="shared" ref="C32:H32" si="6">(C24-C19-C20*(1-0.03*$B$27)*(1+$B$23/170*(1-$B$26))*(1-$B$25))*$B$23*C16/(1-$B$25)*24</f>
        <v>-686072.64148606826</v>
      </c>
      <c r="D32" s="12">
        <f t="shared" si="6"/>
        <v>-3438464.3888544897</v>
      </c>
      <c r="E32" s="12">
        <f t="shared" si="6"/>
        <v>2187289.716408669</v>
      </c>
      <c r="F32" s="12"/>
      <c r="G32" s="12" t="e">
        <f t="shared" si="6"/>
        <v>#VALUE!</v>
      </c>
      <c r="H32" s="12" t="e">
        <f t="shared" si="6"/>
        <v>#VALUE!</v>
      </c>
    </row>
    <row r="33" spans="1:8" ht="16.5" customHeight="1" x14ac:dyDescent="0.25"/>
    <row r="35" spans="1:8" x14ac:dyDescent="0.25">
      <c r="A35" s="8" t="s">
        <v>25</v>
      </c>
      <c r="B35" s="22">
        <f t="shared" ref="B35:H35" si="7">((B24-B19)*(1+B25)/B20-1)*170/2/(1-B26)</f>
        <v>115.24397501419647</v>
      </c>
      <c r="C35" s="22">
        <f t="shared" si="7"/>
        <v>-26.878534923339018</v>
      </c>
      <c r="D35" s="22">
        <f t="shared" si="7"/>
        <v>-229.13798977853492</v>
      </c>
      <c r="E35" s="22">
        <f t="shared" si="7"/>
        <v>184.27044293015331</v>
      </c>
      <c r="F35" s="22"/>
      <c r="G35" s="22" t="e">
        <f t="shared" si="7"/>
        <v>#VALUE!</v>
      </c>
      <c r="H35" s="22" t="e">
        <f t="shared" si="7"/>
        <v>#VALUE!</v>
      </c>
    </row>
    <row r="36" spans="1:8" x14ac:dyDescent="0.25">
      <c r="A36" s="9" t="s">
        <v>16</v>
      </c>
      <c r="B36" s="12">
        <f>(B24-B19-B20*(1-0.03*$B$27)*(1+B35/170*(1-$B$26))*(1-$B$25))*B35*B16/(1-$B$25)*24</f>
        <v>833670.74220770749</v>
      </c>
      <c r="C36" s="12">
        <f t="shared" ref="C36:H36" si="8">(C24-C19-C20*(1-0.03*$B$27)*(1+C35/170*(1-$B$26))*(1-$B$25))*C35*C16/(1-$B$25)*24</f>
        <v>61210.317821752004</v>
      </c>
      <c r="D36" s="12">
        <f t="shared" si="8"/>
        <v>5726925.3738366356</v>
      </c>
      <c r="E36" s="12">
        <f t="shared" si="8"/>
        <v>3950234.0955045745</v>
      </c>
      <c r="F36" s="12"/>
      <c r="G36" s="12" t="e">
        <f t="shared" si="8"/>
        <v>#VALUE!</v>
      </c>
      <c r="H36" s="12" t="e">
        <f t="shared" si="8"/>
        <v>#VALUE!</v>
      </c>
    </row>
  </sheetData>
  <sheetProtection selectLockedCells="1"/>
  <mergeCells count="4">
    <mergeCell ref="B23:H23"/>
    <mergeCell ref="B25:H25"/>
    <mergeCell ref="B26:H26"/>
    <mergeCell ref="B27:H27"/>
  </mergeCells>
  <conditionalFormatting sqref="B36:H36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35:H35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32:H32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39"/>
  <sheetViews>
    <sheetView topLeftCell="B4" workbookViewId="0">
      <selection activeCell="D12" sqref="D12"/>
    </sheetView>
  </sheetViews>
  <sheetFormatPr baseColWidth="10" defaultRowHeight="15" x14ac:dyDescent="0.25"/>
  <cols>
    <col min="1" max="1" width="51.7109375" customWidth="1"/>
    <col min="2" max="2" width="21.140625" bestFit="1" customWidth="1"/>
    <col min="3" max="3" width="18.85546875" bestFit="1" customWidth="1"/>
    <col min="4" max="4" width="17.140625" bestFit="1" customWidth="1"/>
    <col min="5" max="5" width="16" bestFit="1" customWidth="1"/>
    <col min="6" max="6" width="17.140625" bestFit="1" customWidth="1"/>
    <col min="9" max="9" width="27.5703125" bestFit="1" customWidth="1"/>
  </cols>
  <sheetData>
    <row r="2" spans="1:10" x14ac:dyDescent="0.25">
      <c r="A2" s="8" t="s">
        <v>5</v>
      </c>
      <c r="B2" s="13" t="s">
        <v>6</v>
      </c>
      <c r="I2" s="21" t="s">
        <v>19</v>
      </c>
    </row>
    <row r="3" spans="1:10" x14ac:dyDescent="0.25">
      <c r="A3" s="10" t="s">
        <v>9</v>
      </c>
      <c r="B3" s="11" t="s">
        <v>10</v>
      </c>
      <c r="I3" s="18" t="s">
        <v>22</v>
      </c>
      <c r="J3" s="18"/>
    </row>
    <row r="4" spans="1:10" x14ac:dyDescent="0.25">
      <c r="A4" s="1" t="s">
        <v>8</v>
      </c>
      <c r="B4" s="15">
        <v>875</v>
      </c>
      <c r="I4" s="19" t="s">
        <v>23</v>
      </c>
      <c r="J4" s="19"/>
    </row>
    <row r="5" spans="1:10" x14ac:dyDescent="0.25">
      <c r="A5" s="2" t="s">
        <v>56</v>
      </c>
      <c r="B5" s="3">
        <v>456</v>
      </c>
      <c r="I5" s="20" t="s">
        <v>20</v>
      </c>
      <c r="J5" s="20"/>
    </row>
    <row r="6" spans="1:10" x14ac:dyDescent="0.25">
      <c r="A6" s="2" t="s">
        <v>57</v>
      </c>
      <c r="B6" s="3">
        <v>119</v>
      </c>
      <c r="I6" s="17" t="s">
        <v>21</v>
      </c>
      <c r="J6" s="17"/>
    </row>
    <row r="7" spans="1:10" x14ac:dyDescent="0.25">
      <c r="A7" s="2" t="s">
        <v>58</v>
      </c>
      <c r="B7" s="3">
        <v>310</v>
      </c>
    </row>
    <row r="8" spans="1:10" x14ac:dyDescent="0.25">
      <c r="A8" s="2" t="s">
        <v>7</v>
      </c>
      <c r="B8" s="3">
        <v>10.8</v>
      </c>
    </row>
    <row r="9" spans="1:10" x14ac:dyDescent="0.25">
      <c r="A9" s="2" t="s">
        <v>27</v>
      </c>
      <c r="B9" s="3">
        <v>86.8</v>
      </c>
    </row>
    <row r="10" spans="1:10" x14ac:dyDescent="0.25">
      <c r="A10" s="2" t="s">
        <v>33</v>
      </c>
      <c r="B10" s="3">
        <v>230</v>
      </c>
    </row>
    <row r="11" spans="1:10" x14ac:dyDescent="0.25">
      <c r="A11" s="2" t="s">
        <v>39</v>
      </c>
      <c r="B11" s="3">
        <v>55.3</v>
      </c>
    </row>
    <row r="12" spans="1:10" x14ac:dyDescent="0.25">
      <c r="A12" s="2" t="s">
        <v>59</v>
      </c>
      <c r="B12" s="3">
        <v>11.5</v>
      </c>
    </row>
    <row r="13" spans="1:10" x14ac:dyDescent="0.25">
      <c r="A13" s="2" t="s">
        <v>37</v>
      </c>
      <c r="B13" s="3">
        <v>11550</v>
      </c>
    </row>
    <row r="14" spans="1:10" x14ac:dyDescent="0.25">
      <c r="A14" s="14"/>
      <c r="B14" s="4"/>
    </row>
    <row r="17" spans="1:6" x14ac:dyDescent="0.25">
      <c r="A17" t="s">
        <v>0</v>
      </c>
    </row>
    <row r="18" spans="1:6" x14ac:dyDescent="0.25">
      <c r="A18" s="5" t="s">
        <v>1</v>
      </c>
      <c r="B18" s="23" t="s">
        <v>51</v>
      </c>
      <c r="C18" s="23" t="s">
        <v>52</v>
      </c>
      <c r="D18" s="23" t="s">
        <v>53</v>
      </c>
      <c r="E18" s="23" t="s">
        <v>54</v>
      </c>
      <c r="F18" s="23" t="s">
        <v>55</v>
      </c>
    </row>
    <row r="19" spans="1:6" x14ac:dyDescent="0.25">
      <c r="A19" s="6" t="s">
        <v>2</v>
      </c>
      <c r="B19" s="24">
        <v>2.38</v>
      </c>
      <c r="C19" s="24">
        <v>2.38</v>
      </c>
      <c r="D19" s="24">
        <v>2.86</v>
      </c>
      <c r="E19" s="24">
        <v>13.1</v>
      </c>
      <c r="F19" s="24">
        <v>0.12</v>
      </c>
    </row>
    <row r="20" spans="1:6" x14ac:dyDescent="0.25">
      <c r="A20" s="6" t="s">
        <v>32</v>
      </c>
      <c r="B20" s="25">
        <v>725</v>
      </c>
      <c r="C20" s="25">
        <v>725</v>
      </c>
      <c r="D20" s="25">
        <v>725</v>
      </c>
      <c r="E20" s="25">
        <v>725</v>
      </c>
      <c r="F20" s="25">
        <v>725</v>
      </c>
    </row>
    <row r="21" spans="1:6" x14ac:dyDescent="0.25">
      <c r="A21" s="6" t="s">
        <v>4</v>
      </c>
      <c r="B21" s="26">
        <f>B4*4+2*B5</f>
        <v>4412</v>
      </c>
      <c r="C21" s="26">
        <f>4*B4+8*B6+1*B7</f>
        <v>4762</v>
      </c>
      <c r="D21" s="26">
        <f>3*B8+5*B9+3*B10</f>
        <v>1156.4000000000001</v>
      </c>
      <c r="E21" s="26">
        <f>B5+B9+3*B11+2*B12</f>
        <v>731.69999999999993</v>
      </c>
      <c r="F21" s="26">
        <f>4*B27+B13+8*B4+2*D27</f>
        <v>42170</v>
      </c>
    </row>
    <row r="22" spans="1:6" ht="14.25" customHeight="1" x14ac:dyDescent="0.25">
      <c r="A22" s="5" t="s">
        <v>13</v>
      </c>
      <c r="B22" s="27">
        <f>B21</f>
        <v>4412</v>
      </c>
      <c r="C22" s="27">
        <f t="shared" ref="C22:F22" si="0">C21</f>
        <v>4762</v>
      </c>
      <c r="D22" s="27">
        <f t="shared" si="0"/>
        <v>1156.4000000000001</v>
      </c>
      <c r="E22" s="27">
        <f t="shared" si="0"/>
        <v>731.69999999999993</v>
      </c>
      <c r="F22" s="27">
        <f t="shared" si="0"/>
        <v>42170</v>
      </c>
    </row>
    <row r="23" spans="1:6" ht="14.25" customHeight="1" x14ac:dyDescent="0.25">
      <c r="A23" s="7" t="s">
        <v>3</v>
      </c>
      <c r="B23" s="28">
        <f>B20/B19</f>
        <v>304.62184873949582</v>
      </c>
      <c r="C23" s="28">
        <f t="shared" ref="C23:F23" si="1">C20/C19</f>
        <v>304.62184873949582</v>
      </c>
      <c r="D23" s="28">
        <f t="shared" si="1"/>
        <v>253.49650349650352</v>
      </c>
      <c r="E23" s="28">
        <f t="shared" si="1"/>
        <v>55.343511450381683</v>
      </c>
      <c r="F23" s="28">
        <f t="shared" si="1"/>
        <v>6041.666666666667</v>
      </c>
    </row>
    <row r="24" spans="1:6" ht="14.25" customHeight="1" x14ac:dyDescent="0.25"/>
    <row r="26" spans="1:6" x14ac:dyDescent="0.25">
      <c r="A26" s="8" t="s">
        <v>11</v>
      </c>
      <c r="B26" s="32">
        <v>78</v>
      </c>
      <c r="C26" s="33"/>
      <c r="D26" s="33"/>
      <c r="E26" s="33"/>
      <c r="F26" s="34"/>
    </row>
    <row r="27" spans="1:6" x14ac:dyDescent="0.25">
      <c r="A27" s="10" t="s">
        <v>30</v>
      </c>
      <c r="B27" s="31">
        <v>5040</v>
      </c>
      <c r="C27" s="31">
        <v>5400</v>
      </c>
      <c r="D27" s="31">
        <v>1730</v>
      </c>
      <c r="E27" s="31">
        <v>855</v>
      </c>
      <c r="F27" s="31">
        <v>52000</v>
      </c>
    </row>
    <row r="28" spans="1:6" x14ac:dyDescent="0.25">
      <c r="A28" s="10" t="s">
        <v>14</v>
      </c>
      <c r="B28" s="35">
        <v>0.05</v>
      </c>
      <c r="C28" s="35"/>
      <c r="D28" s="35"/>
      <c r="E28" s="35"/>
      <c r="F28" s="35"/>
    </row>
    <row r="29" spans="1:6" x14ac:dyDescent="0.25">
      <c r="A29" s="10" t="s">
        <v>15</v>
      </c>
      <c r="B29" s="35">
        <v>0.25</v>
      </c>
      <c r="C29" s="35"/>
      <c r="D29" s="35"/>
      <c r="E29" s="35"/>
      <c r="F29" s="35"/>
    </row>
    <row r="30" spans="1:6" x14ac:dyDescent="0.25">
      <c r="A30" s="9" t="s">
        <v>31</v>
      </c>
      <c r="B30" s="36">
        <v>0</v>
      </c>
      <c r="C30" s="36"/>
      <c r="D30" s="36"/>
      <c r="E30" s="36"/>
      <c r="F30" s="36"/>
    </row>
    <row r="31" spans="1:6" x14ac:dyDescent="0.25">
      <c r="A31" s="10" t="s">
        <v>18</v>
      </c>
      <c r="B31" s="29">
        <f>B27-B33</f>
        <v>238.04990231386637</v>
      </c>
      <c r="C31" s="29">
        <f t="shared" ref="C31:F31" si="2">C27-C33</f>
        <v>248.04990231386637</v>
      </c>
      <c r="D31" s="29">
        <f t="shared" si="2"/>
        <v>249.09607255489595</v>
      </c>
      <c r="E31" s="29">
        <f t="shared" si="2"/>
        <v>52.454104389847657</v>
      </c>
      <c r="F31" s="29">
        <f t="shared" si="2"/>
        <v>2095.9897292250243</v>
      </c>
    </row>
    <row r="32" spans="1:6" x14ac:dyDescent="0.25">
      <c r="A32" s="10" t="s">
        <v>29</v>
      </c>
      <c r="B32" s="30">
        <f>$B$26*B19*24*(1+$B$28)</f>
        <v>4678.1279999999997</v>
      </c>
      <c r="C32" s="30">
        <f>$B$26*C19*24*(1+$B$28)</f>
        <v>4678.1279999999997</v>
      </c>
      <c r="D32" s="30">
        <f>$B$26*D19*24*(1+$B$28)</f>
        <v>5621.616</v>
      </c>
      <c r="E32" s="30">
        <f>$B$26*E19*24*(1+$B$28)</f>
        <v>25749.359999999997</v>
      </c>
      <c r="F32" s="30">
        <f>$B$26*F19*24*(1+$B$28)</f>
        <v>235.87199999999999</v>
      </c>
    </row>
    <row r="33" spans="1:6" x14ac:dyDescent="0.25">
      <c r="A33" s="10" t="s">
        <v>17</v>
      </c>
      <c r="B33" s="29">
        <f>B22+B23*(1+$B$26/170*(1-$B$29))/(1+$B$28)</f>
        <v>4801.9500976861336</v>
      </c>
      <c r="C33" s="29">
        <f>C22+C23*(1+$B$26/170*(1-$B$29))/(1+$B$28)</f>
        <v>5151.9500976861336</v>
      </c>
      <c r="D33" s="29">
        <f>D22+D23*(1+$B$26/170*(1-$B$29))/(1+$B$28)</f>
        <v>1480.903927445104</v>
      </c>
      <c r="E33" s="29">
        <f>E22+E23*(1+$B$26/170*(1-$B$29))/(1+$B$28)</f>
        <v>802.54589561015234</v>
      </c>
      <c r="F33" s="29">
        <f>F22+F23*(1+$B$26/170*(1-$B$29))/(1+$B$28)</f>
        <v>49904.010270774976</v>
      </c>
    </row>
    <row r="34" spans="1:6" x14ac:dyDescent="0.25">
      <c r="A34" s="9" t="s">
        <v>24</v>
      </c>
      <c r="B34" s="16">
        <f t="shared" ref="B34:F34" si="3">B33-B22-B23</f>
        <v>85.328248946637814</v>
      </c>
      <c r="C34" s="16">
        <f t="shared" si="3"/>
        <v>85.328248946637814</v>
      </c>
      <c r="D34" s="16">
        <f t="shared" si="3"/>
        <v>71.007423948600433</v>
      </c>
      <c r="E34" s="16">
        <f t="shared" si="3"/>
        <v>15.502384159770727</v>
      </c>
      <c r="F34" s="16">
        <f t="shared" si="3"/>
        <v>1692.3436041083087</v>
      </c>
    </row>
    <row r="35" spans="1:6" x14ac:dyDescent="0.25">
      <c r="A35" s="9" t="s">
        <v>12</v>
      </c>
      <c r="B35" s="12">
        <f>(B27-B22-B23*(1-0.03*$B$30)*(1+$B$26/170*(1-$B$29))*(1-$B$28))*$B$26*B19/(1-$B$28)*24</f>
        <v>1120990.9820433436</v>
      </c>
      <c r="C35" s="12">
        <f>(C27-C22-C23*(1-0.03*$B$30)*(1+$B$26/170*(1-$B$29))*(1-$B$28))*$B$26*C19/(1-$B$28)*24</f>
        <v>1167889.5083591328</v>
      </c>
      <c r="D35" s="12">
        <f>(D27-D22-D23*(1-0.03*$B$30)*(1+$B$26/170*(1-$B$29))*(1-$B$28))*$B$26*D19/(1-$B$28)*24</f>
        <v>1408404.0683591326</v>
      </c>
      <c r="E35" s="12">
        <f>(E27-E22-E23*(1-0.03*$B$30)*(1+$B$26/170*(1-$B$29))*(1-$B$28))*$B$26*E19/(1-$B$28)*24</f>
        <v>1358616.7504643979</v>
      </c>
      <c r="F35" s="12">
        <f>(F27-F22-F23*(1-0.03*$B$30)*(1+$B$26/170*(1-$B$29))*(1-$B$28))*$B$26*F19/(1-$B$28)*24</f>
        <v>500196.37151702779</v>
      </c>
    </row>
    <row r="36" spans="1:6" ht="16.5" customHeight="1" x14ac:dyDescent="0.25"/>
    <row r="38" spans="1:6" x14ac:dyDescent="0.25">
      <c r="A38" s="8" t="s">
        <v>25</v>
      </c>
      <c r="B38" s="22">
        <f t="shared" ref="B38:F38" si="4">((B27-B22)*(1+B28)/B23-1)*170/2/(1-B29)</f>
        <v>131.99378390804597</v>
      </c>
      <c r="C38" s="22">
        <f t="shared" si="4"/>
        <v>93.023999999999987</v>
      </c>
      <c r="D38" s="22">
        <f t="shared" si="4"/>
        <v>107.3340137931034</v>
      </c>
      <c r="E38" s="22">
        <f t="shared" si="4"/>
        <v>104.37179310344835</v>
      </c>
      <c r="F38" s="22">
        <f t="shared" si="4"/>
        <v>53.297931034482744</v>
      </c>
    </row>
    <row r="39" spans="1:6" x14ac:dyDescent="0.25">
      <c r="A39" s="9" t="s">
        <v>16</v>
      </c>
      <c r="B39" s="12">
        <f>(B27-B22-B23*(1-0.03*$B$30)*(1+B38/170*(1-$B$29))*(1-$B$28))*B38*B19/(1-$B$28)*24</f>
        <v>1349882.2545676546</v>
      </c>
      <c r="C39" s="12">
        <f>(C27-C22-C23*(1-0.03*$B$30)*(1+C38/170*(1-$B$29))*(1-$B$28))*C38*C19/(1-$B$28)*24</f>
        <v>1285557.2121599996</v>
      </c>
      <c r="D39" s="12">
        <f>(D27-D22-D23*(1-0.03*$B$30)*(1+D38/170*(1-$B$29))*(1-$B$28))*D38*D19/(1-$B$28)*24</f>
        <v>1696376.03526753</v>
      </c>
      <c r="E39" s="12">
        <f>(E27-E22-E23*(1-0.03*$B$30)*(1+E38/170*(1-$B$29))*(1-$B$28))*E38*E19/(1-$B$28)*24</f>
        <v>1606672.3013008016</v>
      </c>
      <c r="F39" s="12">
        <f>(F27-F22-F23*(1-0.03*$B$30)*(1+F38/170*(1-$B$29))*(1-$B$28))*F38*F19/(1-$B$28)*24</f>
        <v>442853.63102722313</v>
      </c>
    </row>
  </sheetData>
  <mergeCells count="4">
    <mergeCell ref="B26:F26"/>
    <mergeCell ref="B28:F28"/>
    <mergeCell ref="B29:F29"/>
    <mergeCell ref="B30:F30"/>
  </mergeCells>
  <conditionalFormatting sqref="B39:F39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38:F38">
    <cfRule type="colorScale" priority="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35:F35">
    <cfRule type="colorScale" priority="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Propulsion Factory Q3</vt:lpstr>
      <vt:lpstr>Aerospace Factory Q3</vt:lpstr>
      <vt:lpstr>Aerospace Electronics Q3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</dc:creator>
  <cp:lastModifiedBy>OF</cp:lastModifiedBy>
  <dcterms:created xsi:type="dcterms:W3CDTF">2021-07-09T21:28:07Z</dcterms:created>
  <dcterms:modified xsi:type="dcterms:W3CDTF">2021-07-28T20:51:41Z</dcterms:modified>
</cp:coreProperties>
</file>