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/>
  </bookViews>
  <sheets>
    <sheet name="BFR-OB-ST" sheetId="7" r:id="rId1"/>
    <sheet name="BFR-OB-ST-RE" sheetId="4" r:id="rId2"/>
    <sheet name="BFRr-OB-ST-RE" sheetId="9" r:id="rId3"/>
    <sheet name="BFR-OB-ST-RE-Fus-Prp" sheetId="10" r:id="rId4"/>
    <sheet name="SAT-Ion-HGEC" sheetId="3" r:id="rId5"/>
    <sheet name="RE-HGEC" sheetId="8" r:id="rId6"/>
    <sheet name="RE" sheetId="6" r:id="rId7"/>
    <sheet name="HGEC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6" l="1"/>
  <c r="B26" i="5"/>
  <c r="L26" i="8"/>
  <c r="K26" i="8"/>
  <c r="J26" i="8"/>
  <c r="I26" i="8"/>
  <c r="H26" i="8"/>
  <c r="G26" i="8"/>
  <c r="F26" i="8"/>
  <c r="E26" i="8"/>
  <c r="D26" i="8"/>
  <c r="C26" i="8"/>
  <c r="B26" i="8"/>
  <c r="L26" i="9"/>
  <c r="K26" i="9"/>
  <c r="J26" i="9"/>
  <c r="I26" i="9"/>
  <c r="H26" i="9"/>
  <c r="G26" i="9"/>
  <c r="F26" i="9"/>
  <c r="E26" i="9"/>
  <c r="D26" i="9"/>
  <c r="C26" i="9"/>
  <c r="B26" i="9"/>
  <c r="D26" i="3"/>
  <c r="E26" i="3"/>
  <c r="F26" i="3"/>
  <c r="G26" i="3"/>
  <c r="H26" i="3"/>
  <c r="I26" i="3"/>
  <c r="J26" i="3"/>
  <c r="K26" i="3"/>
  <c r="L26" i="3"/>
  <c r="C26" i="3"/>
  <c r="B26" i="3"/>
  <c r="I24" i="10" l="1"/>
  <c r="H24" i="10"/>
  <c r="G24" i="10"/>
  <c r="F24" i="10"/>
  <c r="E24" i="10"/>
  <c r="D24" i="10"/>
  <c r="C24" i="10"/>
  <c r="I19" i="10"/>
  <c r="H19" i="10"/>
  <c r="H20" i="10" s="1"/>
  <c r="G19" i="10"/>
  <c r="E20" i="10"/>
  <c r="F20" i="10"/>
  <c r="I20" i="10"/>
  <c r="J20" i="10"/>
  <c r="K20" i="10"/>
  <c r="L20" i="10"/>
  <c r="D20" i="10"/>
  <c r="F19" i="10"/>
  <c r="E19" i="10"/>
  <c r="D19" i="10"/>
  <c r="B24" i="10" l="1"/>
  <c r="I16" i="10"/>
  <c r="C16" i="10"/>
  <c r="F16" i="10" s="1"/>
  <c r="B39" i="9"/>
  <c r="B36" i="9"/>
  <c r="B17" i="9"/>
  <c r="B42" i="9"/>
  <c r="B43" i="9" s="1"/>
  <c r="B37" i="9"/>
  <c r="B38" i="9" s="1"/>
  <c r="B28" i="9"/>
  <c r="D24" i="9"/>
  <c r="F19" i="9"/>
  <c r="E19" i="9"/>
  <c r="D19" i="9"/>
  <c r="C19" i="9"/>
  <c r="F16" i="9"/>
  <c r="F24" i="9" s="1"/>
  <c r="C16" i="9"/>
  <c r="C24" i="9" s="1"/>
  <c r="B21" i="10" l="1"/>
  <c r="B20" i="10"/>
  <c r="B27" i="10"/>
  <c r="B35" i="9"/>
  <c r="E16" i="9"/>
  <c r="B19" i="8"/>
  <c r="C19" i="8"/>
  <c r="C24" i="8"/>
  <c r="B24" i="8"/>
  <c r="B42" i="3"/>
  <c r="B43" i="3" s="1"/>
  <c r="B39" i="3"/>
  <c r="B37" i="3"/>
  <c r="B38" i="3" s="1"/>
  <c r="B36" i="3"/>
  <c r="B42" i="5"/>
  <c r="B43" i="5" s="1"/>
  <c r="B39" i="5"/>
  <c r="B37" i="5"/>
  <c r="B38" i="5" s="1"/>
  <c r="B36" i="5"/>
  <c r="B42" i="6"/>
  <c r="B43" i="6" s="1"/>
  <c r="B39" i="6"/>
  <c r="B37" i="6"/>
  <c r="B35" i="6" s="1"/>
  <c r="B36" i="6"/>
  <c r="B36" i="4"/>
  <c r="D19" i="7"/>
  <c r="C19" i="7"/>
  <c r="D24" i="7"/>
  <c r="B24" i="7"/>
  <c r="C16" i="7"/>
  <c r="C24" i="7" s="1"/>
  <c r="L25" i="10" l="1"/>
  <c r="K25" i="10"/>
  <c r="J25" i="10"/>
  <c r="I25" i="10"/>
  <c r="H25" i="10"/>
  <c r="G25" i="10"/>
  <c r="D25" i="10"/>
  <c r="F25" i="10"/>
  <c r="B25" i="10"/>
  <c r="E25" i="10"/>
  <c r="B42" i="10"/>
  <c r="B37" i="10"/>
  <c r="C25" i="10"/>
  <c r="B20" i="9"/>
  <c r="E24" i="9"/>
  <c r="B21" i="9"/>
  <c r="B27" i="8"/>
  <c r="B35" i="3"/>
  <c r="B35" i="5"/>
  <c r="B38" i="6"/>
  <c r="I26" i="10" l="1"/>
  <c r="G26" i="10"/>
  <c r="C26" i="10"/>
  <c r="B26" i="10"/>
  <c r="H26" i="10"/>
  <c r="D26" i="10"/>
  <c r="F26" i="10"/>
  <c r="E26" i="10"/>
  <c r="L26" i="10"/>
  <c r="J26" i="10"/>
  <c r="K26" i="10"/>
  <c r="B43" i="10"/>
  <c r="B35" i="10"/>
  <c r="B38" i="10"/>
  <c r="B28" i="10"/>
  <c r="B27" i="9"/>
  <c r="J25" i="8"/>
  <c r="I25" i="8"/>
  <c r="H25" i="8"/>
  <c r="G25" i="8"/>
  <c r="F25" i="8"/>
  <c r="L25" i="8"/>
  <c r="K25" i="8"/>
  <c r="C25" i="8"/>
  <c r="E25" i="8"/>
  <c r="D25" i="8"/>
  <c r="B21" i="8"/>
  <c r="B25" i="8"/>
  <c r="B20" i="8"/>
  <c r="B21" i="7"/>
  <c r="B27" i="7"/>
  <c r="B20" i="7"/>
  <c r="E24" i="3"/>
  <c r="D24" i="3"/>
  <c r="C24" i="3"/>
  <c r="B24" i="3"/>
  <c r="B42" i="7" l="1"/>
  <c r="B37" i="7"/>
  <c r="B36" i="10"/>
  <c r="B39" i="10"/>
  <c r="J25" i="9"/>
  <c r="I25" i="9"/>
  <c r="H25" i="9"/>
  <c r="G25" i="9"/>
  <c r="L25" i="9"/>
  <c r="D25" i="9"/>
  <c r="K25" i="9"/>
  <c r="F25" i="9"/>
  <c r="B25" i="9"/>
  <c r="C25" i="9"/>
  <c r="E25" i="9"/>
  <c r="B42" i="8"/>
  <c r="B37" i="8"/>
  <c r="B28" i="8"/>
  <c r="B36" i="8" s="1"/>
  <c r="H25" i="7"/>
  <c r="K25" i="7"/>
  <c r="G25" i="7"/>
  <c r="L25" i="7"/>
  <c r="D25" i="7"/>
  <c r="J25" i="7"/>
  <c r="B25" i="7"/>
  <c r="I25" i="7"/>
  <c r="C25" i="7"/>
  <c r="F25" i="7"/>
  <c r="E25" i="7"/>
  <c r="B19" i="6"/>
  <c r="B20" i="6" s="1"/>
  <c r="F24" i="4"/>
  <c r="E24" i="4"/>
  <c r="D24" i="4"/>
  <c r="C24" i="4"/>
  <c r="B24" i="4"/>
  <c r="B24" i="6"/>
  <c r="B27" i="6" s="1"/>
  <c r="B21" i="6"/>
  <c r="L26" i="7" l="1"/>
  <c r="D26" i="7"/>
  <c r="K26" i="7"/>
  <c r="C26" i="7"/>
  <c r="E26" i="7"/>
  <c r="J26" i="7"/>
  <c r="B26" i="7"/>
  <c r="I26" i="7"/>
  <c r="H26" i="7"/>
  <c r="G26" i="7"/>
  <c r="F26" i="7"/>
  <c r="B35" i="7"/>
  <c r="B38" i="7"/>
  <c r="B43" i="8"/>
  <c r="B35" i="8"/>
  <c r="B38" i="8"/>
  <c r="B39" i="8"/>
  <c r="B28" i="7"/>
  <c r="B43" i="7" s="1"/>
  <c r="B25" i="6"/>
  <c r="B36" i="7" l="1"/>
  <c r="B39" i="7"/>
  <c r="B28" i="6"/>
  <c r="E19" i="3" l="1"/>
  <c r="D19" i="3"/>
  <c r="C19" i="3"/>
  <c r="B19" i="3"/>
  <c r="E16" i="3"/>
  <c r="D16" i="3"/>
  <c r="C16" i="3"/>
  <c r="B19" i="5"/>
  <c r="B24" i="5" l="1"/>
  <c r="B27" i="5" l="1"/>
  <c r="F19" i="4"/>
  <c r="E19" i="4"/>
  <c r="D19" i="4"/>
  <c r="C19" i="4"/>
  <c r="F16" i="4"/>
  <c r="C16" i="4"/>
  <c r="B20" i="5" l="1"/>
  <c r="B21" i="5"/>
  <c r="B25" i="5"/>
  <c r="B20" i="4"/>
  <c r="B27" i="4"/>
  <c r="C25" i="4" s="1"/>
  <c r="B21" i="4"/>
  <c r="E16" i="4"/>
  <c r="B20" i="3"/>
  <c r="B39" i="4" l="1"/>
  <c r="B37" i="4"/>
  <c r="F25" i="4"/>
  <c r="B28" i="5"/>
  <c r="B42" i="4"/>
  <c r="E25" i="4"/>
  <c r="I25" i="4"/>
  <c r="H25" i="4"/>
  <c r="G25" i="4"/>
  <c r="L25" i="4"/>
  <c r="D25" i="4"/>
  <c r="K25" i="4"/>
  <c r="J25" i="4"/>
  <c r="B25" i="4"/>
  <c r="B21" i="3"/>
  <c r="B38" i="4" l="1"/>
  <c r="B35" i="4"/>
  <c r="B43" i="4"/>
  <c r="J26" i="4"/>
  <c r="I26" i="4"/>
  <c r="H26" i="4"/>
  <c r="G26" i="4"/>
  <c r="F26" i="4"/>
  <c r="E26" i="4"/>
  <c r="L26" i="4"/>
  <c r="D26" i="4"/>
  <c r="K26" i="4"/>
  <c r="C26" i="4"/>
  <c r="B26" i="4"/>
  <c r="B28" i="4"/>
  <c r="B27" i="3"/>
  <c r="E25" i="3" s="1"/>
  <c r="I25" i="3" l="1"/>
  <c r="G25" i="3"/>
  <c r="J25" i="3"/>
  <c r="H25" i="3"/>
  <c r="L25" i="3"/>
  <c r="D25" i="3"/>
  <c r="K25" i="3"/>
  <c r="B25" i="3"/>
  <c r="F25" i="3"/>
  <c r="C25" i="3"/>
  <c r="B28" i="3" l="1"/>
</calcChain>
</file>

<file path=xl/sharedStrings.xml><?xml version="1.0" encoding="utf-8"?>
<sst xmlns="http://schemas.openxmlformats.org/spreadsheetml/2006/main" count="429" uniqueCount="90">
  <si>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</si>
  <si>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</si>
  <si>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</si>
  <si>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</si>
  <si>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</si>
  <si>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</si>
  <si>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</si>
  <si>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</si>
  <si>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</si>
  <si>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</si>
  <si>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</si>
  <si>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</si>
  <si>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>Steel</t>
  </si>
  <si>
    <t>HGEC</t>
  </si>
  <si>
    <t xml:space="preserve">Aluminium </t>
  </si>
  <si>
    <t>Name</t>
  </si>
  <si>
    <t>Price</t>
  </si>
  <si>
    <t>(Rp) Retail price, of the final product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</si>
  <si>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</si>
  <si>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</si>
  <si>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</si>
  <si>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</si>
  <si>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</si>
  <si>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</si>
  <si>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</si>
  <si>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</si>
  <si>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</si>
  <si>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</si>
  <si>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</si>
  <si>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</si>
  <si>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</si>
  <si>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</si>
  <si>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</si>
  <si>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</si>
  <si>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</si>
  <si>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</si>
  <si>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</si>
  <si>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</si>
  <si>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</si>
  <si>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</si>
  <si>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</si>
  <si>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</si>
  <si>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</si>
  <si>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</si>
  <si>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</si>
  <si>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</si>
  <si>
    <t>Attitude controller</t>
  </si>
  <si>
    <t>amount of self produced required products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</si>
  <si>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</si>
  <si>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</si>
  <si>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</si>
  <si>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</si>
  <si>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</si>
  <si>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</si>
  <si>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</si>
  <si>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</si>
  <si>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</si>
  <si>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Optimum Building levels</t>
  </si>
  <si>
    <t>Flight computer</t>
  </si>
  <si>
    <t>Attitude control</t>
  </si>
  <si>
    <t>Satellite</t>
  </si>
  <si>
    <t>Silicon</t>
  </si>
  <si>
    <t>Chemicals</t>
  </si>
  <si>
    <t>Golden bars</t>
  </si>
  <si>
    <t>Batteries</t>
  </si>
  <si>
    <t>Sat-HGEC</t>
  </si>
  <si>
    <t>Sat-Ion Drive</t>
  </si>
  <si>
    <t>Sat-Ion-HGEC</t>
  </si>
  <si>
    <t xml:space="preserve">HGEC </t>
  </si>
  <si>
    <t>RE</t>
  </si>
  <si>
    <t>Aluminium</t>
  </si>
  <si>
    <t>Required buildings to produce 1 end product in one hour</t>
  </si>
  <si>
    <t>Rocket Engines</t>
  </si>
  <si>
    <t>It's too expensive to buy Rocket engines :(</t>
  </si>
  <si>
    <t>Total Units daily</t>
  </si>
  <si>
    <t>BFR renting service</t>
  </si>
  <si>
    <t xml:space="preserve">It is profitable to rent VIF if retailing at more expensive prices </t>
  </si>
  <si>
    <t>OB-Fuselage</t>
  </si>
  <si>
    <t>OB-Propellant tank</t>
  </si>
  <si>
    <t>St-Propellant tank</t>
  </si>
  <si>
    <t>Carbon Composite</t>
  </si>
  <si>
    <t xml:space="preserve">Producing Fuselage is not even required! </t>
  </si>
  <si>
    <t xml:space="preserve">Market price of Fuselage is so low that it's better to buy it rather than producing it </t>
  </si>
  <si>
    <t xml:space="preserve">Rocket Fuel </t>
  </si>
  <si>
    <t>Heat Shield</t>
  </si>
  <si>
    <t xml:space="preserve">If retailing at the same price. It is not profitable </t>
  </si>
  <si>
    <t>Having the whole chain is too labor intensive and not so profitable… :(</t>
  </si>
  <si>
    <t xml:space="preserve">This method is the best if getting a good q3 rocket engine producer which sells cheap enough </t>
  </si>
  <si>
    <t xml:space="preserve">also, this strategy is only good for those who produce q5 BFRs </t>
  </si>
  <si>
    <t xml:space="preserve">Maybe having a hybrid model. Something between producing our own RE and also buying the rest of them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</si>
</sst>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0" xfId="2" applyFont="1" applyFill="1" applyBorder="1"/>
    <xf numFmtId="44" fontId="0" fillId="2" borderId="5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4" borderId="3" xfId="2" applyFont="1" applyFill="1" applyBorder="1"/>
    <xf numFmtId="44" fontId="0" fillId="4" borderId="8" xfId="2" applyFont="1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0" borderId="4" xfId="0" applyBorder="1"/>
    <xf numFmtId="10" fontId="0" fillId="4" borderId="14" xfId="0" applyNumberFormat="1" applyFill="1" applyBorder="1"/>
    <xf numFmtId="10" fontId="0" fillId="2" borderId="8" xfId="0" applyNumberFormat="1" applyFill="1" applyBorder="1"/>
    <xf numFmtId="0" fontId="0" fillId="0" borderId="5" xfId="0" applyBorder="1"/>
    <xf numFmtId="44" fontId="0" fillId="5" borderId="8" xfId="2" applyFont="1" applyFill="1" applyBorder="1"/>
    <xf numFmtId="0" fontId="0" fillId="0" borderId="3" xfId="0" applyBorder="1"/>
    <xf numFmtId="0" fontId="0" fillId="2" borderId="6" xfId="0" applyFill="1" applyBorder="1"/>
    <xf numFmtId="44" fontId="0" fillId="2" borderId="3" xfId="2" applyFont="1" applyFill="1" applyBorder="1"/>
    <xf numFmtId="44" fontId="0" fillId="3" borderId="0" xfId="2" applyFont="1" applyFill="1" applyBorder="1"/>
    <xf numFmtId="44" fontId="0" fillId="3" borderId="5" xfId="2" applyFont="1" applyFill="1" applyBorder="1"/>
    <xf numFmtId="0" fontId="0" fillId="3" borderId="0" xfId="0" applyFill="1" applyBorder="1"/>
    <xf numFmtId="0" fontId="0" fillId="3" borderId="5" xfId="0" applyFill="1" applyBorder="1"/>
    <xf numFmtId="44" fontId="0" fillId="4" borderId="8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4" borderId="5" xfId="0" applyFill="1" applyBorder="1"/>
    <xf numFmtId="0" fontId="0" fillId="5" borderId="3" xfId="0" applyFill="1" applyBorder="1"/>
    <xf numFmtId="10" fontId="0" fillId="2" borderId="5" xfId="0" applyNumberFormat="1" applyFill="1" applyBorder="1"/>
    <xf numFmtId="10" fontId="0" fillId="4" borderId="0" xfId="1" applyNumberFormat="1" applyFont="1" applyFill="1" applyBorder="1"/>
    <xf numFmtId="10" fontId="0" fillId="4" borderId="5" xfId="1" applyNumberFormat="1" applyFont="1" applyFill="1" applyBorder="1"/>
    <xf numFmtId="0" fontId="0" fillId="4" borderId="8" xfId="0" applyFill="1" applyBorder="1"/>
    <xf numFmtId="0" fontId="0" fillId="0" borderId="0" xfId="0" applyFill="1" applyBorder="1"/>
    <xf numFmtId="0" fontId="0" fillId="3" borderId="1" xfId="0" applyFill="1" applyBorder="1"/>
    <xf numFmtId="10" fontId="0" fillId="4" borderId="4" xfId="1" applyNumberFormat="1" applyFont="1" applyFill="1" applyBorder="1"/>
    <xf numFmtId="43" fontId="0" fillId="5" borderId="6" xfId="3" applyFont="1" applyFill="1" applyBorder="1"/>
    <xf numFmtId="43" fontId="0" fillId="5" borderId="7" xfId="3" applyFont="1" applyFill="1" applyBorder="1"/>
    <xf numFmtId="0" fontId="0" fillId="0" borderId="15" xfId="0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44" fontId="0" fillId="3" borderId="10" xfId="2" applyFont="1" applyFill="1" applyBorder="1"/>
    <xf numFmtId="44" fontId="0" fillId="2" borderId="10" xfId="2" applyFont="1" applyFill="1" applyBorder="1"/>
    <xf numFmtId="44" fontId="0" fillId="4" borderId="9" xfId="2" applyFont="1" applyFill="1" applyBorder="1"/>
    <xf numFmtId="44" fontId="0" fillId="4" borderId="11" xfId="2" applyFont="1" applyFill="1" applyBorder="1"/>
    <xf numFmtId="0" fontId="0" fillId="0" borderId="4" xfId="0" applyFill="1" applyBorder="1"/>
    <xf numFmtId="43" fontId="0" fillId="5" borderId="5" xfId="3" applyFont="1" applyFill="1" applyBorder="1"/>
    <xf numFmtId="10" fontId="0" fillId="4" borderId="8" xfId="0" applyNumberFormat="1" applyFill="1" applyBorder="1"/>
    <xf numFmtId="44" fontId="0" fillId="4" borderId="5" xfId="2" applyFont="1" applyFill="1" applyBorder="1"/>
    <xf numFmtId="10" fontId="0" fillId="0" borderId="0" xfId="0" applyNumberFormat="1"/>
    <xf numFmtId="44" fontId="0" fillId="0" borderId="0" xfId="0" applyNumberFormat="1"/>
    <xf numFmtId="1" fontId="0" fillId="4" borderId="5" xfId="0" applyNumberFormat="1" applyFill="1" applyBorder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1107622</xdr:colOff>
      <xdr:row>42</xdr:row>
      <xdr:rowOff>62593</xdr:rowOff>
    </xdr:from>
    <xdr:to>
      <xdr:col>5</xdr:col>
      <xdr:colOff>262978</xdr:colOff>
      <xdr:row>44</xdr:row>
      <xdr:rowOff>176962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1408" y="8022772"/>
          <a:ext cx="2597963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38</xdr:row>
      <xdr:rowOff>114300</xdr:rowOff>
    </xdr:from>
    <xdr:to>
      <xdr:col>4</xdr:col>
      <xdr:colOff>405309</xdr:colOff>
      <xdr:row>40</xdr:row>
      <xdr:rowOff>28538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3152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9525</xdr:rowOff>
    </xdr:from>
    <xdr:to>
      <xdr:col>6</xdr:col>
      <xdr:colOff>138353</xdr:colOff>
      <xdr:row>42</xdr:row>
      <xdr:rowOff>47570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7781925"/>
          <a:ext cx="3523809" cy="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43</xdr:row>
      <xdr:rowOff>76200</xdr:rowOff>
    </xdr:from>
    <xdr:to>
      <xdr:col>5</xdr:col>
      <xdr:colOff>31656</xdr:colOff>
      <xdr:row>46</xdr:row>
      <xdr:rowOff>69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058150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114300</xdr:rowOff>
    </xdr:from>
    <xdr:to>
      <xdr:col>4</xdr:col>
      <xdr:colOff>418916</xdr:colOff>
      <xdr:row>41</xdr:row>
      <xdr:rowOff>28538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3152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41</xdr:row>
      <xdr:rowOff>66675</xdr:rowOff>
    </xdr:from>
    <xdr:to>
      <xdr:col>6</xdr:col>
      <xdr:colOff>161485</xdr:colOff>
      <xdr:row>43</xdr:row>
      <xdr:rowOff>104720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6825" y="7839075"/>
          <a:ext cx="3523809" cy="4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43</xdr:row>
      <xdr:rowOff>76200</xdr:rowOff>
    </xdr:from>
    <xdr:to>
      <xdr:col>5</xdr:col>
      <xdr:colOff>467085</xdr:colOff>
      <xdr:row>46</xdr:row>
      <xdr:rowOff>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248650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114300</xdr:rowOff>
    </xdr:from>
    <xdr:to>
      <xdr:col>4</xdr:col>
      <xdr:colOff>609415</xdr:colOff>
      <xdr:row>41</xdr:row>
      <xdr:rowOff>28538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5057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41</xdr:row>
      <xdr:rowOff>38100</xdr:rowOff>
    </xdr:from>
    <xdr:to>
      <xdr:col>6</xdr:col>
      <xdr:colOff>371034</xdr:colOff>
      <xdr:row>43</xdr:row>
      <xdr:rowOff>76145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95875" y="7810500"/>
          <a:ext cx="3523809" cy="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43</xdr:row>
      <xdr:rowOff>76200</xdr:rowOff>
    </xdr:from>
    <xdr:to>
      <xdr:col>5</xdr:col>
      <xdr:colOff>390885</xdr:colOff>
      <xdr:row>46</xdr:row>
      <xdr:rowOff>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248650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114300</xdr:rowOff>
    </xdr:from>
    <xdr:to>
      <xdr:col>4</xdr:col>
      <xdr:colOff>287945</xdr:colOff>
      <xdr:row>41</xdr:row>
      <xdr:rowOff>28538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5057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41</xdr:row>
      <xdr:rowOff>57150</xdr:rowOff>
    </xdr:from>
    <xdr:to>
      <xdr:col>6</xdr:col>
      <xdr:colOff>399609</xdr:colOff>
      <xdr:row>43</xdr:row>
      <xdr:rowOff>95195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7829550"/>
          <a:ext cx="3523809" cy="4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75533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36</xdr:row>
      <xdr:rowOff>180975</xdr:rowOff>
    </xdr:from>
    <xdr:to>
      <xdr:col>4</xdr:col>
      <xdr:colOff>590365</xdr:colOff>
      <xdr:row>38</xdr:row>
      <xdr:rowOff>95213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7000875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895350</xdr:colOff>
      <xdr:row>38</xdr:row>
      <xdr:rowOff>76200</xdr:rowOff>
    </xdr:from>
    <xdr:to>
      <xdr:col>6</xdr:col>
      <xdr:colOff>332934</xdr:colOff>
      <xdr:row>40</xdr:row>
      <xdr:rowOff>133295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7775" y="7277100"/>
          <a:ext cx="3523809" cy="4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85794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171450</xdr:rowOff>
    </xdr:from>
    <xdr:to>
      <xdr:col>4</xdr:col>
      <xdr:colOff>580840</xdr:colOff>
      <xdr:row>38</xdr:row>
      <xdr:rowOff>85688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699135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36</xdr:row>
      <xdr:rowOff>180975</xdr:rowOff>
    </xdr:from>
    <xdr:to>
      <xdr:col>4</xdr:col>
      <xdr:colOff>590365</xdr:colOff>
      <xdr:row>38</xdr:row>
      <xdr:rowOff>95213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7000875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57150</xdr:rowOff>
    </xdr:from>
    <xdr:to>
      <xdr:col>6</xdr:col>
      <xdr:colOff>342459</xdr:colOff>
      <xdr:row>40</xdr:row>
      <xdr:rowOff>114245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7258050"/>
          <a:ext cx="3523809" cy="438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38</xdr:row>
      <xdr:rowOff>114300</xdr:rowOff>
    </xdr:from>
    <xdr:to>
      <xdr:col>6</xdr:col>
      <xdr:colOff>152887</xdr:colOff>
      <xdr:row>41</xdr:row>
      <xdr:rowOff>57224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3152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171450</xdr:rowOff>
    </xdr:from>
    <xdr:to>
      <xdr:col>4</xdr:col>
      <xdr:colOff>580840</xdr:colOff>
      <xdr:row>38</xdr:row>
      <xdr:rowOff>85688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6991350"/>
          <a:ext cx="1476190" cy="2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57150</xdr:rowOff>
    </xdr:from>
    <xdr:to>
      <xdr:col>6</xdr:col>
      <xdr:colOff>200512</xdr:colOff>
      <xdr:row>41</xdr:row>
      <xdr:rowOff>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25805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857250</xdr:colOff>
      <xdr:row>40</xdr:row>
      <xdr:rowOff>161925</xdr:rowOff>
    </xdr:from>
    <xdr:to>
      <xdr:col>5</xdr:col>
      <xdr:colOff>448035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9675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36</xdr:row>
      <xdr:rowOff>104775</xdr:rowOff>
    </xdr:from>
    <xdr:to>
      <xdr:col>4</xdr:col>
      <xdr:colOff>590365</xdr:colOff>
      <xdr:row>38</xdr:row>
      <xdr:rowOff>19013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6825" y="6924675"/>
          <a:ext cx="1476190" cy="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abSelected="1" topLeftCell="A25" zoomScale="70" zoomScaleNormal="70" workbookViewId="0">
      <selection activeCell="I45" sqref="I45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7.140625" customWidth="1"/>
    <col min="4" max="4" width="16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</v>
      </c>
      <c r="B4" s="30">
        <v>2840</v>
      </c>
      <c r="E4" s="38" t="s">
        <v>54</v>
      </c>
      <c r="F4" s="38"/>
    </row>
    <row r="5" spans="1:13" x14ac:dyDescent="0.25">
      <c r="A5" s="4" t="s">
        <v>9</v>
      </c>
      <c r="B5" s="8">
        <v>9475</v>
      </c>
      <c r="E5" s="39" t="s">
        <v>51</v>
      </c>
      <c r="F5" s="39"/>
    </row>
    <row r="6" spans="1:13" x14ac:dyDescent="0.25">
      <c r="A6" s="4" t="s">
        <v>10</v>
      </c>
      <c r="B6" s="8">
        <v>5150</v>
      </c>
      <c r="E6" s="36" t="s">
        <v>52</v>
      </c>
      <c r="F6" s="36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46</v>
      </c>
      <c r="B8" s="8">
        <v>1480</v>
      </c>
    </row>
    <row r="9" spans="1:13" x14ac:dyDescent="0.25">
      <c r="A9" s="4" t="s">
        <v>72</v>
      </c>
      <c r="B9" s="8">
        <v>11300</v>
      </c>
    </row>
    <row r="10" spans="1:13" x14ac:dyDescent="0.25">
      <c r="A10" s="4"/>
      <c r="B10" s="8"/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2</v>
      </c>
      <c r="C15" s="2" t="s">
        <v>26</v>
      </c>
      <c r="D15" s="2" t="s">
        <v>27</v>
      </c>
      <c r="E15" s="2"/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1</v>
      </c>
      <c r="E16" s="5"/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0.21</v>
      </c>
      <c r="C17" s="33">
        <v>1.5</v>
      </c>
      <c r="D17" s="33">
        <v>0.3</v>
      </c>
      <c r="E17" s="33"/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3600</v>
      </c>
      <c r="C18" s="31">
        <v>390</v>
      </c>
      <c r="D18" s="31">
        <v>1950</v>
      </c>
      <c r="E18" s="31"/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v>0</v>
      </c>
      <c r="C19" s="9">
        <f>40*B4+16*B5+34*B9</f>
        <v>649400</v>
      </c>
      <c r="D19" s="9">
        <f>2*B6+10*B7+4*B8+6*B5+7*B9</f>
        <v>156570</v>
      </c>
      <c r="E19" s="9"/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805970</v>
      </c>
    </row>
    <row r="21" spans="1:13" ht="14.25" customHeight="1" x14ac:dyDescent="0.25">
      <c r="A21" s="13" t="s">
        <v>43</v>
      </c>
      <c r="B21" s="18">
        <f>SUMPRODUCT(B18:L18,B16:L16)</f>
        <v>5940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B16/B17</f>
        <v>4.7619047619047619</v>
      </c>
      <c r="C24" s="20">
        <f>1/C17*C16</f>
        <v>0.66666666666666663</v>
      </c>
      <c r="D24" s="20">
        <f>1/D17*D16</f>
        <v>3.3333333333333335</v>
      </c>
      <c r="E24" s="20"/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0.54347826086956519</v>
      </c>
      <c r="C25" s="44">
        <f t="shared" ref="C25:L25" si="0">C24/$B$27</f>
        <v>7.6086956521739121E-2</v>
      </c>
      <c r="D25" s="44">
        <f t="shared" si="0"/>
        <v>0.38043478260869562</v>
      </c>
      <c r="E25" s="44">
        <f t="shared" si="0"/>
        <v>0</v>
      </c>
      <c r="F25" s="44">
        <f t="shared" si="0"/>
        <v>0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B25*$B$42</f>
        <v>108.54482675134848</v>
      </c>
      <c r="C26" s="51">
        <f>C25*$B$42</f>
        <v>15.196275745188785</v>
      </c>
      <c r="D26" s="51">
        <f t="shared" ref="D26:L26" si="1">D25*$B$42</f>
        <v>75.981378725943927</v>
      </c>
      <c r="E26" s="51">
        <f t="shared" si="1"/>
        <v>0</v>
      </c>
      <c r="F26" s="51">
        <f t="shared" si="1"/>
        <v>0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1">
        <f t="shared" si="1"/>
        <v>0</v>
      </c>
    </row>
    <row r="27" spans="1:13" x14ac:dyDescent="0.25">
      <c r="A27" s="13" t="s">
        <v>22</v>
      </c>
      <c r="B27" s="46">
        <f>SUM(B24:L24)</f>
        <v>8.7619047619047628</v>
      </c>
    </row>
    <row r="28" spans="1:13" x14ac:dyDescent="0.25">
      <c r="A28" s="14" t="s">
        <v>44</v>
      </c>
      <c r="B28" s="24">
        <f>B25</f>
        <v>0.54347826086956519</v>
      </c>
    </row>
    <row r="31" spans="1:13" x14ac:dyDescent="0.25">
      <c r="A31" s="19" t="s">
        <v>18</v>
      </c>
      <c r="B31" s="3">
        <v>70</v>
      </c>
      <c r="E31" s="64"/>
    </row>
    <row r="32" spans="1:13" x14ac:dyDescent="0.25">
      <c r="A32" s="23" t="s">
        <v>17</v>
      </c>
      <c r="B32" s="8">
        <v>820000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6992.7817482133396</v>
      </c>
    </row>
    <row r="36" spans="1:2" x14ac:dyDescent="0.25">
      <c r="A36" s="23" t="s">
        <v>74</v>
      </c>
      <c r="B36" s="66">
        <f>B31*B28*B17*24</f>
        <v>191.73913043478257</v>
      </c>
    </row>
    <row r="37" spans="1:2" x14ac:dyDescent="0.25">
      <c r="A37" s="23" t="s">
        <v>48</v>
      </c>
      <c r="B37" s="63">
        <f>B20+B21*(1+B31/170*(1-B34))/(1+B33)</f>
        <v>813007.21825178666</v>
      </c>
    </row>
    <row r="38" spans="1:2" x14ac:dyDescent="0.25">
      <c r="A38" s="22" t="s">
        <v>55</v>
      </c>
      <c r="B38" s="35">
        <f>B37-B20-B21</f>
        <v>1097.2182517866604</v>
      </c>
    </row>
    <row r="39" spans="1:2" x14ac:dyDescent="0.25">
      <c r="A39" s="22" t="s">
        <v>25</v>
      </c>
      <c r="B39" s="27">
        <f>(B32-B20-(B31*(1-B34)/170+1)*B21/(1+B33))*B31*B28*B17*24</f>
        <v>1340789.8917226379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199.72248122248121</v>
      </c>
    </row>
    <row r="43" spans="1:2" x14ac:dyDescent="0.25">
      <c r="A43" s="22" t="s">
        <v>45</v>
      </c>
      <c r="B43" s="27">
        <f>(B32-B20-((B42*(1-B34)/170+1)*B21/(1+B33)))*B42*B28*B17*24</f>
        <v>2319176.0723202713</v>
      </c>
    </row>
    <row r="49" spans="1:1" x14ac:dyDescent="0.25">
      <c r="A49" t="s">
        <v>73</v>
      </c>
    </row>
    <row r="50" spans="1:1" x14ac:dyDescent="0.25">
      <c r="A50" t="s">
        <v>87</v>
      </c>
    </row>
    <row r="51" spans="1:1" x14ac:dyDescent="0.25">
      <c r="A51" t="s">
        <v>88</v>
      </c>
    </row>
    <row r="52" spans="1:1" x14ac:dyDescent="0.25">
      <c r="A52" t="s">
        <v>89</v>
      </c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3" zoomScale="70" zoomScaleNormal="70" workbookViewId="0">
      <selection activeCell="B42" sqref="B42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7.42578125" customWidth="1"/>
    <col min="4" max="4" width="16.285156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</v>
      </c>
      <c r="B4" s="30">
        <v>2840</v>
      </c>
      <c r="E4" s="38" t="s">
        <v>54</v>
      </c>
      <c r="F4" s="38"/>
    </row>
    <row r="5" spans="1:13" x14ac:dyDescent="0.25">
      <c r="A5" s="4" t="s">
        <v>9</v>
      </c>
      <c r="B5" s="8">
        <v>9475</v>
      </c>
      <c r="E5" s="39" t="s">
        <v>51</v>
      </c>
      <c r="F5" s="39"/>
    </row>
    <row r="6" spans="1:13" x14ac:dyDescent="0.25">
      <c r="A6" s="4" t="s">
        <v>10</v>
      </c>
      <c r="B6" s="8">
        <v>5150</v>
      </c>
      <c r="E6" s="36" t="s">
        <v>52</v>
      </c>
      <c r="F6" s="36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46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830</v>
      </c>
    </row>
    <row r="11" spans="1:13" x14ac:dyDescent="0.25">
      <c r="A11" s="29" t="s">
        <v>14</v>
      </c>
      <c r="B11" s="10">
        <v>18.7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2</v>
      </c>
      <c r="C15" s="2" t="s">
        <v>26</v>
      </c>
      <c r="D15" s="2" t="s">
        <v>27</v>
      </c>
      <c r="E15" s="2" t="s">
        <v>28</v>
      </c>
      <c r="F15" s="2" t="s">
        <v>29</v>
      </c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0.21</v>
      </c>
      <c r="C17" s="33">
        <v>1.5</v>
      </c>
      <c r="D17" s="33">
        <v>0.3</v>
      </c>
      <c r="E17" s="33">
        <v>0.28000000000000003</v>
      </c>
      <c r="F17" s="33">
        <v>0.28000000000000003</v>
      </c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3600</v>
      </c>
      <c r="C18" s="31">
        <v>390</v>
      </c>
      <c r="D18" s="31">
        <v>1950</v>
      </c>
      <c r="E18" s="31">
        <v>2220</v>
      </c>
      <c r="F18" s="31">
        <v>2220</v>
      </c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v>0</v>
      </c>
      <c r="C19" s="9">
        <f>40*B4+16*B5</f>
        <v>265200</v>
      </c>
      <c r="D19" s="9">
        <f>2*B6+10*B7+4*B8+6*B5</f>
        <v>77470</v>
      </c>
      <c r="E19" s="9">
        <f>20*B9+8*B10+10*B11</f>
        <v>7039</v>
      </c>
      <c r="F19" s="9">
        <f>20*B9+8*B10+10*B11</f>
        <v>7039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631269</v>
      </c>
    </row>
    <row r="21" spans="1:13" ht="14.25" customHeight="1" x14ac:dyDescent="0.25">
      <c r="A21" s="13" t="s">
        <v>43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B16/B17</f>
        <v>4.7619047619047619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3.0684258975145751E-2</v>
      </c>
      <c r="C25" s="44">
        <f t="shared" ref="C25:L25" si="0">C24/$B$27</f>
        <v>4.2957962565204049E-3</v>
      </c>
      <c r="D25" s="44">
        <f t="shared" si="0"/>
        <v>2.147898128260203E-2</v>
      </c>
      <c r="E25" s="44">
        <f t="shared" si="0"/>
        <v>0.78244860386621662</v>
      </c>
      <c r="F25" s="44">
        <f t="shared" si="0"/>
        <v>0.16109235961951521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B25*$B$42</f>
        <v>4.3445434727165226</v>
      </c>
      <c r="C26" s="51">
        <f>C25*$B$42</f>
        <v>0.60823608618031311</v>
      </c>
      <c r="D26" s="51">
        <f t="shared" ref="D26:L26" si="1">D25*$B$42</f>
        <v>3.0411804309015666</v>
      </c>
      <c r="E26" s="51">
        <f t="shared" si="1"/>
        <v>110.78585855427133</v>
      </c>
      <c r="F26" s="51">
        <f t="shared" si="1"/>
        <v>22.808853231761745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1">
        <f t="shared" si="1"/>
        <v>0</v>
      </c>
    </row>
    <row r="27" spans="1:13" x14ac:dyDescent="0.25">
      <c r="A27" s="13" t="s">
        <v>22</v>
      </c>
      <c r="B27" s="46">
        <f>SUM(B24:L24)</f>
        <v>155.19047619047618</v>
      </c>
    </row>
    <row r="28" spans="1:13" x14ac:dyDescent="0.25">
      <c r="A28" s="14" t="s">
        <v>44</v>
      </c>
      <c r="B28" s="24">
        <f>B25</f>
        <v>3.0684258975145751E-2</v>
      </c>
    </row>
    <row r="31" spans="1:13" x14ac:dyDescent="0.25">
      <c r="A31" s="19" t="s">
        <v>18</v>
      </c>
      <c r="B31" s="3">
        <v>155.19</v>
      </c>
      <c r="E31" s="64"/>
    </row>
    <row r="32" spans="1:13" x14ac:dyDescent="0.25">
      <c r="A32" s="23" t="s">
        <v>17</v>
      </c>
      <c r="B32" s="8">
        <v>820000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44344.553820780711</v>
      </c>
    </row>
    <row r="36" spans="1:2" x14ac:dyDescent="0.25">
      <c r="A36" s="23" t="s">
        <v>74</v>
      </c>
      <c r="B36" s="66">
        <f>B31*B28*B17*24</f>
        <v>23.999926357778456</v>
      </c>
    </row>
    <row r="37" spans="1:2" x14ac:dyDescent="0.25">
      <c r="A37" s="23" t="s">
        <v>48</v>
      </c>
      <c r="B37" s="63">
        <f>B20+B21*(1+B31/170*(1-B34))/(1+B33)</f>
        <v>775655.44617921929</v>
      </c>
    </row>
    <row r="38" spans="1:2" x14ac:dyDescent="0.25">
      <c r="A38" s="22" t="s">
        <v>55</v>
      </c>
      <c r="B38" s="35">
        <f>B37-B20-B21</f>
        <v>47426.446179219289</v>
      </c>
    </row>
    <row r="39" spans="1:2" x14ac:dyDescent="0.25">
      <c r="A39" s="22" t="s">
        <v>25</v>
      </c>
      <c r="B39" s="27">
        <f>(B32-B20-(B31*(1-B34)/170+1)*B21/(1+B33))*B31*B28*B17*24</f>
        <v>1064266.026067279</v>
      </c>
    </row>
    <row r="42" spans="1:2" ht="16.5" customHeight="1" x14ac:dyDescent="0.25">
      <c r="A42" s="19" t="s">
        <v>56</v>
      </c>
      <c r="B42" s="42">
        <f>((B32-B20)*(1+B33)/B21-1)*170/2/(1-B34)</f>
        <v>141.58867177583147</v>
      </c>
    </row>
    <row r="43" spans="1:2" x14ac:dyDescent="0.25">
      <c r="A43" s="22" t="s">
        <v>45</v>
      </c>
      <c r="B43" s="27">
        <f>(B32-B20-((B42*(1-B34)/170+1)*B21/(1+B33)))*B42*B28*B17*24</f>
        <v>1074178.50055261</v>
      </c>
    </row>
  </sheetData>
  <sheetProtection select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13" zoomScale="80" zoomScaleNormal="80" workbookViewId="0">
      <selection activeCell="D36" sqref="D36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</v>
      </c>
      <c r="B4" s="30">
        <v>2840</v>
      </c>
      <c r="E4" s="38" t="s">
        <v>54</v>
      </c>
      <c r="F4" s="38"/>
    </row>
    <row r="5" spans="1:13" x14ac:dyDescent="0.25">
      <c r="A5" s="4" t="s">
        <v>9</v>
      </c>
      <c r="B5" s="8">
        <v>9475</v>
      </c>
      <c r="E5" s="39" t="s">
        <v>51</v>
      </c>
      <c r="F5" s="39"/>
    </row>
    <row r="6" spans="1:13" x14ac:dyDescent="0.25">
      <c r="A6" s="4" t="s">
        <v>10</v>
      </c>
      <c r="B6" s="8">
        <v>5150</v>
      </c>
      <c r="E6" s="36" t="s">
        <v>52</v>
      </c>
      <c r="F6" s="36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46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820</v>
      </c>
    </row>
    <row r="11" spans="1:13" x14ac:dyDescent="0.25">
      <c r="A11" s="29" t="s">
        <v>14</v>
      </c>
      <c r="B11" s="10">
        <v>18.7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75</v>
      </c>
      <c r="C15" s="2" t="s">
        <v>26</v>
      </c>
      <c r="D15" s="2" t="s">
        <v>27</v>
      </c>
      <c r="E15" s="2" t="s">
        <v>28</v>
      </c>
      <c r="F15" s="2" t="s">
        <v>29</v>
      </c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f>1/(1/C17+1/D17)</f>
        <v>0.25</v>
      </c>
      <c r="C17" s="33">
        <v>1.5</v>
      </c>
      <c r="D17" s="33">
        <v>0.3</v>
      </c>
      <c r="E17" s="33">
        <v>0.28000000000000003</v>
      </c>
      <c r="F17" s="33">
        <v>0.28000000000000003</v>
      </c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0</v>
      </c>
      <c r="C18" s="31">
        <v>390</v>
      </c>
      <c r="D18" s="31">
        <v>1950</v>
      </c>
      <c r="E18" s="31">
        <v>2220</v>
      </c>
      <c r="F18" s="31">
        <v>2220</v>
      </c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v>12000</v>
      </c>
      <c r="C19" s="9">
        <f>40*B4+16*B5</f>
        <v>265200</v>
      </c>
      <c r="D19" s="9">
        <f>2*B6+10*B7+4*B8+6*B5</f>
        <v>77470</v>
      </c>
      <c r="E19" s="9">
        <f>20*B9+8*B10+10*B11</f>
        <v>6959</v>
      </c>
      <c r="F19" s="9">
        <f>20*B9+8*B10+10*B11</f>
        <v>6959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639989</v>
      </c>
    </row>
    <row r="21" spans="1:13" ht="14.25" customHeight="1" x14ac:dyDescent="0.25">
      <c r="A21" s="13" t="s">
        <v>43</v>
      </c>
      <c r="B21" s="18">
        <f>SUMPRODUCT(B18:L18,B16:L16)</f>
        <v>93360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v>0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0</v>
      </c>
      <c r="C25" s="44">
        <f t="shared" ref="C25:L25" si="0">C24/$B$27</f>
        <v>4.4317822095599878E-3</v>
      </c>
      <c r="D25" s="44">
        <f t="shared" si="0"/>
        <v>2.2158911047799941E-2</v>
      </c>
      <c r="E25" s="44">
        <f t="shared" si="0"/>
        <v>0.80721747388414056</v>
      </c>
      <c r="F25" s="44">
        <f t="shared" si="0"/>
        <v>0.16619183285849953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B25*$B$42</f>
        <v>0</v>
      </c>
      <c r="C26" s="51">
        <f>C25*$B$42</f>
        <v>0.61611445236032358</v>
      </c>
      <c r="D26" s="51">
        <f t="shared" ref="D26:L26" si="1">D25*$B$42</f>
        <v>3.0805722618016178</v>
      </c>
      <c r="E26" s="51">
        <f t="shared" si="1"/>
        <v>112.22084667991606</v>
      </c>
      <c r="F26" s="51">
        <f t="shared" si="1"/>
        <v>23.104291963512132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1">
        <f t="shared" si="1"/>
        <v>0</v>
      </c>
    </row>
    <row r="27" spans="1:13" x14ac:dyDescent="0.25">
      <c r="A27" s="13" t="s">
        <v>22</v>
      </c>
      <c r="B27" s="46">
        <f>SUM(B24:L24)</f>
        <v>150.42857142857142</v>
      </c>
    </row>
    <row r="28" spans="1:13" x14ac:dyDescent="0.25">
      <c r="A28" s="14" t="s">
        <v>44</v>
      </c>
      <c r="B28" s="24">
        <f>C25+D25</f>
        <v>2.6590693257359931E-2</v>
      </c>
    </row>
    <row r="31" spans="1:13" x14ac:dyDescent="0.25">
      <c r="A31" s="19" t="s">
        <v>18</v>
      </c>
      <c r="B31" s="3">
        <v>155</v>
      </c>
      <c r="E31" s="64"/>
    </row>
    <row r="32" spans="1:13" x14ac:dyDescent="0.25">
      <c r="A32" s="23" t="s">
        <v>17</v>
      </c>
      <c r="B32" s="8">
        <v>820000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41048.822979659075</v>
      </c>
    </row>
    <row r="36" spans="1:2" x14ac:dyDescent="0.25">
      <c r="A36" s="23" t="s">
        <v>74</v>
      </c>
      <c r="B36" s="66">
        <f>B31*B28*B17*24</f>
        <v>24.729344729344735</v>
      </c>
    </row>
    <row r="37" spans="1:2" x14ac:dyDescent="0.25">
      <c r="A37" s="23" t="s">
        <v>48</v>
      </c>
      <c r="B37" s="63">
        <f>B20+B21*(1+B31/170*(1-B34))/(1+B33)</f>
        <v>778951.17702034093</v>
      </c>
    </row>
    <row r="38" spans="1:2" x14ac:dyDescent="0.25">
      <c r="A38" s="22" t="s">
        <v>55</v>
      </c>
      <c r="B38" s="35">
        <f>B37-B20-B21</f>
        <v>45602.177020340925</v>
      </c>
    </row>
    <row r="39" spans="1:2" x14ac:dyDescent="0.25">
      <c r="A39" s="22" t="s">
        <v>25</v>
      </c>
      <c r="B39" s="27">
        <f>(B32-B20-(B31*(1-B34)/170+1)*B21/(1+B33))*B31*B28*B17*24</f>
        <v>1015110.4941978385</v>
      </c>
    </row>
    <row r="42" spans="1:2" ht="16.5" customHeight="1" x14ac:dyDescent="0.25">
      <c r="A42" s="19" t="s">
        <v>56</v>
      </c>
      <c r="B42" s="42">
        <f>((B32-B20)*(1+B33)/B21-1)*170/2/(1-B34)</f>
        <v>139.02182535759013</v>
      </c>
    </row>
    <row r="43" spans="1:2" x14ac:dyDescent="0.25">
      <c r="A43" s="22" t="s">
        <v>45</v>
      </c>
      <c r="B43" s="27">
        <f>(B32-B20-((B42*(1-B34)/170+1)*B21/(1+B33)))*B42*B28*B17*24</f>
        <v>1028699.1575216546</v>
      </c>
    </row>
    <row r="49" spans="1:1" x14ac:dyDescent="0.25">
      <c r="A49" t="s">
        <v>76</v>
      </c>
    </row>
    <row r="50" spans="1:1" x14ac:dyDescent="0.25">
      <c r="A50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10" zoomScale="70" zoomScaleNormal="70" workbookViewId="0">
      <selection activeCell="E35" sqref="E35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2.7109375" customWidth="1"/>
    <col min="4" max="4" width="18.140625" customWidth="1"/>
    <col min="5" max="5" width="14.5703125" customWidth="1"/>
    <col min="6" max="6" width="14.28515625" customWidth="1"/>
    <col min="7" max="7" width="13.42578125" customWidth="1"/>
    <col min="8" max="8" width="17" customWidth="1"/>
    <col min="9" max="10" width="13.285156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80</v>
      </c>
      <c r="B4" s="30">
        <v>61.5</v>
      </c>
      <c r="E4" s="38" t="s">
        <v>54</v>
      </c>
      <c r="F4" s="38"/>
    </row>
    <row r="5" spans="1:13" x14ac:dyDescent="0.25">
      <c r="A5" s="4" t="s">
        <v>70</v>
      </c>
      <c r="B5" s="8">
        <v>18.2</v>
      </c>
      <c r="E5" s="39" t="s">
        <v>51</v>
      </c>
      <c r="F5" s="39"/>
    </row>
    <row r="6" spans="1:13" x14ac:dyDescent="0.25">
      <c r="A6" s="4" t="s">
        <v>83</v>
      </c>
      <c r="B6" s="8">
        <v>32.5</v>
      </c>
      <c r="E6" s="36" t="s">
        <v>52</v>
      </c>
      <c r="F6" s="36"/>
    </row>
    <row r="7" spans="1:13" x14ac:dyDescent="0.25">
      <c r="A7" s="4" t="s">
        <v>12</v>
      </c>
      <c r="B7" s="8">
        <v>10.8</v>
      </c>
    </row>
    <row r="8" spans="1:13" x14ac:dyDescent="0.25">
      <c r="A8" s="4" t="s">
        <v>13</v>
      </c>
      <c r="B8" s="8">
        <v>820</v>
      </c>
    </row>
    <row r="9" spans="1:13" x14ac:dyDescent="0.25">
      <c r="A9" s="4" t="s">
        <v>10</v>
      </c>
      <c r="B9" s="8">
        <v>5000</v>
      </c>
    </row>
    <row r="10" spans="1:13" x14ac:dyDescent="0.25">
      <c r="A10" s="4" t="s">
        <v>84</v>
      </c>
      <c r="B10" s="8">
        <v>436</v>
      </c>
    </row>
    <row r="11" spans="1:13" x14ac:dyDescent="0.25">
      <c r="A11" s="29" t="s">
        <v>59</v>
      </c>
      <c r="B11" s="10">
        <v>1580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2</v>
      </c>
      <c r="C15" s="2" t="s">
        <v>26</v>
      </c>
      <c r="D15" s="2" t="s">
        <v>77</v>
      </c>
      <c r="E15" s="2" t="s">
        <v>78</v>
      </c>
      <c r="F15" s="2" t="s">
        <v>28</v>
      </c>
      <c r="G15" s="2" t="s">
        <v>27</v>
      </c>
      <c r="H15" s="2" t="s">
        <v>79</v>
      </c>
      <c r="I15" s="2" t="s">
        <v>29</v>
      </c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40</v>
      </c>
      <c r="E16" s="5">
        <v>16</v>
      </c>
      <c r="F16" s="5">
        <f>C16*34</f>
        <v>34</v>
      </c>
      <c r="G16" s="5">
        <v>1</v>
      </c>
      <c r="H16" s="5">
        <v>6</v>
      </c>
      <c r="I16" s="5">
        <f>G16*7</f>
        <v>7</v>
      </c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0.21</v>
      </c>
      <c r="C17" s="33">
        <v>1.5</v>
      </c>
      <c r="D17" s="33">
        <v>1.5</v>
      </c>
      <c r="E17" s="33">
        <v>4.51</v>
      </c>
      <c r="F17" s="33">
        <v>0.28000000000000003</v>
      </c>
      <c r="G17" s="33">
        <v>0.3</v>
      </c>
      <c r="H17" s="33">
        <v>4.51</v>
      </c>
      <c r="I17" s="33">
        <v>0.28000000000000003</v>
      </c>
      <c r="J17" s="33"/>
      <c r="K17" s="33"/>
      <c r="L17" s="34"/>
    </row>
    <row r="18" spans="1:13" x14ac:dyDescent="0.25">
      <c r="A18" s="12" t="s">
        <v>4</v>
      </c>
      <c r="B18" s="31">
        <v>3600</v>
      </c>
      <c r="C18" s="31">
        <v>390</v>
      </c>
      <c r="D18" s="31">
        <v>390.55</v>
      </c>
      <c r="E18" s="31">
        <v>130.18</v>
      </c>
      <c r="F18" s="31">
        <v>2220</v>
      </c>
      <c r="G18" s="31">
        <v>1950</v>
      </c>
      <c r="H18" s="31">
        <v>130.18</v>
      </c>
      <c r="I18" s="31">
        <v>2220</v>
      </c>
      <c r="J18" s="31"/>
      <c r="K18" s="31"/>
      <c r="L18" s="32"/>
    </row>
    <row r="19" spans="1:13" x14ac:dyDescent="0.25">
      <c r="A19" s="12" t="s">
        <v>5</v>
      </c>
      <c r="B19" s="7">
        <v>0</v>
      </c>
      <c r="C19" s="9">
        <v>0</v>
      </c>
      <c r="D19" s="9">
        <f>40*B4</f>
        <v>2460</v>
      </c>
      <c r="E19" s="9">
        <f>50*B5+250*B6</f>
        <v>9035</v>
      </c>
      <c r="F19" s="9">
        <f>20*B7+8*B8+10*B5</f>
        <v>6958</v>
      </c>
      <c r="G19" s="9">
        <f>2*B9+10*B10+4*B11</f>
        <v>20680</v>
      </c>
      <c r="H19" s="9">
        <f>50*B5+250*B6</f>
        <v>9035</v>
      </c>
      <c r="I19" s="9">
        <f>20*B7+8*B8+10*B5</f>
        <v>6958</v>
      </c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603128</v>
      </c>
      <c r="D20" s="65">
        <f>D18*$B$31/200+D19</f>
        <v>2763.0472725</v>
      </c>
      <c r="E20" s="65">
        <f t="shared" ref="E20:L20" si="0">E18*$B$31/200+E19</f>
        <v>9136.0131710000005</v>
      </c>
      <c r="F20" s="65">
        <f t="shared" si="0"/>
        <v>8680.6090000000004</v>
      </c>
      <c r="G20" s="65"/>
      <c r="H20" s="65">
        <f t="shared" si="0"/>
        <v>9136.0131710000005</v>
      </c>
      <c r="I20" s="65">
        <f t="shared" si="0"/>
        <v>8680.6090000000004</v>
      </c>
      <c r="J20" s="65">
        <f t="shared" si="0"/>
        <v>0</v>
      </c>
      <c r="K20" s="65">
        <f t="shared" si="0"/>
        <v>0</v>
      </c>
      <c r="L20" s="65">
        <f t="shared" si="0"/>
        <v>0</v>
      </c>
    </row>
    <row r="21" spans="1:13" ht="14.25" customHeight="1" x14ac:dyDescent="0.25">
      <c r="A21" s="13" t="s">
        <v>43</v>
      </c>
      <c r="B21" s="18">
        <f>SUMPRODUCT(B18:L18,B16:L16)</f>
        <v>115445.96</v>
      </c>
      <c r="D21" s="65"/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 t="shared" ref="B24:I24" si="1">B16/B17</f>
        <v>4.7619047619047619</v>
      </c>
      <c r="C24" s="20">
        <f t="shared" si="1"/>
        <v>0.66666666666666663</v>
      </c>
      <c r="D24" s="20">
        <f t="shared" si="1"/>
        <v>26.666666666666668</v>
      </c>
      <c r="E24" s="20">
        <f t="shared" si="1"/>
        <v>3.5476718403547673</v>
      </c>
      <c r="F24" s="20">
        <f t="shared" si="1"/>
        <v>121.42857142857142</v>
      </c>
      <c r="G24" s="20">
        <f t="shared" si="1"/>
        <v>3.3333333333333335</v>
      </c>
      <c r="H24" s="20">
        <f t="shared" si="1"/>
        <v>1.3303769401330379</v>
      </c>
      <c r="I24" s="20">
        <f t="shared" si="1"/>
        <v>24.999999999999996</v>
      </c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2.5500842771755017E-2</v>
      </c>
      <c r="C25" s="44">
        <f t="shared" ref="C25:L25" si="2">C24/$B$27</f>
        <v>3.5701179880457024E-3</v>
      </c>
      <c r="D25" s="44">
        <f t="shared" si="2"/>
        <v>0.14280471952182811</v>
      </c>
      <c r="E25" s="44">
        <f t="shared" si="2"/>
        <v>1.8998410579400635E-2</v>
      </c>
      <c r="F25" s="44">
        <f t="shared" si="2"/>
        <v>0.65027149067975287</v>
      </c>
      <c r="G25" s="44">
        <f t="shared" si="2"/>
        <v>1.7850589940228513E-2</v>
      </c>
      <c r="H25" s="44">
        <f t="shared" si="2"/>
        <v>7.1244039672752387E-3</v>
      </c>
      <c r="I25" s="44">
        <f t="shared" si="2"/>
        <v>0.13387942455171381</v>
      </c>
      <c r="J25" s="44">
        <f t="shared" si="2"/>
        <v>0</v>
      </c>
      <c r="K25" s="44">
        <f t="shared" si="2"/>
        <v>0</v>
      </c>
      <c r="L25" s="45">
        <f t="shared" si="2"/>
        <v>0</v>
      </c>
    </row>
    <row r="26" spans="1:13" x14ac:dyDescent="0.25">
      <c r="A26" s="47" t="s">
        <v>57</v>
      </c>
      <c r="B26" s="50">
        <f>B25*$B$42</f>
        <v>3.3682652387988292</v>
      </c>
      <c r="C26" s="51">
        <f>C25*$B$42</f>
        <v>0.47155713343183608</v>
      </c>
      <c r="D26" s="51">
        <f t="shared" ref="D26:L26" si="3">D25*$B$42</f>
        <v>18.862285337273445</v>
      </c>
      <c r="E26" s="51">
        <f t="shared" si="3"/>
        <v>2.5093949450918109</v>
      </c>
      <c r="F26" s="51">
        <f t="shared" si="3"/>
        <v>85.890763589370138</v>
      </c>
      <c r="G26" s="51">
        <f t="shared" si="3"/>
        <v>2.3577856671591806</v>
      </c>
      <c r="H26" s="51">
        <f t="shared" si="3"/>
        <v>0.94102310440942916</v>
      </c>
      <c r="I26" s="51">
        <f t="shared" si="3"/>
        <v>17.683392503693849</v>
      </c>
      <c r="J26" s="51">
        <f t="shared" si="3"/>
        <v>0</v>
      </c>
      <c r="K26" s="51">
        <f t="shared" si="3"/>
        <v>0</v>
      </c>
      <c r="L26" s="51">
        <f t="shared" si="3"/>
        <v>0</v>
      </c>
    </row>
    <row r="27" spans="1:13" x14ac:dyDescent="0.25">
      <c r="A27" s="13" t="s">
        <v>22</v>
      </c>
      <c r="B27" s="46">
        <f>SUM(B24:L24)</f>
        <v>186.73519163763066</v>
      </c>
    </row>
    <row r="28" spans="1:13" x14ac:dyDescent="0.25">
      <c r="A28" s="14" t="s">
        <v>44</v>
      </c>
      <c r="B28" s="24">
        <f>B25</f>
        <v>2.5500842771755017E-2</v>
      </c>
    </row>
    <row r="31" spans="1:13" x14ac:dyDescent="0.25">
      <c r="A31" s="19" t="s">
        <v>18</v>
      </c>
      <c r="B31" s="3">
        <v>155.19</v>
      </c>
      <c r="E31" s="64"/>
    </row>
    <row r="32" spans="1:13" x14ac:dyDescent="0.25">
      <c r="A32" s="23" t="s">
        <v>17</v>
      </c>
      <c r="B32" s="8">
        <v>820000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44957.479680813616</v>
      </c>
    </row>
    <row r="36" spans="1:2" x14ac:dyDescent="0.25">
      <c r="A36" s="23" t="s">
        <v>74</v>
      </c>
      <c r="B36" s="66">
        <f>B31*B28*B17*24</f>
        <v>19.945677980333251</v>
      </c>
    </row>
    <row r="37" spans="1:2" x14ac:dyDescent="0.25">
      <c r="A37" s="23" t="s">
        <v>48</v>
      </c>
      <c r="B37" s="63">
        <f>B20+B21*(1+B31/170*(1-B34))/(1+B33)</f>
        <v>775042.52031918638</v>
      </c>
    </row>
    <row r="38" spans="1:2" x14ac:dyDescent="0.25">
      <c r="A38" s="22" t="s">
        <v>55</v>
      </c>
      <c r="B38" s="35">
        <f>B37-B20-B21</f>
        <v>56468.560319186377</v>
      </c>
    </row>
    <row r="39" spans="1:2" x14ac:dyDescent="0.25">
      <c r="A39" s="22" t="s">
        <v>25</v>
      </c>
      <c r="B39" s="27">
        <f>(B32-B20-(B31*(1-B34)/170+1)*B21/(1+B33))*B31*B28*B17*24</f>
        <v>896707.4125208836</v>
      </c>
    </row>
    <row r="42" spans="1:2" ht="16.5" customHeight="1" x14ac:dyDescent="0.25">
      <c r="A42" s="19" t="s">
        <v>56</v>
      </c>
      <c r="B42" s="42">
        <f>((B32-B20)*(1+B33)/B21-1)*170/2/(1-B34)</f>
        <v>132.08446751922853</v>
      </c>
    </row>
    <row r="43" spans="1:2" x14ac:dyDescent="0.25">
      <c r="A43" s="22" t="s">
        <v>45</v>
      </c>
      <c r="B43" s="27">
        <f>(B32-B20-((B42*(1-B34)/170+1)*B21/(1+B33)))*B42*B28*B17*24</f>
        <v>925013.27746525418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86</v>
      </c>
    </row>
  </sheetData>
  <sheetProtection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25" workbookViewId="0">
      <selection activeCell="D35" sqref="D35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58</v>
      </c>
      <c r="B4" s="30">
        <v>4740</v>
      </c>
      <c r="E4" s="38" t="s">
        <v>54</v>
      </c>
      <c r="F4" s="38"/>
    </row>
    <row r="5" spans="1:13" x14ac:dyDescent="0.25">
      <c r="A5" s="4" t="s">
        <v>59</v>
      </c>
      <c r="B5" s="8">
        <v>1520</v>
      </c>
      <c r="E5" s="39" t="s">
        <v>51</v>
      </c>
      <c r="F5" s="39"/>
    </row>
    <row r="6" spans="1:13" x14ac:dyDescent="0.25">
      <c r="A6" s="4" t="s">
        <v>61</v>
      </c>
      <c r="B6" s="8">
        <v>7.4</v>
      </c>
      <c r="E6" s="36" t="s">
        <v>52</v>
      </c>
      <c r="F6" s="36"/>
    </row>
    <row r="7" spans="1:13" x14ac:dyDescent="0.25">
      <c r="A7" s="4" t="s">
        <v>62</v>
      </c>
      <c r="B7" s="8">
        <v>14.2</v>
      </c>
    </row>
    <row r="8" spans="1:13" x14ac:dyDescent="0.25">
      <c r="A8" s="4" t="s">
        <v>63</v>
      </c>
      <c r="B8" s="8">
        <v>6200</v>
      </c>
    </row>
    <row r="9" spans="1:13" x14ac:dyDescent="0.25">
      <c r="A9" s="4" t="s">
        <v>64</v>
      </c>
      <c r="B9" s="8">
        <v>82</v>
      </c>
    </row>
    <row r="10" spans="1:13" x14ac:dyDescent="0.25">
      <c r="A10" s="4"/>
      <c r="B10" s="8"/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60</v>
      </c>
      <c r="C15" s="2" t="s">
        <v>65</v>
      </c>
      <c r="D15" s="2" t="s">
        <v>66</v>
      </c>
      <c r="E15" s="2" t="s">
        <v>67</v>
      </c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8*B16</f>
        <v>8</v>
      </c>
      <c r="D16" s="5">
        <f>1*B16</f>
        <v>1</v>
      </c>
      <c r="E16" s="5">
        <f>D16*8</f>
        <v>8</v>
      </c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0.11</v>
      </c>
      <c r="C17" s="33">
        <v>1.84</v>
      </c>
      <c r="D17" s="33">
        <v>0.56000000000000005</v>
      </c>
      <c r="E17" s="33">
        <v>1.84</v>
      </c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6402.57</v>
      </c>
      <c r="C18" s="31">
        <v>206.61</v>
      </c>
      <c r="D18" s="31">
        <v>1109.5899999999999</v>
      </c>
      <c r="E18" s="31">
        <v>206.61</v>
      </c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f>4*B4+2*B5</f>
        <v>22000</v>
      </c>
      <c r="C19" s="9">
        <f>4*B6+3*B7+0.0625*B8</f>
        <v>459.7</v>
      </c>
      <c r="D19" s="9">
        <f>30*B9+15*B7</f>
        <v>2673</v>
      </c>
      <c r="E19" s="9">
        <f>4*B6+3*B7+0.0625*B8</f>
        <v>459.7</v>
      </c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32028.199999999997</v>
      </c>
    </row>
    <row r="21" spans="1:13" ht="14.25" customHeight="1" x14ac:dyDescent="0.25">
      <c r="A21" s="13" t="s">
        <v>43</v>
      </c>
      <c r="B21" s="18">
        <f>SUMPRODUCT(B18:L18,B16:L16)</f>
        <v>10817.919999999998</v>
      </c>
      <c r="D21" s="65"/>
      <c r="E21" s="65"/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1/B17</f>
        <v>9.0909090909090917</v>
      </c>
      <c r="C24" s="20">
        <f>8/C17</f>
        <v>4.3478260869565215</v>
      </c>
      <c r="D24" s="20">
        <f>D16/D17</f>
        <v>1.7857142857142856</v>
      </c>
      <c r="E24" s="20">
        <f>E16/E17</f>
        <v>4.3478260869565215</v>
      </c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0.46447890371438882</v>
      </c>
      <c r="C25" s="44">
        <f t="shared" ref="C25:L25" si="0">C24/$B$27</f>
        <v>0.22214208438514246</v>
      </c>
      <c r="D25" s="44">
        <f t="shared" si="0"/>
        <v>9.123692751532636E-2</v>
      </c>
      <c r="E25" s="44">
        <f t="shared" si="0"/>
        <v>0.22214208438514246</v>
      </c>
      <c r="F25" s="44">
        <f t="shared" si="0"/>
        <v>0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B25*$B$42</f>
        <v>71.261448200865075</v>
      </c>
      <c r="C26" s="51">
        <f>C25*$B$42</f>
        <v>34.08156218302242</v>
      </c>
      <c r="D26" s="51">
        <f t="shared" ref="D26:L26" si="1">D25*$B$42</f>
        <v>13.997784468027065</v>
      </c>
      <c r="E26" s="51">
        <f t="shared" si="1"/>
        <v>34.08156218302242</v>
      </c>
      <c r="F26" s="51">
        <f t="shared" si="1"/>
        <v>0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1">
        <f t="shared" si="1"/>
        <v>0</v>
      </c>
    </row>
    <row r="27" spans="1:13" x14ac:dyDescent="0.25">
      <c r="A27" s="13" t="s">
        <v>22</v>
      </c>
      <c r="B27" s="46">
        <f>SUM(B24:L24)</f>
        <v>19.572275550536418</v>
      </c>
    </row>
    <row r="28" spans="1:13" x14ac:dyDescent="0.25">
      <c r="A28" s="14" t="s">
        <v>44</v>
      </c>
      <c r="B28" s="24">
        <f>B25</f>
        <v>0.46447890371438882</v>
      </c>
    </row>
    <row r="31" spans="1:13" x14ac:dyDescent="0.25">
      <c r="A31" s="19" t="s">
        <v>18</v>
      </c>
      <c r="B31" s="3">
        <v>93</v>
      </c>
    </row>
    <row r="32" spans="1:13" x14ac:dyDescent="0.25">
      <c r="A32" s="23" t="s">
        <v>17</v>
      </c>
      <c r="B32" s="8">
        <v>54000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8266.524222100059</v>
      </c>
    </row>
    <row r="36" spans="1:2" x14ac:dyDescent="0.25">
      <c r="A36" s="23" t="s">
        <v>74</v>
      </c>
      <c r="B36" s="66">
        <f>B31*B28*B17*24</f>
        <v>114.03886043995675</v>
      </c>
    </row>
    <row r="37" spans="1:2" x14ac:dyDescent="0.25">
      <c r="A37" s="23" t="s">
        <v>48</v>
      </c>
      <c r="B37" s="63">
        <f>B20+B21*(1+B31/170*(1-B34))/(1+B33)</f>
        <v>45733.475777899941</v>
      </c>
    </row>
    <row r="38" spans="1:2" x14ac:dyDescent="0.25">
      <c r="A38" s="22" t="s">
        <v>55</v>
      </c>
      <c r="B38" s="35">
        <f>B37-B20-B21</f>
        <v>2887.3557778999457</v>
      </c>
    </row>
    <row r="39" spans="1:2" x14ac:dyDescent="0.25">
      <c r="A39" s="22" t="s">
        <v>25</v>
      </c>
      <c r="B39" s="27">
        <f>(B32-B20-(B31*(1-B34)/170+1)*B21/(1+B33))*B31*B28*B17*24</f>
        <v>942705.00208759098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153.42235703493697</v>
      </c>
    </row>
    <row r="43" spans="1:2" x14ac:dyDescent="0.25">
      <c r="A43" s="22" t="s">
        <v>45</v>
      </c>
      <c r="B43" s="27">
        <f>(B32-B20-((B42*(1-B34)/170+1)*B21/(1+B33)))*B42*B28*B17*24</f>
        <v>1115762.2005848682</v>
      </c>
    </row>
  </sheetData>
  <sheetProtection selectLockedCell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25" workbookViewId="0">
      <selection activeCell="D31" sqref="D31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12</v>
      </c>
      <c r="B4" s="30">
        <v>10.9</v>
      </c>
      <c r="E4" s="38" t="s">
        <v>54</v>
      </c>
      <c r="F4" s="38"/>
    </row>
    <row r="5" spans="1:13" x14ac:dyDescent="0.25">
      <c r="A5" s="4" t="s">
        <v>70</v>
      </c>
      <c r="B5" s="8">
        <v>18</v>
      </c>
      <c r="E5" s="39" t="s">
        <v>51</v>
      </c>
      <c r="F5" s="39"/>
    </row>
    <row r="6" spans="1:13" x14ac:dyDescent="0.25">
      <c r="A6" s="4" t="s">
        <v>61</v>
      </c>
      <c r="B6" s="8">
        <v>7.4</v>
      </c>
      <c r="E6" s="36" t="s">
        <v>52</v>
      </c>
      <c r="F6" s="36"/>
    </row>
    <row r="7" spans="1:13" x14ac:dyDescent="0.25">
      <c r="A7" s="4" t="s">
        <v>62</v>
      </c>
      <c r="B7" s="8">
        <v>14.4</v>
      </c>
    </row>
    <row r="8" spans="1:13" x14ac:dyDescent="0.25">
      <c r="A8" s="4" t="s">
        <v>63</v>
      </c>
      <c r="B8" s="8">
        <v>6100</v>
      </c>
    </row>
    <row r="9" spans="1:13" x14ac:dyDescent="0.25">
      <c r="A9" s="4"/>
      <c r="B9" s="8"/>
    </row>
    <row r="10" spans="1:13" x14ac:dyDescent="0.25">
      <c r="A10" s="4"/>
      <c r="B10" s="8"/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69</v>
      </c>
      <c r="C15" s="2" t="s">
        <v>13</v>
      </c>
      <c r="D15" s="2"/>
      <c r="E15" s="2"/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v>8</v>
      </c>
      <c r="D16" s="5"/>
      <c r="E16" s="5"/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0.28000000000000003</v>
      </c>
      <c r="C17" s="33">
        <v>1.84</v>
      </c>
      <c r="D17" s="33"/>
      <c r="E17" s="33"/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2219.19</v>
      </c>
      <c r="C18" s="31">
        <v>206.61</v>
      </c>
      <c r="D18" s="31"/>
      <c r="E18" s="31"/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9">
        <f>20*B4+10*B5</f>
        <v>398</v>
      </c>
      <c r="C19" s="9">
        <f>4*B6+3*B7+0.0625*B8</f>
        <v>454.05</v>
      </c>
      <c r="D19" s="9"/>
      <c r="E19" s="9"/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4030.4</v>
      </c>
    </row>
    <row r="21" spans="1:13" ht="14.25" customHeight="1" x14ac:dyDescent="0.25">
      <c r="A21" s="13" t="s">
        <v>43</v>
      </c>
      <c r="B21" s="18">
        <f>SUMPRODUCT(B18:L18,B16:L16)</f>
        <v>3872.07</v>
      </c>
      <c r="D21" s="65"/>
      <c r="E21" s="65"/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1/B17</f>
        <v>3.5714285714285712</v>
      </c>
      <c r="C24" s="20">
        <f>8/C17</f>
        <v>4.3478260869565215</v>
      </c>
      <c r="D24" s="20"/>
      <c r="E24" s="20"/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0.45098039215686275</v>
      </c>
      <c r="C25" s="44">
        <f t="shared" ref="C25:L25" si="0">C24/$B$27</f>
        <v>0.5490196078431373</v>
      </c>
      <c r="D25" s="44">
        <f t="shared" si="0"/>
        <v>0</v>
      </c>
      <c r="E25" s="44">
        <f t="shared" si="0"/>
        <v>0</v>
      </c>
      <c r="F25" s="44">
        <f t="shared" si="0"/>
        <v>0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B25*$B$42</f>
        <v>54.608203006501597</v>
      </c>
      <c r="C26" s="51">
        <f>C25*$B$42</f>
        <v>66.479551486175865</v>
      </c>
      <c r="D26" s="51">
        <f t="shared" ref="D26:L26" si="1">D25*$B$42</f>
        <v>0</v>
      </c>
      <c r="E26" s="51">
        <f t="shared" si="1"/>
        <v>0</v>
      </c>
      <c r="F26" s="51">
        <f t="shared" si="1"/>
        <v>0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1">
        <f t="shared" si="1"/>
        <v>0</v>
      </c>
    </row>
    <row r="27" spans="1:13" x14ac:dyDescent="0.25">
      <c r="A27" s="13" t="s">
        <v>22</v>
      </c>
      <c r="B27" s="46">
        <f>SUM(B24:L24)</f>
        <v>7.9192546583850927</v>
      </c>
    </row>
    <row r="28" spans="1:13" x14ac:dyDescent="0.25">
      <c r="A28" s="14" t="s">
        <v>44</v>
      </c>
      <c r="B28" s="24">
        <f>B25</f>
        <v>0.45098039215686275</v>
      </c>
    </row>
    <row r="31" spans="1:13" x14ac:dyDescent="0.25">
      <c r="A31" s="19" t="s">
        <v>18</v>
      </c>
      <c r="B31" s="3">
        <v>93</v>
      </c>
    </row>
    <row r="32" spans="1:13" x14ac:dyDescent="0.25">
      <c r="A32" s="23" t="s">
        <v>17</v>
      </c>
      <c r="B32" s="8">
        <v>11000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2064.055571742716</v>
      </c>
    </row>
    <row r="36" spans="1:2" x14ac:dyDescent="0.25">
      <c r="A36" s="23" t="s">
        <v>74</v>
      </c>
      <c r="B36" s="66">
        <f>B31*B28*B17*24</f>
        <v>281.84470588235297</v>
      </c>
    </row>
    <row r="37" spans="1:2" x14ac:dyDescent="0.25">
      <c r="A37" s="23" t="s">
        <v>48</v>
      </c>
      <c r="B37" s="63">
        <f>B20+B21*(1+B31/170*(1-B34))/(1+B33)</f>
        <v>8935.944428257284</v>
      </c>
    </row>
    <row r="38" spans="1:2" x14ac:dyDescent="0.25">
      <c r="A38" s="22" t="s">
        <v>55</v>
      </c>
      <c r="B38" s="35">
        <f>B37-B20-B21</f>
        <v>1033.4744282572842</v>
      </c>
    </row>
    <row r="39" spans="1:2" x14ac:dyDescent="0.25">
      <c r="A39" s="22" t="s">
        <v>25</v>
      </c>
      <c r="B39" s="27">
        <f>(B32-B20-(B31*(1-B34)/170+1)*B21/(1+B33))*B31*B28*B17*24</f>
        <v>581743.13554265804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121.08775449267745</v>
      </c>
    </row>
    <row r="43" spans="1:2" x14ac:dyDescent="0.25">
      <c r="A43" s="22" t="s">
        <v>45</v>
      </c>
      <c r="B43" s="27">
        <f>(B32-B20-((B42*(1-B34)/170+1)*B21/(1+B33)))*B42*B28*B17*24</f>
        <v>614824.60796923423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opLeftCell="A19" zoomScale="90" zoomScaleNormal="90" workbookViewId="0">
      <selection activeCell="K5" sqref="K5"/>
    </sheetView>
  </sheetViews>
  <sheetFormatPr baseColWidth="10" defaultRowHeight="15" x14ac:dyDescent="0.25"/>
  <cols>
    <col min="1" max="1" width="51.710937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8" t="s">
        <v>7</v>
      </c>
      <c r="E2" s="40" t="s">
        <v>50</v>
      </c>
    </row>
    <row r="3" spans="1:6" x14ac:dyDescent="0.25">
      <c r="A3" s="23" t="s">
        <v>15</v>
      </c>
      <c r="B3" s="26" t="s">
        <v>16</v>
      </c>
      <c r="E3" s="37" t="s">
        <v>53</v>
      </c>
      <c r="F3" s="37"/>
    </row>
    <row r="4" spans="1:6" x14ac:dyDescent="0.25">
      <c r="A4" s="1" t="s">
        <v>12</v>
      </c>
      <c r="B4" s="30">
        <v>10.9</v>
      </c>
      <c r="E4" s="38" t="s">
        <v>54</v>
      </c>
      <c r="F4" s="38"/>
    </row>
    <row r="5" spans="1:6" x14ac:dyDescent="0.25">
      <c r="A5" s="4" t="s">
        <v>13</v>
      </c>
      <c r="B5" s="8">
        <v>890</v>
      </c>
      <c r="E5" s="39" t="s">
        <v>51</v>
      </c>
      <c r="F5" s="39"/>
    </row>
    <row r="6" spans="1:6" x14ac:dyDescent="0.25">
      <c r="A6" s="4" t="s">
        <v>70</v>
      </c>
      <c r="B6" s="8">
        <v>18</v>
      </c>
      <c r="E6" s="36" t="s">
        <v>52</v>
      </c>
      <c r="F6" s="36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9"/>
      <c r="B11" s="10"/>
    </row>
    <row r="14" spans="1:6" x14ac:dyDescent="0.25">
      <c r="A14" t="s">
        <v>0</v>
      </c>
      <c r="B14" s="52" t="s">
        <v>21</v>
      </c>
    </row>
    <row r="15" spans="1:6" x14ac:dyDescent="0.25">
      <c r="A15" s="11" t="s">
        <v>1</v>
      </c>
      <c r="B15" s="53" t="s">
        <v>69</v>
      </c>
    </row>
    <row r="16" spans="1:6" x14ac:dyDescent="0.25">
      <c r="A16" s="12" t="s">
        <v>19</v>
      </c>
      <c r="B16" s="54">
        <v>1</v>
      </c>
    </row>
    <row r="17" spans="1:5" x14ac:dyDescent="0.25">
      <c r="A17" s="12" t="s">
        <v>3</v>
      </c>
      <c r="B17" s="55">
        <v>0.28000000000000003</v>
      </c>
    </row>
    <row r="18" spans="1:5" x14ac:dyDescent="0.25">
      <c r="A18" s="12" t="s">
        <v>4</v>
      </c>
      <c r="B18" s="56">
        <v>2219.19</v>
      </c>
    </row>
    <row r="19" spans="1:5" x14ac:dyDescent="0.25">
      <c r="A19" s="12" t="s">
        <v>5</v>
      </c>
      <c r="B19" s="57">
        <f>20*B4+8*B5+10*B6</f>
        <v>7518</v>
      </c>
    </row>
    <row r="20" spans="1:5" ht="14.25" customHeight="1" x14ac:dyDescent="0.25">
      <c r="A20" s="11" t="s">
        <v>40</v>
      </c>
      <c r="B20" s="58">
        <f>SUMPRODUCT(B19:L19,B16:L16)</f>
        <v>7518</v>
      </c>
    </row>
    <row r="21" spans="1:5" ht="14.25" customHeight="1" x14ac:dyDescent="0.25">
      <c r="A21" s="13" t="s">
        <v>43</v>
      </c>
      <c r="B21" s="59">
        <f>SUMPRODUCT(B18:L18,B16:L16)</f>
        <v>2219.19</v>
      </c>
    </row>
    <row r="22" spans="1:5" ht="14.25" customHeight="1" x14ac:dyDescent="0.25"/>
    <row r="23" spans="1:5" ht="14.25" customHeight="1" x14ac:dyDescent="0.25"/>
    <row r="24" spans="1:5" x14ac:dyDescent="0.25">
      <c r="A24" s="19" t="s">
        <v>71</v>
      </c>
      <c r="B24" s="21">
        <f>B16/B17</f>
        <v>3.5714285714285712</v>
      </c>
    </row>
    <row r="25" spans="1:5" x14ac:dyDescent="0.25">
      <c r="A25" s="23" t="s">
        <v>24</v>
      </c>
      <c r="B25" s="45">
        <f>B24/$B$27</f>
        <v>1</v>
      </c>
    </row>
    <row r="26" spans="1:5" x14ac:dyDescent="0.25">
      <c r="A26" s="60" t="s">
        <v>57</v>
      </c>
      <c r="B26" s="61">
        <f>B25*$B$42</f>
        <v>94.877063599435274</v>
      </c>
    </row>
    <row r="27" spans="1:5" x14ac:dyDescent="0.25">
      <c r="A27" s="23" t="s">
        <v>22</v>
      </c>
      <c r="B27" s="41">
        <f>SUM(B24:L24)</f>
        <v>3.5714285714285712</v>
      </c>
    </row>
    <row r="28" spans="1:5" x14ac:dyDescent="0.25">
      <c r="A28" s="22" t="s">
        <v>44</v>
      </c>
      <c r="B28" s="62">
        <f>B25</f>
        <v>1</v>
      </c>
    </row>
    <row r="30" spans="1:5" x14ac:dyDescent="0.25">
      <c r="E30" s="65"/>
    </row>
    <row r="31" spans="1:5" x14ac:dyDescent="0.25">
      <c r="A31" s="19" t="s">
        <v>18</v>
      </c>
      <c r="B31" s="3">
        <v>50</v>
      </c>
    </row>
    <row r="32" spans="1:5" x14ac:dyDescent="0.25">
      <c r="A32" s="23" t="s">
        <v>17</v>
      </c>
      <c r="B32" s="8">
        <v>11200</v>
      </c>
    </row>
    <row r="33" spans="1:2" x14ac:dyDescent="0.25">
      <c r="A33" s="23" t="s">
        <v>41</v>
      </c>
      <c r="B33" s="43">
        <v>0.04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1140.2241233031673</v>
      </c>
    </row>
    <row r="36" spans="1:2" x14ac:dyDescent="0.25">
      <c r="A36" s="23" t="s">
        <v>74</v>
      </c>
      <c r="B36" s="66">
        <f>B31*B28*B17*24</f>
        <v>336.00000000000006</v>
      </c>
    </row>
    <row r="37" spans="1:2" x14ac:dyDescent="0.25">
      <c r="A37" s="23" t="s">
        <v>48</v>
      </c>
      <c r="B37" s="63">
        <f>B20+B21*(1+B31/170*(1-B34))/(1+B33)</f>
        <v>10059.775876696833</v>
      </c>
    </row>
    <row r="38" spans="1:2" x14ac:dyDescent="0.25">
      <c r="A38" s="22" t="s">
        <v>55</v>
      </c>
      <c r="B38" s="35">
        <f>B37-B20-B21</f>
        <v>322.58587669683266</v>
      </c>
    </row>
    <row r="39" spans="1:2" x14ac:dyDescent="0.25">
      <c r="A39" s="22" t="s">
        <v>25</v>
      </c>
      <c r="B39" s="27">
        <f>(B32-B20-(B31*(1-B34)/170+1)*B21/(1+B33))*B31*B28*B17*24</f>
        <v>383115.30542986427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94.877063599435274</v>
      </c>
    </row>
    <row r="43" spans="1:2" x14ac:dyDescent="0.25">
      <c r="A43" s="22" t="s">
        <v>45</v>
      </c>
      <c r="B43" s="27">
        <f>(B32-B20-((B42*(1-B34)/170+1)*B21/(1+B33)))*B42*B28*B17*24</f>
        <v>493534.28276109399</v>
      </c>
    </row>
  </sheetData>
  <sheetProtection selectLockedCell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opLeftCell="A2" zoomScale="55" zoomScaleNormal="55" workbookViewId="0">
      <selection activeCell="I35" sqref="I35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8" t="s">
        <v>7</v>
      </c>
      <c r="E2" s="40" t="s">
        <v>50</v>
      </c>
    </row>
    <row r="3" spans="1:6" x14ac:dyDescent="0.25">
      <c r="A3" s="23" t="s">
        <v>15</v>
      </c>
      <c r="B3" s="26" t="s">
        <v>16</v>
      </c>
      <c r="E3" s="37" t="s">
        <v>53</v>
      </c>
      <c r="F3" s="37"/>
    </row>
    <row r="4" spans="1:6" x14ac:dyDescent="0.25">
      <c r="A4" s="1" t="s">
        <v>61</v>
      </c>
      <c r="B4" s="30">
        <v>7.4</v>
      </c>
      <c r="E4" s="38" t="s">
        <v>54</v>
      </c>
      <c r="F4" s="38"/>
    </row>
    <row r="5" spans="1:6" x14ac:dyDescent="0.25">
      <c r="A5" s="4" t="s">
        <v>62</v>
      </c>
      <c r="B5" s="8">
        <v>14.4</v>
      </c>
      <c r="E5" s="39" t="s">
        <v>51</v>
      </c>
      <c r="F5" s="39"/>
    </row>
    <row r="6" spans="1:6" x14ac:dyDescent="0.25">
      <c r="A6" s="4" t="s">
        <v>63</v>
      </c>
      <c r="B6" s="8">
        <v>6100</v>
      </c>
      <c r="E6" s="36" t="s">
        <v>52</v>
      </c>
      <c r="F6" s="36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9"/>
      <c r="B11" s="10"/>
    </row>
    <row r="14" spans="1:6" x14ac:dyDescent="0.25">
      <c r="A14" t="s">
        <v>0</v>
      </c>
      <c r="B14" s="52" t="s">
        <v>21</v>
      </c>
    </row>
    <row r="15" spans="1:6" x14ac:dyDescent="0.25">
      <c r="A15" s="11" t="s">
        <v>1</v>
      </c>
      <c r="B15" s="53" t="s">
        <v>68</v>
      </c>
    </row>
    <row r="16" spans="1:6" x14ac:dyDescent="0.25">
      <c r="A16" s="12" t="s">
        <v>19</v>
      </c>
      <c r="B16" s="54">
        <v>1</v>
      </c>
    </row>
    <row r="17" spans="1:2" x14ac:dyDescent="0.25">
      <c r="A17" s="12" t="s">
        <v>3</v>
      </c>
      <c r="B17" s="55">
        <v>1.84</v>
      </c>
    </row>
    <row r="18" spans="1:2" x14ac:dyDescent="0.25">
      <c r="A18" s="12" t="s">
        <v>4</v>
      </c>
      <c r="B18" s="56">
        <v>206.61</v>
      </c>
    </row>
    <row r="19" spans="1:2" x14ac:dyDescent="0.25">
      <c r="A19" s="12" t="s">
        <v>5</v>
      </c>
      <c r="B19" s="57">
        <f>4*B4+3*B5+0.0625*B6</f>
        <v>454.05</v>
      </c>
    </row>
    <row r="20" spans="1:2" ht="14.25" customHeight="1" x14ac:dyDescent="0.25">
      <c r="A20" s="11" t="s">
        <v>40</v>
      </c>
      <c r="B20" s="58">
        <f>SUMPRODUCT(B19:L19,B16:L16)</f>
        <v>454.05</v>
      </c>
    </row>
    <row r="21" spans="1:2" ht="14.25" customHeight="1" x14ac:dyDescent="0.25">
      <c r="A21" s="13" t="s">
        <v>43</v>
      </c>
      <c r="B21" s="59">
        <f>SUMPRODUCT(B18:L18,B16:L16)</f>
        <v>206.61</v>
      </c>
    </row>
    <row r="22" spans="1:2" ht="14.25" customHeight="1" x14ac:dyDescent="0.25"/>
    <row r="23" spans="1:2" ht="14.25" customHeight="1" x14ac:dyDescent="0.25"/>
    <row r="24" spans="1:2" x14ac:dyDescent="0.25">
      <c r="A24" s="19" t="s">
        <v>20</v>
      </c>
      <c r="B24" s="21">
        <f>B16/B17</f>
        <v>0.54347826086956519</v>
      </c>
    </row>
    <row r="25" spans="1:2" x14ac:dyDescent="0.25">
      <c r="A25" s="23" t="s">
        <v>24</v>
      </c>
      <c r="B25" s="45">
        <f>B24/$B$27</f>
        <v>1</v>
      </c>
    </row>
    <row r="26" spans="1:2" x14ac:dyDescent="0.25">
      <c r="A26" s="60" t="s">
        <v>57</v>
      </c>
      <c r="B26" s="61">
        <f>B25*$B$42</f>
        <v>103.51946997874104</v>
      </c>
    </row>
    <row r="27" spans="1:2" x14ac:dyDescent="0.25">
      <c r="A27" s="23" t="s">
        <v>22</v>
      </c>
      <c r="B27" s="41">
        <f>SUM(B24:L24)</f>
        <v>0.54347826086956519</v>
      </c>
    </row>
    <row r="28" spans="1:2" x14ac:dyDescent="0.25">
      <c r="A28" s="22" t="s">
        <v>44</v>
      </c>
      <c r="B28" s="62">
        <f>B25</f>
        <v>1</v>
      </c>
    </row>
    <row r="31" spans="1:2" x14ac:dyDescent="0.25">
      <c r="A31" s="19" t="s">
        <v>18</v>
      </c>
      <c r="B31" s="3">
        <v>100</v>
      </c>
    </row>
    <row r="32" spans="1:2" x14ac:dyDescent="0.25">
      <c r="A32" s="23" t="s">
        <v>17</v>
      </c>
      <c r="B32" s="8">
        <v>800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79.026690489279872</v>
      </c>
    </row>
    <row r="36" spans="1:2" x14ac:dyDescent="0.25">
      <c r="A36" s="23" t="s">
        <v>74</v>
      </c>
      <c r="B36" s="66">
        <f>B31*B28*B17*24</f>
        <v>4416</v>
      </c>
    </row>
    <row r="37" spans="1:2" x14ac:dyDescent="0.25">
      <c r="A37" s="23" t="s">
        <v>48</v>
      </c>
      <c r="B37" s="63">
        <f>B20+B21*(1+B31/170*(1-B34))/(1+B33)</f>
        <v>720.97330951072013</v>
      </c>
    </row>
    <row r="38" spans="1:2" x14ac:dyDescent="0.25">
      <c r="A38" s="22" t="s">
        <v>55</v>
      </c>
      <c r="B38" s="35">
        <f>B37-B20-B21</f>
        <v>60.313309510720103</v>
      </c>
    </row>
    <row r="39" spans="1:2" x14ac:dyDescent="0.25">
      <c r="A39" s="22" t="s">
        <v>25</v>
      </c>
      <c r="B39" s="27">
        <f>(B32-B20-(B31*(1-B34)/170+1)*B21/(1+B33))*B31*B28*B17*24</f>
        <v>348981.86520065973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103.51946997874104</v>
      </c>
    </row>
    <row r="43" spans="1:2" x14ac:dyDescent="0.25">
      <c r="A43" s="22" t="s">
        <v>45</v>
      </c>
      <c r="B43" s="27">
        <f>(B32-B20-((B42*(1-B34)/170+1)*B21/(1+B33)))*B42*B28*B17*24</f>
        <v>349385.7110187303</v>
      </c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BFR-OB-ST</vt:lpstr>
      <vt:lpstr>BFR-OB-ST-RE</vt:lpstr>
      <vt:lpstr>BFRr-OB-ST-RE</vt:lpstr>
      <vt:lpstr>BFR-OB-ST-RE-Fus-Prp</vt:lpstr>
      <vt:lpstr>SAT-Ion-HGEC</vt:lpstr>
      <vt:lpstr>RE-HGEC</vt:lpstr>
      <vt:lpstr>RE</vt:lpstr>
      <vt:lpstr>HGEC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2021-07-15T23:44:02Z</dcterms:modified>
</cp:coreProperties>
</file>