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OF\Desktop\"/>
    </mc:Choice>
  </mc:AlternateContent>
  <bookViews>
    <workbookView xWindow="0" yWindow="0" windowWidth="20490" windowHeight="7650" activeTab="3"/>
  </bookViews>
  <sheets>
    <sheet name="Hoja1" sheetId="1" r:id="rId1"/>
    <sheet name="Hoja2" sheetId="2" r:id="rId2"/>
    <sheet name="Hoja3" sheetId="3" r:id="rId3"/>
    <sheet name="Hoja4" sheetId="4" r:id="rId4"/>
  </sheets>
  <definedNames>
    <definedName name="solver_adj" localSheetId="0" hidden="1">Hoja1!$B$12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Hoja1!$B$4</definedName>
    <definedName name="solver_lhs2" localSheetId="0" hidden="1">Hoja1!$B$4</definedName>
    <definedName name="solver_lhs3" localSheetId="0" hidden="1">Hoja1!$B$8</definedName>
    <definedName name="solver_lhs4" localSheetId="0" hidden="1">Hoja1!$B$8</definedName>
    <definedName name="solver_lhs5" localSheetId="0" hidden="1">Hoja1!$B$8</definedName>
    <definedName name="solver_lhs6" localSheetId="0" hidden="1">Hoja1!$B$8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Hoja1!$J$12</definedName>
    <definedName name="solver_pre" localSheetId="0" hidden="1">0.000001</definedName>
    <definedName name="solver_rbv" localSheetId="0" hidden="1">1</definedName>
    <definedName name="solver_rel1" localSheetId="0" hidden="1">4</definedName>
    <definedName name="solver_rel2" localSheetId="0" hidden="1">3</definedName>
    <definedName name="solver_rel3" localSheetId="0" hidden="1">1</definedName>
    <definedName name="solver_rel4" localSheetId="0" hidden="1">1</definedName>
    <definedName name="solver_rel5" localSheetId="0" hidden="1">4</definedName>
    <definedName name="solver_rel6" localSheetId="0" hidden="1">3</definedName>
    <definedName name="solver_rhs1" localSheetId="0" hidden="1">entero</definedName>
    <definedName name="solver_rhs2" localSheetId="0" hidden="1">1</definedName>
    <definedName name="solver_rhs3" localSheetId="0" hidden="1">40</definedName>
    <definedName name="solver_rhs4" localSheetId="0" hidden="1">40</definedName>
    <definedName name="solver_rhs5" localSheetId="0" hidden="1">entero</definedName>
    <definedName name="solver_rhs6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9" i="4" l="1"/>
  <c r="G19" i="4" s="1"/>
  <c r="E19" i="4"/>
  <c r="E18" i="4"/>
  <c r="F18" i="4" s="1"/>
  <c r="G18" i="4" s="1"/>
  <c r="E17" i="4"/>
  <c r="F17" i="4" s="1"/>
  <c r="G17" i="4" s="1"/>
  <c r="G16" i="4"/>
  <c r="F16" i="4"/>
  <c r="E16" i="4"/>
  <c r="F15" i="4"/>
  <c r="G15" i="4" s="1"/>
  <c r="E15" i="4"/>
  <c r="E14" i="4"/>
  <c r="F14" i="4" s="1"/>
  <c r="G14" i="4" s="1"/>
  <c r="E13" i="4"/>
  <c r="F13" i="4" s="1"/>
  <c r="G13" i="4" s="1"/>
  <c r="G12" i="4"/>
  <c r="F12" i="4"/>
  <c r="E12" i="4"/>
  <c r="F11" i="4"/>
  <c r="G11" i="4" s="1"/>
  <c r="E11" i="4"/>
  <c r="E10" i="4"/>
  <c r="F10" i="4" s="1"/>
  <c r="G10" i="4" s="1"/>
  <c r="E9" i="4"/>
  <c r="F9" i="4" s="1"/>
  <c r="G9" i="4" s="1"/>
  <c r="E8" i="4"/>
  <c r="F8" i="4" s="1"/>
  <c r="G8" i="4" s="1"/>
  <c r="G7" i="4"/>
  <c r="F7" i="4"/>
  <c r="E7" i="4"/>
  <c r="F6" i="4"/>
  <c r="G6" i="4" s="1"/>
  <c r="E6" i="4"/>
  <c r="E5" i="4"/>
  <c r="F5" i="4" s="1"/>
  <c r="G5" i="4" s="1"/>
  <c r="E4" i="4"/>
  <c r="F4" i="4" s="1"/>
  <c r="G4" i="4" s="1"/>
  <c r="G3" i="4"/>
  <c r="F3" i="4"/>
  <c r="E3" i="4"/>
  <c r="F2" i="4"/>
  <c r="G2" i="4" s="1"/>
  <c r="E2" i="4"/>
  <c r="H19" i="1" l="1"/>
  <c r="H18" i="1"/>
  <c r="D17" i="3"/>
  <c r="C17" i="3"/>
  <c r="F4" i="3"/>
  <c r="B12" i="3"/>
  <c r="P7" i="3"/>
  <c r="D7" i="3"/>
  <c r="L7" i="3" s="1"/>
  <c r="I18" i="1" l="1"/>
  <c r="D4" i="3"/>
  <c r="K4" i="3"/>
  <c r="H4" i="3"/>
  <c r="I4" i="3" s="1"/>
  <c r="F7" i="3" s="1"/>
  <c r="H7" i="3" s="1"/>
  <c r="I7" i="3" s="1"/>
  <c r="F10" i="3" s="1"/>
  <c r="P4" i="3"/>
  <c r="P13" i="3" s="1"/>
  <c r="P14" i="3" s="1"/>
  <c r="M4" i="3"/>
  <c r="M13" i="3" s="1"/>
  <c r="M14" i="3" s="1"/>
  <c r="K7" i="3"/>
  <c r="N7" i="3"/>
  <c r="N13" i="3" s="1"/>
  <c r="N14" i="3" s="1"/>
  <c r="D10" i="3"/>
  <c r="O10" i="3" s="1"/>
  <c r="O13" i="3" s="1"/>
  <c r="O14" i="3" s="1"/>
  <c r="D4" i="1"/>
  <c r="H4" i="1" s="1"/>
  <c r="P8" i="1"/>
  <c r="P4" i="1"/>
  <c r="L4" i="3" l="1"/>
  <c r="L13" i="3" s="1"/>
  <c r="L14" i="3" s="1"/>
  <c r="C16" i="3"/>
  <c r="D16" i="3" s="1"/>
  <c r="H10" i="3"/>
  <c r="I10" i="3" s="1"/>
  <c r="J11" i="3" s="1"/>
  <c r="K11" i="3" s="1"/>
  <c r="B13" i="1"/>
  <c r="B27" i="2"/>
  <c r="G5" i="1" l="1"/>
  <c r="C5" i="1" l="1"/>
  <c r="B5" i="1"/>
  <c r="F4" i="1"/>
  <c r="P5" i="1" l="1"/>
  <c r="P14" i="1" s="1"/>
  <c r="P15" i="1" s="1"/>
  <c r="L4" i="1"/>
  <c r="K5" i="1"/>
  <c r="D5" i="1"/>
  <c r="D8" i="1" s="1"/>
  <c r="I4" i="1"/>
  <c r="F5" i="1" s="1"/>
  <c r="H5" i="1" l="1"/>
  <c r="C17" i="1"/>
  <c r="D17" i="1" s="1"/>
  <c r="D11" i="1"/>
  <c r="O11" i="1" s="1"/>
  <c r="O14" i="1" s="1"/>
  <c r="O15" i="1" s="1"/>
  <c r="N8" i="1"/>
  <c r="N14" i="1" s="1"/>
  <c r="N15" i="1" s="1"/>
  <c r="L8" i="1"/>
  <c r="K4" i="1"/>
  <c r="M5" i="1"/>
  <c r="M14" i="1" s="1"/>
  <c r="M15" i="1" s="1"/>
  <c r="L5" i="1"/>
  <c r="K8" i="1"/>
  <c r="I5" i="1"/>
  <c r="F8" i="1" s="1"/>
  <c r="L14" i="1" l="1"/>
  <c r="L15" i="1" s="1"/>
  <c r="H8" i="1"/>
  <c r="I8" i="1" s="1"/>
  <c r="F11" i="1" s="1"/>
  <c r="H11" i="1" s="1"/>
  <c r="I11" i="1" s="1"/>
  <c r="J12" i="1" s="1"/>
  <c r="K12" i="1" l="1"/>
  <c r="J13" i="1"/>
</calcChain>
</file>

<file path=xl/sharedStrings.xml><?xml version="1.0" encoding="utf-8"?>
<sst xmlns="http://schemas.openxmlformats.org/spreadsheetml/2006/main" count="90" uniqueCount="47">
  <si>
    <t>Production</t>
  </si>
  <si>
    <t>Farm</t>
  </si>
  <si>
    <t>Grocery Store</t>
  </si>
  <si>
    <t>_seeds</t>
  </si>
  <si>
    <t>_grain</t>
  </si>
  <si>
    <t>_sausages</t>
  </si>
  <si>
    <t>_sales</t>
  </si>
  <si>
    <t>prod. Per hour</t>
  </si>
  <si>
    <t>requirements</t>
  </si>
  <si>
    <t>costs</t>
  </si>
  <si>
    <t>wages</t>
  </si>
  <si>
    <t>water</t>
  </si>
  <si>
    <t xml:space="preserve">0.1 water </t>
  </si>
  <si>
    <t>price</t>
  </si>
  <si>
    <t>level</t>
  </si>
  <si>
    <t>percentage of usage</t>
  </si>
  <si>
    <t>0.5 water + 1 seeds</t>
  </si>
  <si>
    <t>Total Costs</t>
  </si>
  <si>
    <t>3 water + 2 grain</t>
  </si>
  <si>
    <t>sausages</t>
  </si>
  <si>
    <t>retail price</t>
  </si>
  <si>
    <t>Total profit per hour</t>
  </si>
  <si>
    <t>production difference</t>
  </si>
  <si>
    <t>Total unitary profit</t>
  </si>
  <si>
    <t>quantity</t>
  </si>
  <si>
    <t>Q1</t>
  </si>
  <si>
    <t>Q2</t>
  </si>
  <si>
    <t>consumption/ hour</t>
  </si>
  <si>
    <t>/day</t>
  </si>
  <si>
    <t>cash</t>
  </si>
  <si>
    <t>seeds</t>
  </si>
  <si>
    <t>requirements per hour</t>
  </si>
  <si>
    <t>grain</t>
  </si>
  <si>
    <t>Unitary cost</t>
  </si>
  <si>
    <t>sales quantity estimation</t>
  </si>
  <si>
    <t xml:space="preserve">cash </t>
  </si>
  <si>
    <t>Total per hour</t>
  </si>
  <si>
    <t>Total per day</t>
  </si>
  <si>
    <t>market price</t>
  </si>
  <si>
    <t>contract price</t>
  </si>
  <si>
    <t>utility per unit</t>
  </si>
  <si>
    <t>minutes</t>
  </si>
  <si>
    <t>sec</t>
  </si>
  <si>
    <t>seconds</t>
  </si>
  <si>
    <t>units sold per hour</t>
  </si>
  <si>
    <t>utility per hour</t>
  </si>
  <si>
    <t>Best price to get more utility daily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</si>
</sst>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2" borderId="0" xfId="0" applyFill="1"/>
    <xf numFmtId="0" fontId="0" fillId="0" borderId="0" xfId="0" applyFill="1"/>
    <xf numFmtId="3" fontId="0" fillId="0" borderId="0" xfId="0" applyNumberFormat="1"/>
    <xf numFmtId="0" fontId="0" fillId="2" borderId="0" xfId="0" applyFill="1" applyBorder="1"/>
    <xf numFmtId="0" fontId="0" fillId="0" borderId="0" xfId="0" quotePrefix="1" applyBorder="1"/>
    <xf numFmtId="0" fontId="0" fillId="0" borderId="4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Hoja2!$B$3:$B$24</c:f>
              <c:numCache>
                <c:formatCode>General</c:formatCode>
                <c:ptCount val="22"/>
                <c:pt idx="0">
                  <c:v>4.0599999999999996</c:v>
                </c:pt>
                <c:pt idx="1">
                  <c:v>4.16</c:v>
                </c:pt>
                <c:pt idx="2">
                  <c:v>4.26</c:v>
                </c:pt>
                <c:pt idx="3">
                  <c:v>4.3600000000000003</c:v>
                </c:pt>
                <c:pt idx="4">
                  <c:v>4.46</c:v>
                </c:pt>
                <c:pt idx="5">
                  <c:v>4.5599999999999996</c:v>
                </c:pt>
                <c:pt idx="6">
                  <c:v>4.66</c:v>
                </c:pt>
                <c:pt idx="7">
                  <c:v>4.76</c:v>
                </c:pt>
                <c:pt idx="8">
                  <c:v>4.8600000000000003</c:v>
                </c:pt>
                <c:pt idx="9">
                  <c:v>4.96</c:v>
                </c:pt>
                <c:pt idx="10">
                  <c:v>5.0600000000000103</c:v>
                </c:pt>
                <c:pt idx="11">
                  <c:v>5.1600000000000099</c:v>
                </c:pt>
                <c:pt idx="12">
                  <c:v>5.2600000000000096</c:v>
                </c:pt>
                <c:pt idx="13">
                  <c:v>5.3600000000000101</c:v>
                </c:pt>
                <c:pt idx="14">
                  <c:v>5.4600000000000097</c:v>
                </c:pt>
                <c:pt idx="15">
                  <c:v>5.5600000000000103</c:v>
                </c:pt>
                <c:pt idx="16">
                  <c:v>5.6600000000000099</c:v>
                </c:pt>
                <c:pt idx="17">
                  <c:v>5.7600000000000096</c:v>
                </c:pt>
                <c:pt idx="18">
                  <c:v>5.8600000000000101</c:v>
                </c:pt>
                <c:pt idx="19">
                  <c:v>5.9600000000000097</c:v>
                </c:pt>
                <c:pt idx="20">
                  <c:v>6.0600000000000103</c:v>
                </c:pt>
                <c:pt idx="21">
                  <c:v>6.1600000000000099</c:v>
                </c:pt>
              </c:numCache>
            </c:numRef>
          </c:xVal>
          <c:yVal>
            <c:numRef>
              <c:f>Hoja2!$C$3:$C$24</c:f>
              <c:numCache>
                <c:formatCode>General</c:formatCode>
                <c:ptCount val="22"/>
                <c:pt idx="0">
                  <c:v>175</c:v>
                </c:pt>
                <c:pt idx="1">
                  <c:v>173</c:v>
                </c:pt>
                <c:pt idx="2">
                  <c:v>169</c:v>
                </c:pt>
                <c:pt idx="3">
                  <c:v>165</c:v>
                </c:pt>
                <c:pt idx="4">
                  <c:v>160</c:v>
                </c:pt>
                <c:pt idx="5">
                  <c:v>154</c:v>
                </c:pt>
                <c:pt idx="6">
                  <c:v>148</c:v>
                </c:pt>
                <c:pt idx="7">
                  <c:v>141</c:v>
                </c:pt>
                <c:pt idx="8">
                  <c:v>135</c:v>
                </c:pt>
                <c:pt idx="9">
                  <c:v>128</c:v>
                </c:pt>
                <c:pt idx="10">
                  <c:v>121</c:v>
                </c:pt>
                <c:pt idx="11">
                  <c:v>115</c:v>
                </c:pt>
                <c:pt idx="12">
                  <c:v>109</c:v>
                </c:pt>
                <c:pt idx="13">
                  <c:v>103</c:v>
                </c:pt>
                <c:pt idx="14">
                  <c:v>97</c:v>
                </c:pt>
                <c:pt idx="15">
                  <c:v>92</c:v>
                </c:pt>
                <c:pt idx="16">
                  <c:v>87</c:v>
                </c:pt>
                <c:pt idx="17">
                  <c:v>82</c:v>
                </c:pt>
                <c:pt idx="18">
                  <c:v>77</c:v>
                </c:pt>
                <c:pt idx="19">
                  <c:v>73</c:v>
                </c:pt>
                <c:pt idx="20">
                  <c:v>69</c:v>
                </c:pt>
                <c:pt idx="21">
                  <c:v>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6E-4B87-BBC5-C1E9C8DEB0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3133103"/>
        <c:axId val="373137263"/>
      </c:scatterChart>
      <c:valAx>
        <c:axId val="373133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137263"/>
        <c:crosses val="autoZero"/>
        <c:crossBetween val="midCat"/>
      </c:valAx>
      <c:valAx>
        <c:axId val="37313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1331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Hoja2!$F$3:$F$24</c:f>
              <c:numCache>
                <c:formatCode>General</c:formatCode>
                <c:ptCount val="22"/>
                <c:pt idx="0">
                  <c:v>4.0599999999999996</c:v>
                </c:pt>
                <c:pt idx="1">
                  <c:v>4.16</c:v>
                </c:pt>
                <c:pt idx="2">
                  <c:v>4.26</c:v>
                </c:pt>
                <c:pt idx="3">
                  <c:v>4.3600000000000003</c:v>
                </c:pt>
                <c:pt idx="4">
                  <c:v>4.46</c:v>
                </c:pt>
                <c:pt idx="5">
                  <c:v>4.5599999999999996</c:v>
                </c:pt>
                <c:pt idx="6">
                  <c:v>4.66</c:v>
                </c:pt>
                <c:pt idx="7">
                  <c:v>4.76</c:v>
                </c:pt>
                <c:pt idx="8">
                  <c:v>4.8600000000000003</c:v>
                </c:pt>
                <c:pt idx="9">
                  <c:v>4.96</c:v>
                </c:pt>
                <c:pt idx="10">
                  <c:v>5.0600000000000103</c:v>
                </c:pt>
                <c:pt idx="11">
                  <c:v>5.1600000000000099</c:v>
                </c:pt>
                <c:pt idx="12">
                  <c:v>5.2600000000000096</c:v>
                </c:pt>
                <c:pt idx="13">
                  <c:v>5.3600000000000101</c:v>
                </c:pt>
                <c:pt idx="14">
                  <c:v>5.4600000000000097</c:v>
                </c:pt>
                <c:pt idx="15">
                  <c:v>5.5600000000000103</c:v>
                </c:pt>
                <c:pt idx="16">
                  <c:v>5.6600000000000099</c:v>
                </c:pt>
                <c:pt idx="17">
                  <c:v>5.7600000000000096</c:v>
                </c:pt>
                <c:pt idx="18">
                  <c:v>5.8600000000000101</c:v>
                </c:pt>
                <c:pt idx="19">
                  <c:v>5.9600000000000097</c:v>
                </c:pt>
                <c:pt idx="20">
                  <c:v>6.0600000000000103</c:v>
                </c:pt>
                <c:pt idx="21">
                  <c:v>6.1600000000000099</c:v>
                </c:pt>
              </c:numCache>
            </c:numRef>
          </c:xVal>
          <c:yVal>
            <c:numRef>
              <c:f>Hoja2!$G$3:$G$24</c:f>
              <c:numCache>
                <c:formatCode>General</c:formatCode>
                <c:ptCount val="22"/>
                <c:pt idx="0">
                  <c:v>176</c:v>
                </c:pt>
                <c:pt idx="1">
                  <c:v>174</c:v>
                </c:pt>
                <c:pt idx="2">
                  <c:v>171</c:v>
                </c:pt>
                <c:pt idx="3">
                  <c:v>167</c:v>
                </c:pt>
                <c:pt idx="4">
                  <c:v>162</c:v>
                </c:pt>
                <c:pt idx="5">
                  <c:v>157</c:v>
                </c:pt>
                <c:pt idx="6">
                  <c:v>151</c:v>
                </c:pt>
                <c:pt idx="7">
                  <c:v>145</c:v>
                </c:pt>
                <c:pt idx="8">
                  <c:v>138</c:v>
                </c:pt>
                <c:pt idx="9">
                  <c:v>132</c:v>
                </c:pt>
                <c:pt idx="10">
                  <c:v>125</c:v>
                </c:pt>
                <c:pt idx="11">
                  <c:v>119</c:v>
                </c:pt>
                <c:pt idx="12">
                  <c:v>112</c:v>
                </c:pt>
                <c:pt idx="13">
                  <c:v>106</c:v>
                </c:pt>
                <c:pt idx="14">
                  <c:v>100</c:v>
                </c:pt>
                <c:pt idx="15">
                  <c:v>95</c:v>
                </c:pt>
                <c:pt idx="16">
                  <c:v>90</c:v>
                </c:pt>
                <c:pt idx="17">
                  <c:v>85</c:v>
                </c:pt>
                <c:pt idx="18">
                  <c:v>80</c:v>
                </c:pt>
                <c:pt idx="19">
                  <c:v>76</c:v>
                </c:pt>
                <c:pt idx="20">
                  <c:v>72</c:v>
                </c:pt>
                <c:pt idx="21">
                  <c:v>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57-442E-A3A9-899E33B9CC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3133103"/>
        <c:axId val="373137263"/>
      </c:scatterChart>
      <c:valAx>
        <c:axId val="373133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137263"/>
        <c:crosses val="autoZero"/>
        <c:crossBetween val="midCat"/>
      </c:valAx>
      <c:valAx>
        <c:axId val="37313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1331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3</xdr:row>
      <xdr:rowOff>152400</xdr:rowOff>
    </xdr:from>
    <xdr:to>
      <xdr:col>2</xdr:col>
      <xdr:colOff>666750</xdr:colOff>
      <xdr:row>17</xdr:row>
      <xdr:rowOff>57150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695325</xdr:colOff>
      <xdr:row>3</xdr:row>
      <xdr:rowOff>133350</xdr:rowOff>
    </xdr:from>
    <xdr:to>
      <xdr:col>9</xdr:col>
      <xdr:colOff>504825</xdr:colOff>
      <xdr:row>17</xdr:row>
      <xdr:rowOff>38100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20"/>
  <sheetViews>
    <sheetView zoomScale="85" zoomScaleNormal="85" workbookViewId="0">
      <selection activeCell="M15" sqref="M15"/>
    </sheetView>
  </sheetViews>
  <sheetFormatPr baseColWidth="10" defaultRowHeight="15" x14ac:dyDescent="0.25"/>
  <cols>
    <col min="1" max="1" width="11.85546875" bestFit="1" customWidth="1"/>
    <col min="2" max="2" width="11.85546875" customWidth="1"/>
    <col min="3" max="3" width="19" bestFit="1" customWidth="1"/>
    <col min="4" max="4" width="13.7109375" bestFit="1" customWidth="1"/>
    <col min="5" max="5" width="17.7109375" bestFit="1" customWidth="1"/>
    <col min="6" max="6" width="8.85546875" customWidth="1"/>
    <col min="7" max="7" width="6.5703125" bestFit="1" customWidth="1"/>
    <col min="9" max="9" width="12" bestFit="1" customWidth="1"/>
    <col min="10" max="10" width="37.28515625" customWidth="1"/>
    <col min="11" max="11" width="17.7109375" bestFit="1" customWidth="1"/>
  </cols>
  <sheetData>
    <row r="2" spans="1:16" x14ac:dyDescent="0.25">
      <c r="B2" t="s">
        <v>14</v>
      </c>
      <c r="C2" t="s">
        <v>15</v>
      </c>
      <c r="D2" s="3" t="s">
        <v>7</v>
      </c>
      <c r="E2" t="s">
        <v>8</v>
      </c>
      <c r="F2" t="s">
        <v>9</v>
      </c>
      <c r="G2" t="s">
        <v>10</v>
      </c>
      <c r="H2" t="s">
        <v>17</v>
      </c>
      <c r="I2" t="s">
        <v>33</v>
      </c>
      <c r="L2" t="s">
        <v>31</v>
      </c>
    </row>
    <row r="3" spans="1:16" x14ac:dyDescent="0.25">
      <c r="A3" t="s">
        <v>0</v>
      </c>
      <c r="D3" s="3"/>
      <c r="J3" s="3"/>
      <c r="L3" s="3" t="s">
        <v>11</v>
      </c>
      <c r="M3" t="s">
        <v>30</v>
      </c>
      <c r="N3" t="s">
        <v>32</v>
      </c>
      <c r="O3" t="s">
        <v>19</v>
      </c>
      <c r="P3" t="s">
        <v>35</v>
      </c>
    </row>
    <row r="4" spans="1:16" x14ac:dyDescent="0.25">
      <c r="A4" t="s">
        <v>3</v>
      </c>
      <c r="B4" s="5">
        <v>3</v>
      </c>
      <c r="C4" s="5">
        <v>0.5</v>
      </c>
      <c r="D4" s="3">
        <f>B4*920*C4</f>
        <v>1380</v>
      </c>
      <c r="E4" t="s">
        <v>12</v>
      </c>
      <c r="F4">
        <f>0.1*B17</f>
        <v>0.03</v>
      </c>
      <c r="G4" s="5">
        <v>113</v>
      </c>
      <c r="H4">
        <f>F4*D4+G4*B4*C4</f>
        <v>210.9</v>
      </c>
      <c r="I4">
        <f>H4/D4</f>
        <v>0.15282608695652175</v>
      </c>
      <c r="J4" s="3" t="s">
        <v>22</v>
      </c>
      <c r="K4">
        <f>D4-D5</f>
        <v>126</v>
      </c>
      <c r="L4" s="3">
        <f>0.1*D4</f>
        <v>138</v>
      </c>
      <c r="P4">
        <f>G4*B4*C4</f>
        <v>169.5</v>
      </c>
    </row>
    <row r="5" spans="1:16" x14ac:dyDescent="0.25">
      <c r="A5" t="s">
        <v>4</v>
      </c>
      <c r="B5" s="6">
        <f>B4</f>
        <v>3</v>
      </c>
      <c r="C5" s="6">
        <f>1-C4</f>
        <v>0.5</v>
      </c>
      <c r="D5" s="3">
        <f>836*B5*C5</f>
        <v>1254</v>
      </c>
      <c r="E5" t="s">
        <v>16</v>
      </c>
      <c r="F5">
        <f>0.5*B17+I4</f>
        <v>0.30282608695652175</v>
      </c>
      <c r="G5" s="6">
        <f>G4</f>
        <v>113</v>
      </c>
      <c r="H5">
        <f>F5*D5+G5*C5*B5</f>
        <v>549.24391304347819</v>
      </c>
      <c r="I5">
        <f>H5/D5</f>
        <v>0.43799355107135424</v>
      </c>
      <c r="J5" s="3" t="s">
        <v>22</v>
      </c>
      <c r="K5">
        <f>836*B5*C5-141*B8*C8</f>
        <v>126</v>
      </c>
      <c r="L5" s="3">
        <f>0.5*D5</f>
        <v>627</v>
      </c>
      <c r="M5">
        <f>D5</f>
        <v>1254</v>
      </c>
      <c r="P5">
        <f t="shared" ref="P5:P8" si="0">G5*B5*C5</f>
        <v>169.5</v>
      </c>
    </row>
    <row r="6" spans="1:16" x14ac:dyDescent="0.25">
      <c r="D6" s="3"/>
      <c r="J6" s="3"/>
      <c r="L6" s="3"/>
    </row>
    <row r="7" spans="1:16" x14ac:dyDescent="0.25">
      <c r="A7" t="s">
        <v>1</v>
      </c>
      <c r="D7" s="3"/>
      <c r="J7" s="3"/>
      <c r="L7" s="3"/>
    </row>
    <row r="8" spans="1:16" x14ac:dyDescent="0.25">
      <c r="A8" t="s">
        <v>5</v>
      </c>
      <c r="B8" s="5">
        <v>8</v>
      </c>
      <c r="C8" s="5">
        <v>1</v>
      </c>
      <c r="D8" s="3">
        <f>IF(836*B5*C5&gt;141*B8*C8,141*B8*C8,D5)</f>
        <v>1128</v>
      </c>
      <c r="E8" t="s">
        <v>18</v>
      </c>
      <c r="F8">
        <f>3*B17+I5*2</f>
        <v>1.7759871021427083</v>
      </c>
      <c r="G8" s="5">
        <v>151</v>
      </c>
      <c r="H8">
        <f>G8*B8*C8+D8*F8</f>
        <v>3211.313451216975</v>
      </c>
      <c r="I8">
        <f>H8/D8</f>
        <v>2.846909087958311</v>
      </c>
      <c r="J8" s="3" t="s">
        <v>22</v>
      </c>
      <c r="K8">
        <f>D8-B13*B11*C11</f>
        <v>20.027416890505492</v>
      </c>
      <c r="L8" s="3">
        <f>3*D8</f>
        <v>3384</v>
      </c>
      <c r="N8">
        <f>2*D8</f>
        <v>2256</v>
      </c>
      <c r="P8">
        <f t="shared" si="0"/>
        <v>1208</v>
      </c>
    </row>
    <row r="9" spans="1:16" x14ac:dyDescent="0.25">
      <c r="D9" s="3"/>
      <c r="J9" s="3"/>
      <c r="L9" s="3"/>
    </row>
    <row r="10" spans="1:16" x14ac:dyDescent="0.25">
      <c r="A10" t="s">
        <v>2</v>
      </c>
      <c r="D10" s="3"/>
      <c r="J10" s="3"/>
      <c r="L10" s="3"/>
    </row>
    <row r="11" spans="1:16" x14ac:dyDescent="0.25">
      <c r="A11" t="s">
        <v>6</v>
      </c>
      <c r="B11" s="5">
        <v>12</v>
      </c>
      <c r="C11" s="5">
        <v>1</v>
      </c>
      <c r="D11" s="3">
        <f>IF(B13*B11*C11&lt;D8,B13*B11*C11,D8)</f>
        <v>1107.9725831094945</v>
      </c>
      <c r="E11" t="s">
        <v>19</v>
      </c>
      <c r="F11">
        <f>I8</f>
        <v>2.846909087958311</v>
      </c>
      <c r="G11" s="5">
        <v>155</v>
      </c>
      <c r="H11">
        <f>F11*D11+B11*C11*G11</f>
        <v>5014.2972160630652</v>
      </c>
      <c r="I11">
        <f>H11/D11</f>
        <v>4.5256509885746254</v>
      </c>
      <c r="J11" s="3" t="s">
        <v>21</v>
      </c>
      <c r="K11" t="s">
        <v>23</v>
      </c>
      <c r="L11" s="3"/>
      <c r="O11">
        <f>D11</f>
        <v>1107.9725831094945</v>
      </c>
    </row>
    <row r="12" spans="1:16" x14ac:dyDescent="0.25">
      <c r="A12" s="1" t="s">
        <v>20</v>
      </c>
      <c r="B12" s="8">
        <v>5.7394354801371295</v>
      </c>
      <c r="C12" s="1"/>
      <c r="D12" s="3"/>
      <c r="E12" s="1"/>
      <c r="F12" s="1"/>
      <c r="G12" s="1"/>
      <c r="H12" s="1"/>
      <c r="I12" s="1"/>
      <c r="J12" s="3">
        <f>(B12-I11)*D11</f>
        <v>1344.839938454752</v>
      </c>
      <c r="K12">
        <f>J12/D11</f>
        <v>1.213784491562504</v>
      </c>
      <c r="L12" s="3"/>
    </row>
    <row r="13" spans="1:16" x14ac:dyDescent="0.25">
      <c r="A13" s="2" t="s">
        <v>34</v>
      </c>
      <c r="B13" s="2">
        <f>408-55*B12</f>
        <v>92.331048592457876</v>
      </c>
      <c r="C13" s="2"/>
      <c r="D13" s="4"/>
      <c r="E13" s="2"/>
      <c r="F13" s="2"/>
      <c r="G13" s="2"/>
      <c r="H13" s="2"/>
      <c r="I13" s="2"/>
      <c r="J13" s="3" t="str">
        <f>"Total profit per day " &amp; J12*24</f>
        <v>Total profit per day 32276.158522914</v>
      </c>
      <c r="K13" s="10"/>
      <c r="L13" s="4"/>
      <c r="M13" s="2"/>
      <c r="N13" s="2"/>
      <c r="O13" s="2"/>
      <c r="P13" s="2"/>
    </row>
    <row r="14" spans="1:16" x14ac:dyDescent="0.25">
      <c r="A14" s="1"/>
      <c r="B14" s="1"/>
      <c r="C14" s="1"/>
      <c r="D14" s="1"/>
      <c r="E14" s="1"/>
      <c r="F14" s="1"/>
      <c r="G14" s="1"/>
      <c r="H14" s="1"/>
      <c r="I14" s="1"/>
      <c r="K14" t="s">
        <v>36</v>
      </c>
      <c r="L14">
        <f>SUM(L4:L13)</f>
        <v>4149</v>
      </c>
      <c r="M14">
        <f t="shared" ref="M14:P14" si="1">SUM(M4:M13)</f>
        <v>1254</v>
      </c>
      <c r="N14">
        <f t="shared" si="1"/>
        <v>2256</v>
      </c>
      <c r="O14">
        <f t="shared" si="1"/>
        <v>1107.9725831094945</v>
      </c>
      <c r="P14">
        <f t="shared" si="1"/>
        <v>1547</v>
      </c>
    </row>
    <row r="15" spans="1:16" x14ac:dyDescent="0.25">
      <c r="A15" s="1"/>
      <c r="B15" s="1"/>
      <c r="C15" s="1"/>
      <c r="D15" s="1"/>
      <c r="E15" s="1"/>
      <c r="F15" s="1"/>
      <c r="G15" s="1"/>
      <c r="H15" s="1"/>
      <c r="I15" s="1"/>
      <c r="K15" t="s">
        <v>37</v>
      </c>
      <c r="L15">
        <f>L14*24</f>
        <v>99576</v>
      </c>
      <c r="M15">
        <f t="shared" ref="M15:P15" si="2">M14*24</f>
        <v>30096</v>
      </c>
      <c r="N15">
        <f t="shared" si="2"/>
        <v>54144</v>
      </c>
      <c r="O15">
        <f t="shared" si="2"/>
        <v>26591.341994627866</v>
      </c>
      <c r="P15">
        <f t="shared" si="2"/>
        <v>37128</v>
      </c>
    </row>
    <row r="16" spans="1:16" x14ac:dyDescent="0.25">
      <c r="A16" s="1"/>
      <c r="B16" s="1" t="s">
        <v>13</v>
      </c>
      <c r="C16" s="1" t="s">
        <v>27</v>
      </c>
      <c r="D16" s="9" t="s">
        <v>28</v>
      </c>
      <c r="E16" s="1"/>
      <c r="F16" s="1"/>
      <c r="G16" s="1"/>
      <c r="H16" s="1"/>
      <c r="I16" s="1"/>
    </row>
    <row r="17" spans="1:9" x14ac:dyDescent="0.25">
      <c r="A17" t="s">
        <v>11</v>
      </c>
      <c r="B17" s="5">
        <v>0.3</v>
      </c>
      <c r="C17">
        <f>0.1*D4+0.5*D5+3*D8*C8</f>
        <v>4149</v>
      </c>
      <c r="D17">
        <f>C17*24</f>
        <v>99576</v>
      </c>
    </row>
    <row r="18" spans="1:9" x14ac:dyDescent="0.25">
      <c r="G18" t="s">
        <v>38</v>
      </c>
      <c r="H18">
        <f>(I4+0.1*0.35)*1.03</f>
        <v>0.19346086956521741</v>
      </c>
      <c r="I18">
        <f>(H18-H19)/H19</f>
        <v>0.13582641991065741</v>
      </c>
    </row>
    <row r="19" spans="1:9" x14ac:dyDescent="0.25">
      <c r="G19" t="s">
        <v>39</v>
      </c>
      <c r="H19">
        <f>(I4+0.1*0.35*0.5)</f>
        <v>0.17032608695652174</v>
      </c>
    </row>
    <row r="20" spans="1:9" x14ac:dyDescent="0.25">
      <c r="E20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7"/>
  <sheetViews>
    <sheetView topLeftCell="A3" workbookViewId="0">
      <selection activeCell="I23" sqref="I23"/>
    </sheetView>
  </sheetViews>
  <sheetFormatPr baseColWidth="10" defaultRowHeight="15" x14ac:dyDescent="0.25"/>
  <sheetData>
    <row r="1" spans="2:7" x14ac:dyDescent="0.25">
      <c r="B1" t="s">
        <v>25</v>
      </c>
      <c r="F1" t="s">
        <v>26</v>
      </c>
    </row>
    <row r="2" spans="2:7" x14ac:dyDescent="0.25">
      <c r="B2" t="s">
        <v>13</v>
      </c>
      <c r="C2" t="s">
        <v>24</v>
      </c>
      <c r="F2" t="s">
        <v>13</v>
      </c>
      <c r="G2" t="s">
        <v>24</v>
      </c>
    </row>
    <row r="3" spans="2:7" x14ac:dyDescent="0.25">
      <c r="B3">
        <v>4.0599999999999996</v>
      </c>
      <c r="C3">
        <v>175</v>
      </c>
      <c r="F3">
        <v>4.0599999999999996</v>
      </c>
      <c r="G3">
        <v>176</v>
      </c>
    </row>
    <row r="4" spans="2:7" x14ac:dyDescent="0.25">
      <c r="B4">
        <v>4.16</v>
      </c>
      <c r="C4">
        <v>173</v>
      </c>
      <c r="F4">
        <v>4.16</v>
      </c>
      <c r="G4">
        <v>174</v>
      </c>
    </row>
    <row r="5" spans="2:7" x14ac:dyDescent="0.25">
      <c r="B5">
        <v>4.26</v>
      </c>
      <c r="C5">
        <v>169</v>
      </c>
      <c r="F5">
        <v>4.26</v>
      </c>
      <c r="G5">
        <v>171</v>
      </c>
    </row>
    <row r="6" spans="2:7" x14ac:dyDescent="0.25">
      <c r="B6">
        <v>4.3600000000000003</v>
      </c>
      <c r="C6">
        <v>165</v>
      </c>
      <c r="F6">
        <v>4.3600000000000003</v>
      </c>
      <c r="G6">
        <v>167</v>
      </c>
    </row>
    <row r="7" spans="2:7" x14ac:dyDescent="0.25">
      <c r="B7">
        <v>4.46</v>
      </c>
      <c r="C7">
        <v>160</v>
      </c>
      <c r="F7">
        <v>4.46</v>
      </c>
      <c r="G7">
        <v>162</v>
      </c>
    </row>
    <row r="8" spans="2:7" x14ac:dyDescent="0.25">
      <c r="B8">
        <v>4.5599999999999996</v>
      </c>
      <c r="C8">
        <v>154</v>
      </c>
      <c r="F8">
        <v>4.5599999999999996</v>
      </c>
      <c r="G8">
        <v>157</v>
      </c>
    </row>
    <row r="9" spans="2:7" x14ac:dyDescent="0.25">
      <c r="B9">
        <v>4.66</v>
      </c>
      <c r="C9">
        <v>148</v>
      </c>
      <c r="F9">
        <v>4.66</v>
      </c>
      <c r="G9">
        <v>151</v>
      </c>
    </row>
    <row r="10" spans="2:7" x14ac:dyDescent="0.25">
      <c r="B10">
        <v>4.76</v>
      </c>
      <c r="C10">
        <v>141</v>
      </c>
      <c r="F10">
        <v>4.76</v>
      </c>
      <c r="G10">
        <v>145</v>
      </c>
    </row>
    <row r="11" spans="2:7" x14ac:dyDescent="0.25">
      <c r="B11">
        <v>4.8600000000000003</v>
      </c>
      <c r="C11">
        <v>135</v>
      </c>
      <c r="F11">
        <v>4.8600000000000003</v>
      </c>
      <c r="G11">
        <v>138</v>
      </c>
    </row>
    <row r="12" spans="2:7" x14ac:dyDescent="0.25">
      <c r="B12">
        <v>4.96</v>
      </c>
      <c r="C12">
        <v>128</v>
      </c>
      <c r="F12">
        <v>4.96</v>
      </c>
      <c r="G12">
        <v>132</v>
      </c>
    </row>
    <row r="13" spans="2:7" x14ac:dyDescent="0.25">
      <c r="B13">
        <v>5.0600000000000103</v>
      </c>
      <c r="C13">
        <v>121</v>
      </c>
      <c r="F13">
        <v>5.0600000000000103</v>
      </c>
      <c r="G13">
        <v>125</v>
      </c>
    </row>
    <row r="14" spans="2:7" x14ac:dyDescent="0.25">
      <c r="B14">
        <v>5.1600000000000099</v>
      </c>
      <c r="C14">
        <v>115</v>
      </c>
      <c r="F14">
        <v>5.1600000000000099</v>
      </c>
      <c r="G14">
        <v>119</v>
      </c>
    </row>
    <row r="15" spans="2:7" x14ac:dyDescent="0.25">
      <c r="B15">
        <v>5.2600000000000096</v>
      </c>
      <c r="C15">
        <v>109</v>
      </c>
      <c r="F15">
        <v>5.2600000000000096</v>
      </c>
      <c r="G15">
        <v>112</v>
      </c>
    </row>
    <row r="16" spans="2:7" x14ac:dyDescent="0.25">
      <c r="B16">
        <v>5.3600000000000101</v>
      </c>
      <c r="C16">
        <v>103</v>
      </c>
      <c r="F16">
        <v>5.3600000000000101</v>
      </c>
      <c r="G16">
        <v>106</v>
      </c>
    </row>
    <row r="17" spans="2:7" x14ac:dyDescent="0.25">
      <c r="B17">
        <v>5.4600000000000097</v>
      </c>
      <c r="C17">
        <v>97</v>
      </c>
      <c r="F17">
        <v>5.4600000000000097</v>
      </c>
      <c r="G17">
        <v>100</v>
      </c>
    </row>
    <row r="18" spans="2:7" x14ac:dyDescent="0.25">
      <c r="B18">
        <v>5.5600000000000103</v>
      </c>
      <c r="C18">
        <v>92</v>
      </c>
      <c r="F18">
        <v>5.5600000000000103</v>
      </c>
      <c r="G18">
        <v>95</v>
      </c>
    </row>
    <row r="19" spans="2:7" x14ac:dyDescent="0.25">
      <c r="B19">
        <v>5.6600000000000099</v>
      </c>
      <c r="C19">
        <v>87</v>
      </c>
      <c r="F19">
        <v>5.6600000000000099</v>
      </c>
      <c r="G19">
        <v>90</v>
      </c>
    </row>
    <row r="20" spans="2:7" x14ac:dyDescent="0.25">
      <c r="B20">
        <v>5.7600000000000096</v>
      </c>
      <c r="C20">
        <v>82</v>
      </c>
      <c r="F20">
        <v>5.7600000000000096</v>
      </c>
      <c r="G20">
        <v>85</v>
      </c>
    </row>
    <row r="21" spans="2:7" x14ac:dyDescent="0.25">
      <c r="B21">
        <v>5.8600000000000101</v>
      </c>
      <c r="C21">
        <v>77</v>
      </c>
      <c r="F21">
        <v>5.8600000000000101</v>
      </c>
      <c r="G21">
        <v>80</v>
      </c>
    </row>
    <row r="22" spans="2:7" x14ac:dyDescent="0.25">
      <c r="B22">
        <v>5.9600000000000097</v>
      </c>
      <c r="C22">
        <v>73</v>
      </c>
      <c r="F22">
        <v>5.9600000000000097</v>
      </c>
      <c r="G22">
        <v>76</v>
      </c>
    </row>
    <row r="23" spans="2:7" x14ac:dyDescent="0.25">
      <c r="B23">
        <v>6.0600000000000103</v>
      </c>
      <c r="C23">
        <v>69</v>
      </c>
      <c r="F23">
        <v>6.0600000000000103</v>
      </c>
      <c r="G23">
        <v>72</v>
      </c>
    </row>
    <row r="24" spans="2:7" x14ac:dyDescent="0.25">
      <c r="B24">
        <v>6.1600000000000099</v>
      </c>
      <c r="C24">
        <v>65</v>
      </c>
      <c r="F24">
        <v>6.1600000000000099</v>
      </c>
      <c r="G24">
        <v>68</v>
      </c>
    </row>
    <row r="27" spans="2:7" x14ac:dyDescent="0.25">
      <c r="B27">
        <f>LINEST(C3:C24,B3:B24,,FALSE)</f>
        <v>-56.600790513833623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9"/>
  <sheetViews>
    <sheetView workbookViewId="0">
      <selection activeCell="K4" sqref="K4"/>
    </sheetView>
  </sheetViews>
  <sheetFormatPr baseColWidth="10" defaultRowHeight="15" x14ac:dyDescent="0.25"/>
  <cols>
    <col min="1" max="1" width="11.85546875" bestFit="1" customWidth="1"/>
    <col min="2" max="2" width="11.85546875" customWidth="1"/>
    <col min="3" max="3" width="19" bestFit="1" customWidth="1"/>
    <col min="4" max="4" width="13.7109375" bestFit="1" customWidth="1"/>
    <col min="5" max="5" width="17.7109375" bestFit="1" customWidth="1"/>
    <col min="6" max="6" width="8.85546875" customWidth="1"/>
    <col min="7" max="7" width="12.140625" bestFit="1" customWidth="1"/>
    <col min="9" max="9" width="12" bestFit="1" customWidth="1"/>
    <col min="10" max="10" width="21.28515625" customWidth="1"/>
    <col min="11" max="11" width="17.7109375" bestFit="1" customWidth="1"/>
  </cols>
  <sheetData>
    <row r="2" spans="1:16" x14ac:dyDescent="0.25">
      <c r="B2" t="s">
        <v>14</v>
      </c>
      <c r="C2" t="s">
        <v>15</v>
      </c>
      <c r="D2" s="3" t="s">
        <v>7</v>
      </c>
      <c r="E2" t="s">
        <v>8</v>
      </c>
      <c r="F2" t="s">
        <v>9</v>
      </c>
      <c r="G2" t="s">
        <v>10</v>
      </c>
      <c r="H2" t="s">
        <v>17</v>
      </c>
      <c r="I2" t="s">
        <v>33</v>
      </c>
      <c r="L2" t="s">
        <v>31</v>
      </c>
    </row>
    <row r="3" spans="1:16" x14ac:dyDescent="0.25">
      <c r="A3" t="s">
        <v>0</v>
      </c>
      <c r="D3" s="3"/>
      <c r="J3" s="3"/>
      <c r="L3" s="3" t="s">
        <v>11</v>
      </c>
      <c r="M3" t="s">
        <v>30</v>
      </c>
      <c r="N3" t="s">
        <v>32</v>
      </c>
      <c r="O3" t="s">
        <v>19</v>
      </c>
      <c r="P3" t="s">
        <v>35</v>
      </c>
    </row>
    <row r="4" spans="1:16" x14ac:dyDescent="0.25">
      <c r="A4" t="s">
        <v>4</v>
      </c>
      <c r="B4" s="5">
        <v>3</v>
      </c>
      <c r="C4" s="5">
        <v>1</v>
      </c>
      <c r="D4" s="3">
        <f>836*B4*C4</f>
        <v>2508</v>
      </c>
      <c r="E4" t="s">
        <v>16</v>
      </c>
      <c r="F4">
        <f>0.5*B16+B17</f>
        <v>0.32999999999999996</v>
      </c>
      <c r="G4" s="5">
        <v>138</v>
      </c>
      <c r="H4">
        <f>F4*D4+G4*C4*B4</f>
        <v>1241.6399999999999</v>
      </c>
      <c r="I4">
        <f>H4/D4</f>
        <v>0.49507177033492816</v>
      </c>
      <c r="J4" s="3" t="s">
        <v>22</v>
      </c>
      <c r="K4">
        <f>836*B4*C4-141*B7*C7</f>
        <v>1380</v>
      </c>
      <c r="L4" s="3">
        <f>0.5*D4</f>
        <v>1254</v>
      </c>
      <c r="M4">
        <f>D4</f>
        <v>2508</v>
      </c>
      <c r="P4">
        <f t="shared" ref="P4:P7" si="0">G4*B4*C4</f>
        <v>414</v>
      </c>
    </row>
    <row r="5" spans="1:16" x14ac:dyDescent="0.25">
      <c r="D5" s="3"/>
      <c r="J5" s="3"/>
      <c r="L5" s="3"/>
    </row>
    <row r="6" spans="1:16" x14ac:dyDescent="0.25">
      <c r="A6" t="s">
        <v>1</v>
      </c>
      <c r="D6" s="3"/>
      <c r="J6" s="3"/>
      <c r="L6" s="3"/>
    </row>
    <row r="7" spans="1:16" x14ac:dyDescent="0.25">
      <c r="A7" t="s">
        <v>5</v>
      </c>
      <c r="B7" s="5">
        <v>8</v>
      </c>
      <c r="C7" s="5">
        <v>1</v>
      </c>
      <c r="D7" s="3">
        <f>IF(836*B4*C4&gt;141*B7*C7,141*B7*C7,D4)</f>
        <v>1128</v>
      </c>
      <c r="E7" t="s">
        <v>18</v>
      </c>
      <c r="F7">
        <f>3*B16+I4*2</f>
        <v>1.8901435406698561</v>
      </c>
      <c r="G7" s="5">
        <v>151</v>
      </c>
      <c r="H7">
        <f>G7*B7*C7+D7*F7</f>
        <v>3340.0819138755978</v>
      </c>
      <c r="I7">
        <f>H7/D7</f>
        <v>2.9610655264854588</v>
      </c>
      <c r="J7" s="3" t="s">
        <v>22</v>
      </c>
      <c r="K7">
        <f>D7-B12*B10*C10</f>
        <v>20.027416890505492</v>
      </c>
      <c r="L7" s="3">
        <f>3*D7</f>
        <v>3384</v>
      </c>
      <c r="N7">
        <f>2*D7</f>
        <v>2256</v>
      </c>
      <c r="P7">
        <f t="shared" si="0"/>
        <v>1208</v>
      </c>
    </row>
    <row r="8" spans="1:16" x14ac:dyDescent="0.25">
      <c r="D8" s="3"/>
      <c r="J8" s="3"/>
      <c r="L8" s="3"/>
    </row>
    <row r="9" spans="1:16" x14ac:dyDescent="0.25">
      <c r="A9" t="s">
        <v>2</v>
      </c>
      <c r="D9" s="3"/>
      <c r="J9" s="3"/>
      <c r="L9" s="3"/>
    </row>
    <row r="10" spans="1:16" x14ac:dyDescent="0.25">
      <c r="A10" t="s">
        <v>6</v>
      </c>
      <c r="B10" s="5">
        <v>12</v>
      </c>
      <c r="C10" s="5">
        <v>1</v>
      </c>
      <c r="D10" s="3">
        <f>IF(B12*B10*C10&lt;D7,B12*B10*C10,D7)</f>
        <v>1107.9725831094945</v>
      </c>
      <c r="E10" t="s">
        <v>19</v>
      </c>
      <c r="F10">
        <f>I7</f>
        <v>2.9610655264854588</v>
      </c>
      <c r="G10" s="5">
        <v>155</v>
      </c>
      <c r="H10">
        <f>F10*D10+B10*C10*G10</f>
        <v>5140.7794201365687</v>
      </c>
      <c r="I10">
        <f>H10/D10</f>
        <v>4.6398074271017729</v>
      </c>
      <c r="J10" s="3" t="s">
        <v>21</v>
      </c>
      <c r="K10" t="s">
        <v>23</v>
      </c>
      <c r="L10" s="3"/>
      <c r="O10">
        <f>D10</f>
        <v>1107.9725831094945</v>
      </c>
    </row>
    <row r="11" spans="1:16" x14ac:dyDescent="0.25">
      <c r="A11" s="1" t="s">
        <v>20</v>
      </c>
      <c r="B11" s="8">
        <v>5.7394354801371295</v>
      </c>
      <c r="C11" s="1"/>
      <c r="D11" s="3"/>
      <c r="E11" s="1"/>
      <c r="F11" s="1"/>
      <c r="G11" s="1"/>
      <c r="H11" s="1"/>
      <c r="I11" s="1"/>
      <c r="J11" s="3">
        <f>(B11-I10)*D10</f>
        <v>1218.3577343812483</v>
      </c>
      <c r="K11">
        <f>J11/D10</f>
        <v>1.0996280530353566</v>
      </c>
      <c r="L11" s="3"/>
    </row>
    <row r="12" spans="1:16" x14ac:dyDescent="0.25">
      <c r="A12" s="2" t="s">
        <v>34</v>
      </c>
      <c r="B12" s="2">
        <f>408-55*B11</f>
        <v>92.331048592457876</v>
      </c>
      <c r="C12" s="2"/>
      <c r="D12" s="4"/>
      <c r="E12" s="2"/>
      <c r="F12" s="2"/>
      <c r="G12" s="2"/>
      <c r="H12" s="2"/>
      <c r="I12" s="2"/>
      <c r="J12" s="3"/>
      <c r="K12" s="10"/>
      <c r="L12" s="4"/>
      <c r="M12" s="2"/>
      <c r="N12" s="2"/>
      <c r="O12" s="2"/>
      <c r="P12" s="2"/>
    </row>
    <row r="13" spans="1:16" x14ac:dyDescent="0.25">
      <c r="A13" s="1"/>
      <c r="B13" s="1"/>
      <c r="C13" s="1"/>
      <c r="D13" s="1"/>
      <c r="E13" s="1"/>
      <c r="F13" s="1"/>
      <c r="G13" s="1"/>
      <c r="H13" s="1"/>
      <c r="I13" s="1"/>
      <c r="K13" t="s">
        <v>36</v>
      </c>
      <c r="L13">
        <f>SUM(L4:L12)</f>
        <v>4638</v>
      </c>
      <c r="M13">
        <f>SUM(M4:M12)</f>
        <v>2508</v>
      </c>
      <c r="N13">
        <f>SUM(N4:N12)</f>
        <v>2256</v>
      </c>
      <c r="O13">
        <f>SUM(O4:O12)</f>
        <v>1107.9725831094945</v>
      </c>
      <c r="P13">
        <f>SUM(P4:P12)</f>
        <v>1622</v>
      </c>
    </row>
    <row r="14" spans="1:16" x14ac:dyDescent="0.25">
      <c r="A14" s="1"/>
      <c r="B14" s="1"/>
      <c r="C14" s="1"/>
      <c r="D14" s="1"/>
      <c r="E14" s="1"/>
      <c r="F14" s="1"/>
      <c r="G14" s="1"/>
      <c r="H14" s="1"/>
      <c r="I14" s="1"/>
      <c r="K14" t="s">
        <v>37</v>
      </c>
      <c r="L14">
        <f>L13*24</f>
        <v>111312</v>
      </c>
      <c r="M14">
        <f t="shared" ref="M14:P14" si="1">M13*24</f>
        <v>60192</v>
      </c>
      <c r="N14">
        <f t="shared" si="1"/>
        <v>54144</v>
      </c>
      <c r="O14">
        <f t="shared" si="1"/>
        <v>26591.341994627866</v>
      </c>
      <c r="P14">
        <f t="shared" si="1"/>
        <v>38928</v>
      </c>
    </row>
    <row r="15" spans="1:16" x14ac:dyDescent="0.25">
      <c r="A15" s="1"/>
      <c r="B15" s="1" t="s">
        <v>13</v>
      </c>
      <c r="C15" s="1" t="s">
        <v>27</v>
      </c>
      <c r="D15" s="9" t="s">
        <v>28</v>
      </c>
      <c r="E15" s="1"/>
      <c r="F15" s="1"/>
      <c r="G15" s="1"/>
      <c r="H15" s="1"/>
      <c r="I15" s="1"/>
    </row>
    <row r="16" spans="1:16" x14ac:dyDescent="0.25">
      <c r="A16" t="s">
        <v>11</v>
      </c>
      <c r="B16" s="5">
        <v>0.3</v>
      </c>
      <c r="C16">
        <f>0.5*D4+3*D7*C7</f>
        <v>4638</v>
      </c>
      <c r="D16">
        <f>C16*24</f>
        <v>111312</v>
      </c>
    </row>
    <row r="17" spans="1:5" x14ac:dyDescent="0.25">
      <c r="A17" t="s">
        <v>30</v>
      </c>
      <c r="B17">
        <v>0.18</v>
      </c>
      <c r="C17">
        <f>D4</f>
        <v>2508</v>
      </c>
      <c r="D17">
        <f>C17*24</f>
        <v>60192</v>
      </c>
    </row>
    <row r="18" spans="1:5" x14ac:dyDescent="0.25">
      <c r="A18" t="s">
        <v>29</v>
      </c>
    </row>
    <row r="19" spans="1:5" x14ac:dyDescent="0.25">
      <c r="E19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tabSelected="1" workbookViewId="0">
      <selection activeCell="I4" sqref="I4"/>
    </sheetView>
  </sheetViews>
  <sheetFormatPr baseColWidth="10" defaultRowHeight="15" x14ac:dyDescent="0.25"/>
  <sheetData>
    <row r="1" spans="1:9" x14ac:dyDescent="0.25">
      <c r="B1" t="s">
        <v>40</v>
      </c>
      <c r="C1" t="s">
        <v>41</v>
      </c>
      <c r="D1" t="s">
        <v>42</v>
      </c>
      <c r="E1" t="s">
        <v>43</v>
      </c>
      <c r="F1" t="s">
        <v>44</v>
      </c>
      <c r="G1" t="s">
        <v>45</v>
      </c>
    </row>
    <row r="2" spans="1:9" x14ac:dyDescent="0.25">
      <c r="A2">
        <v>5</v>
      </c>
      <c r="B2">
        <v>0.78</v>
      </c>
      <c r="C2">
        <v>14</v>
      </c>
      <c r="D2">
        <v>10</v>
      </c>
      <c r="E2">
        <f>C2*60 +D2</f>
        <v>850</v>
      </c>
      <c r="F2">
        <f>3600/E2</f>
        <v>4.2352941176470589</v>
      </c>
      <c r="G2">
        <f>F2*B2</f>
        <v>3.303529411764706</v>
      </c>
    </row>
    <row r="3" spans="1:9" x14ac:dyDescent="0.25">
      <c r="A3">
        <v>5.0999999999999996</v>
      </c>
      <c r="B3">
        <v>0.82</v>
      </c>
      <c r="C3">
        <v>14</v>
      </c>
      <c r="D3">
        <v>49</v>
      </c>
      <c r="E3">
        <f t="shared" ref="E3:E19" si="0">C3*60 +D3</f>
        <v>889</v>
      </c>
      <c r="F3">
        <f t="shared" ref="F3:F19" si="1">3600/E3</f>
        <v>4.0494938132733411</v>
      </c>
      <c r="G3">
        <f t="shared" ref="G3:G19" si="2">F3*B3</f>
        <v>3.3205849268841394</v>
      </c>
      <c r="I3" t="s">
        <v>46</v>
      </c>
    </row>
    <row r="4" spans="1:9" x14ac:dyDescent="0.25">
      <c r="A4">
        <v>5.2</v>
      </c>
      <c r="B4">
        <v>0.86</v>
      </c>
      <c r="C4">
        <v>15</v>
      </c>
      <c r="D4">
        <v>33</v>
      </c>
      <c r="E4">
        <f t="shared" si="0"/>
        <v>933</v>
      </c>
      <c r="F4">
        <f t="shared" si="1"/>
        <v>3.8585209003215435</v>
      </c>
      <c r="G4">
        <f t="shared" si="2"/>
        <v>3.3183279742765275</v>
      </c>
    </row>
    <row r="5" spans="1:9" x14ac:dyDescent="0.25">
      <c r="A5">
        <v>5.3</v>
      </c>
      <c r="B5">
        <v>0.9</v>
      </c>
      <c r="C5">
        <v>16</v>
      </c>
      <c r="D5">
        <v>20</v>
      </c>
      <c r="E5">
        <f t="shared" si="0"/>
        <v>980</v>
      </c>
      <c r="F5">
        <f t="shared" si="1"/>
        <v>3.6734693877551021</v>
      </c>
      <c r="G5">
        <f t="shared" si="2"/>
        <v>3.306122448979592</v>
      </c>
    </row>
    <row r="6" spans="1:9" x14ac:dyDescent="0.25">
      <c r="A6">
        <v>5.4</v>
      </c>
      <c r="B6">
        <v>0.93</v>
      </c>
      <c r="C6">
        <v>17</v>
      </c>
      <c r="D6">
        <v>11</v>
      </c>
      <c r="E6">
        <f t="shared" si="0"/>
        <v>1031</v>
      </c>
      <c r="F6">
        <f t="shared" si="1"/>
        <v>3.4917555771096023</v>
      </c>
      <c r="G6">
        <f t="shared" si="2"/>
        <v>3.2473326867119301</v>
      </c>
    </row>
    <row r="7" spans="1:9" x14ac:dyDescent="0.25">
      <c r="A7">
        <v>5.5</v>
      </c>
      <c r="B7">
        <v>0.95</v>
      </c>
      <c r="C7">
        <v>18</v>
      </c>
      <c r="D7">
        <v>6</v>
      </c>
      <c r="E7">
        <f t="shared" si="0"/>
        <v>1086</v>
      </c>
      <c r="F7">
        <f t="shared" si="1"/>
        <v>3.3149171270718232</v>
      </c>
      <c r="G7">
        <f t="shared" si="2"/>
        <v>3.1491712707182318</v>
      </c>
    </row>
    <row r="8" spans="1:9" x14ac:dyDescent="0.25">
      <c r="A8">
        <v>5.6</v>
      </c>
      <c r="B8">
        <v>0.97</v>
      </c>
      <c r="C8">
        <v>19</v>
      </c>
      <c r="D8">
        <v>6</v>
      </c>
      <c r="E8">
        <f t="shared" si="0"/>
        <v>1146</v>
      </c>
      <c r="F8">
        <f t="shared" si="1"/>
        <v>3.1413612565445028</v>
      </c>
      <c r="G8">
        <f t="shared" si="2"/>
        <v>3.0471204188481678</v>
      </c>
    </row>
    <row r="9" spans="1:9" x14ac:dyDescent="0.25">
      <c r="A9">
        <v>5.7</v>
      </c>
      <c r="B9">
        <v>0.99</v>
      </c>
      <c r="C9">
        <v>20</v>
      </c>
      <c r="D9">
        <v>10</v>
      </c>
      <c r="E9">
        <f t="shared" si="0"/>
        <v>1210</v>
      </c>
      <c r="F9">
        <f t="shared" si="1"/>
        <v>2.9752066115702478</v>
      </c>
      <c r="G9">
        <f t="shared" si="2"/>
        <v>2.9454545454545453</v>
      </c>
    </row>
    <row r="10" spans="1:9" x14ac:dyDescent="0.25">
      <c r="A10">
        <v>5.8</v>
      </c>
      <c r="B10">
        <v>1</v>
      </c>
      <c r="C10">
        <v>21</v>
      </c>
      <c r="D10">
        <v>17</v>
      </c>
      <c r="E10">
        <f t="shared" si="0"/>
        <v>1277</v>
      </c>
      <c r="F10">
        <f t="shared" si="1"/>
        <v>2.8191072826938135</v>
      </c>
      <c r="G10">
        <f t="shared" si="2"/>
        <v>2.8191072826938135</v>
      </c>
    </row>
    <row r="11" spans="1:9" x14ac:dyDescent="0.25">
      <c r="A11">
        <v>5.9</v>
      </c>
      <c r="B11">
        <v>1</v>
      </c>
      <c r="C11">
        <v>22</v>
      </c>
      <c r="D11">
        <v>29</v>
      </c>
      <c r="E11">
        <f t="shared" si="0"/>
        <v>1349</v>
      </c>
      <c r="F11">
        <f t="shared" si="1"/>
        <v>2.6686434395848777</v>
      </c>
      <c r="G11">
        <f t="shared" si="2"/>
        <v>2.6686434395848777</v>
      </c>
    </row>
    <row r="12" spans="1:9" x14ac:dyDescent="0.25">
      <c r="A12">
        <v>6</v>
      </c>
      <c r="B12">
        <v>1</v>
      </c>
      <c r="C12">
        <v>23</v>
      </c>
      <c r="D12">
        <v>45</v>
      </c>
      <c r="E12">
        <f t="shared" si="0"/>
        <v>1425</v>
      </c>
      <c r="F12">
        <f t="shared" si="1"/>
        <v>2.5263157894736841</v>
      </c>
      <c r="G12">
        <f t="shared" si="2"/>
        <v>2.5263157894736841</v>
      </c>
    </row>
    <row r="13" spans="1:9" x14ac:dyDescent="0.25">
      <c r="A13">
        <v>6.1</v>
      </c>
      <c r="B13">
        <v>0.99</v>
      </c>
      <c r="C13">
        <v>25</v>
      </c>
      <c r="D13">
        <v>5</v>
      </c>
      <c r="E13">
        <f t="shared" si="0"/>
        <v>1505</v>
      </c>
      <c r="F13">
        <f t="shared" si="1"/>
        <v>2.3920265780730898</v>
      </c>
      <c r="G13">
        <f t="shared" si="2"/>
        <v>2.3681063122923591</v>
      </c>
    </row>
    <row r="14" spans="1:9" x14ac:dyDescent="0.25">
      <c r="A14">
        <v>6.2</v>
      </c>
      <c r="B14">
        <v>0.98</v>
      </c>
      <c r="C14">
        <v>26</v>
      </c>
      <c r="D14">
        <v>29</v>
      </c>
      <c r="E14">
        <f t="shared" si="0"/>
        <v>1589</v>
      </c>
      <c r="F14">
        <f t="shared" si="1"/>
        <v>2.2655758338577723</v>
      </c>
      <c r="G14">
        <f t="shared" si="2"/>
        <v>2.2202643171806167</v>
      </c>
    </row>
    <row r="15" spans="1:9" x14ac:dyDescent="0.25">
      <c r="A15">
        <v>6.3</v>
      </c>
      <c r="B15">
        <v>0.96</v>
      </c>
      <c r="C15">
        <v>27</v>
      </c>
      <c r="D15">
        <v>57</v>
      </c>
      <c r="E15">
        <f t="shared" si="0"/>
        <v>1677</v>
      </c>
      <c r="F15">
        <f t="shared" si="1"/>
        <v>2.1466905187835419</v>
      </c>
      <c r="G15">
        <f t="shared" si="2"/>
        <v>2.0608228980322001</v>
      </c>
    </row>
    <row r="16" spans="1:9" x14ac:dyDescent="0.25">
      <c r="A16">
        <v>6.4</v>
      </c>
      <c r="B16">
        <v>0.93</v>
      </c>
      <c r="C16">
        <v>29</v>
      </c>
      <c r="D16">
        <v>29</v>
      </c>
      <c r="E16">
        <f t="shared" si="0"/>
        <v>1769</v>
      </c>
      <c r="F16">
        <f t="shared" si="1"/>
        <v>2.0350480497456189</v>
      </c>
      <c r="G16">
        <f t="shared" si="2"/>
        <v>1.8925946862634258</v>
      </c>
    </row>
    <row r="17" spans="1:7" x14ac:dyDescent="0.25">
      <c r="A17">
        <v>6.4999999999999902</v>
      </c>
      <c r="B17">
        <v>0.9</v>
      </c>
      <c r="C17">
        <v>31</v>
      </c>
      <c r="D17">
        <v>5</v>
      </c>
      <c r="E17">
        <f t="shared" si="0"/>
        <v>1865</v>
      </c>
      <c r="F17">
        <f t="shared" si="1"/>
        <v>1.9302949061662198</v>
      </c>
      <c r="G17">
        <f t="shared" si="2"/>
        <v>1.7372654155495979</v>
      </c>
    </row>
    <row r="18" spans="1:7" x14ac:dyDescent="0.25">
      <c r="A18">
        <v>6.5999999999999899</v>
      </c>
      <c r="B18">
        <v>0.87</v>
      </c>
      <c r="C18">
        <v>32</v>
      </c>
      <c r="D18">
        <v>45</v>
      </c>
      <c r="E18">
        <f t="shared" si="0"/>
        <v>1965</v>
      </c>
      <c r="F18">
        <f t="shared" si="1"/>
        <v>1.83206106870229</v>
      </c>
      <c r="G18">
        <f t="shared" si="2"/>
        <v>1.5938931297709924</v>
      </c>
    </row>
    <row r="19" spans="1:7" x14ac:dyDescent="0.25">
      <c r="A19">
        <v>6.6999999999999904</v>
      </c>
      <c r="B19">
        <v>0.82</v>
      </c>
      <c r="C19">
        <v>34</v>
      </c>
      <c r="D19">
        <v>30</v>
      </c>
      <c r="E19">
        <f t="shared" si="0"/>
        <v>2070</v>
      </c>
      <c r="F19">
        <f t="shared" si="1"/>
        <v>1.7391304347826086</v>
      </c>
      <c r="G19">
        <f t="shared" si="2"/>
        <v>1.4260869565217391</v>
      </c>
    </row>
  </sheetData>
  <conditionalFormatting sqref="F2:F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Hoja2</vt:lpstr>
      <vt:lpstr>Hoja3</vt:lpstr>
      <vt:lpstr>Hoja4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</dc:creator>
  <cp:lastModifiedBy>OF</cp:lastModifiedBy>
  <dcterms:created xsi:type="dcterms:W3CDTF">2021-02-02T03:42:33Z</dcterms:created>
  <dcterms:modified xsi:type="dcterms:W3CDTF">2021-02-10T19:17:14Z</dcterms:modified>
</cp:coreProperties>
</file>