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SimCompanies\"/>
    </mc:Choice>
  </mc:AlternateContent>
  <bookViews>
    <workbookView xWindow="0" yWindow="0" windowWidth="20490" windowHeight="7650" firstSheet="5" activeTab="6"/>
  </bookViews>
  <sheets>
    <sheet name="All of them" sheetId="12" r:id="rId1"/>
    <sheet name="Jumbo jet" sheetId="8" r:id="rId2"/>
    <sheet name="Luxury jet" sheetId="7" r:id="rId3"/>
    <sheet name="s. Engine" sheetId="11" r:id="rId4"/>
    <sheet name="BFRs" sheetId="9" r:id="rId5"/>
    <sheet name="SORs" sheetId="5" r:id="rId6"/>
    <sheet name="Rocket production" sheetId="13" r:id="rId7"/>
    <sheet name="Production Plans second stage" sheetId="15" r:id="rId8"/>
    <sheet name="Production Plans final stage" sheetId="1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3" l="1"/>
  <c r="C19" i="13"/>
  <c r="I32" i="14"/>
  <c r="I33" i="14" s="1"/>
  <c r="I31" i="15"/>
  <c r="I32" i="15" s="1"/>
  <c r="C35" i="15"/>
  <c r="C36" i="14"/>
  <c r="H31" i="14"/>
  <c r="F3" i="14"/>
  <c r="H30" i="15"/>
  <c r="F3" i="15"/>
  <c r="F27" i="15"/>
  <c r="I27" i="15" s="1"/>
  <c r="C42" i="15"/>
  <c r="C43" i="15" s="1"/>
  <c r="C34" i="15"/>
  <c r="I30" i="15"/>
  <c r="G30" i="15"/>
  <c r="H23" i="15"/>
  <c r="C23" i="15"/>
  <c r="I23" i="15" s="1"/>
  <c r="B23" i="15"/>
  <c r="B9" i="15" s="1"/>
  <c r="H22" i="15"/>
  <c r="C22" i="15"/>
  <c r="I22" i="15" s="1"/>
  <c r="B22" i="15"/>
  <c r="B6" i="15" s="1"/>
  <c r="H18" i="15"/>
  <c r="J18" i="15" s="1"/>
  <c r="E18" i="15"/>
  <c r="B10" i="15"/>
  <c r="B8" i="15"/>
  <c r="C7" i="15"/>
  <c r="E23" i="15" s="1"/>
  <c r="J23" i="15" s="1"/>
  <c r="B7" i="15"/>
  <c r="C6" i="15"/>
  <c r="C35" i="14"/>
  <c r="G31" i="14"/>
  <c r="I31" i="14"/>
  <c r="C43" i="14"/>
  <c r="C44" i="14" s="1"/>
  <c r="H27" i="14"/>
  <c r="I27" i="14"/>
  <c r="I28" i="14" s="1"/>
  <c r="I29" i="14" s="1"/>
  <c r="H23" i="14"/>
  <c r="B23" i="14"/>
  <c r="B8" i="14" s="1"/>
  <c r="H22" i="14"/>
  <c r="C22" i="14"/>
  <c r="I22" i="14" s="1"/>
  <c r="B22" i="14"/>
  <c r="B6" i="14" s="1"/>
  <c r="H18" i="14"/>
  <c r="E18" i="14"/>
  <c r="C7" i="14"/>
  <c r="C6" i="14"/>
  <c r="E22" i="15" l="1"/>
  <c r="J22" i="15" s="1"/>
  <c r="E27" i="15" s="1"/>
  <c r="J27" i="15" s="1"/>
  <c r="E30" i="15" s="1"/>
  <c r="D7" i="15"/>
  <c r="E7" i="15" s="1"/>
  <c r="F7" i="15" s="1"/>
  <c r="D10" i="15"/>
  <c r="E10" i="15" s="1"/>
  <c r="F10" i="15" s="1"/>
  <c r="D6" i="15"/>
  <c r="E6" i="15" s="1"/>
  <c r="F6" i="15" s="1"/>
  <c r="D9" i="15"/>
  <c r="E9" i="15" s="1"/>
  <c r="F9" i="15" s="1"/>
  <c r="C18" i="15"/>
  <c r="D8" i="15"/>
  <c r="E8" i="15" s="1"/>
  <c r="F8" i="15" s="1"/>
  <c r="I24" i="15"/>
  <c r="I25" i="15" s="1"/>
  <c r="B18" i="15"/>
  <c r="D6" i="14"/>
  <c r="E6" i="14" s="1"/>
  <c r="F6" i="14" s="1"/>
  <c r="J18" i="14"/>
  <c r="E22" i="14" s="1"/>
  <c r="J22" i="14" s="1"/>
  <c r="B10" i="14"/>
  <c r="B18" i="14"/>
  <c r="B9" i="14"/>
  <c r="B7" i="14"/>
  <c r="C23" i="14"/>
  <c r="J30" i="15" l="1"/>
  <c r="C44" i="15" s="1"/>
  <c r="C45" i="15" s="1"/>
  <c r="D3" i="15"/>
  <c r="E3" i="15" s="1"/>
  <c r="D4" i="15"/>
  <c r="E4" i="15" s="1"/>
  <c r="F4" i="15" s="1"/>
  <c r="I18" i="15"/>
  <c r="I19" i="15" s="1"/>
  <c r="I20" i="15" s="1"/>
  <c r="D5" i="15"/>
  <c r="E5" i="15" s="1"/>
  <c r="F5" i="15" s="1"/>
  <c r="C36" i="15"/>
  <c r="C37" i="15" s="1"/>
  <c r="B5" i="15"/>
  <c r="B3" i="15"/>
  <c r="B4" i="15"/>
  <c r="E23" i="14"/>
  <c r="J23" i="14" s="1"/>
  <c r="E27" i="14" s="1"/>
  <c r="J27" i="14" s="1"/>
  <c r="D9" i="14"/>
  <c r="E9" i="14" s="1"/>
  <c r="F9" i="14" s="1"/>
  <c r="D10" i="14"/>
  <c r="E10" i="14" s="1"/>
  <c r="F10" i="14" s="1"/>
  <c r="D7" i="14"/>
  <c r="E7" i="14" s="1"/>
  <c r="F7" i="14" s="1"/>
  <c r="D8" i="14"/>
  <c r="E8" i="14" s="1"/>
  <c r="F8" i="14" s="1"/>
  <c r="I23" i="14"/>
  <c r="I24" i="14" s="1"/>
  <c r="I25" i="14" s="1"/>
  <c r="B3" i="14"/>
  <c r="B4" i="14"/>
  <c r="B5" i="14"/>
  <c r="C18" i="14"/>
  <c r="E11" i="15" l="1"/>
  <c r="F11" i="15" s="1"/>
  <c r="E31" i="14"/>
  <c r="C37" i="14"/>
  <c r="C38" i="14" s="1"/>
  <c r="D3" i="14"/>
  <c r="E3" i="14" s="1"/>
  <c r="D4" i="14"/>
  <c r="E4" i="14" s="1"/>
  <c r="F4" i="14" s="1"/>
  <c r="I18" i="14"/>
  <c r="I19" i="14" s="1"/>
  <c r="I20" i="14" s="1"/>
  <c r="D5" i="14"/>
  <c r="E5" i="14" s="1"/>
  <c r="F5" i="14" s="1"/>
  <c r="F11" i="14" l="1"/>
  <c r="J31" i="14"/>
  <c r="C45" i="14" s="1"/>
  <c r="C46" i="14" s="1"/>
  <c r="E11" i="14"/>
  <c r="B4" i="13"/>
  <c r="B5" i="13"/>
  <c r="B3" i="13"/>
  <c r="C45" i="9"/>
  <c r="B51" i="9"/>
  <c r="B52" i="9"/>
  <c r="B53" i="9"/>
  <c r="B54" i="9"/>
  <c r="B55" i="9"/>
  <c r="C55" i="9" s="1"/>
  <c r="B56" i="9"/>
  <c r="B57" i="9"/>
  <c r="B58" i="9"/>
  <c r="B59" i="9"/>
  <c r="C59" i="9" s="1"/>
  <c r="B60" i="9"/>
  <c r="B50" i="9"/>
  <c r="B28" i="9"/>
  <c r="B32" i="9" s="1"/>
  <c r="B27" i="9"/>
  <c r="B25" i="9" s="1"/>
  <c r="C51" i="9" l="1"/>
  <c r="C58" i="9"/>
  <c r="C54" i="9"/>
  <c r="D55" i="9" s="1"/>
  <c r="D59" i="9"/>
  <c r="C60" i="9"/>
  <c r="D60" i="9" s="1"/>
  <c r="C56" i="9"/>
  <c r="D56" i="9" s="1"/>
  <c r="C52" i="9"/>
  <c r="D52" i="9" s="1"/>
  <c r="C57" i="9"/>
  <c r="C53" i="9"/>
  <c r="B35" i="9"/>
  <c r="B26" i="9"/>
  <c r="B31" i="9"/>
  <c r="B24" i="9"/>
  <c r="D5" i="13" l="1"/>
  <c r="E5" i="13" s="1"/>
  <c r="F5" i="13" s="1"/>
  <c r="D3" i="13"/>
  <c r="E3" i="13" s="1"/>
  <c r="F3" i="13" s="1"/>
  <c r="D53" i="9"/>
  <c r="D57" i="9"/>
  <c r="D54" i="9"/>
  <c r="D58" i="9"/>
  <c r="D4" i="13" l="1"/>
  <c r="E4" i="13" s="1"/>
  <c r="I13" i="13"/>
  <c r="I14" i="13" s="1"/>
  <c r="I15" i="13" s="1"/>
  <c r="H13" i="13"/>
  <c r="E13" i="13"/>
  <c r="E6" i="13" l="1"/>
  <c r="F4" i="13"/>
  <c r="F6" i="13" s="1"/>
  <c r="J13" i="13"/>
  <c r="C20" i="13" s="1"/>
  <c r="K24" i="11"/>
  <c r="K25" i="11"/>
  <c r="K28" i="11"/>
  <c r="K31" i="11"/>
  <c r="K34" i="11"/>
  <c r="K36" i="11"/>
  <c r="J25" i="11"/>
  <c r="J24" i="11"/>
  <c r="J28" i="11"/>
  <c r="J31" i="11"/>
  <c r="J34" i="11"/>
  <c r="K24" i="7"/>
  <c r="K25" i="7"/>
  <c r="K28" i="7"/>
  <c r="K31" i="7"/>
  <c r="K34" i="7"/>
  <c r="K36" i="7"/>
  <c r="J34" i="7"/>
  <c r="J31" i="7"/>
  <c r="J28" i="7"/>
  <c r="J25" i="7"/>
  <c r="J24" i="7"/>
  <c r="K31" i="8"/>
  <c r="K25" i="8"/>
  <c r="K28" i="8"/>
  <c r="K34" i="8"/>
  <c r="K24" i="8"/>
  <c r="K36" i="8"/>
  <c r="J34" i="8"/>
  <c r="J31" i="8"/>
  <c r="J28" i="8"/>
  <c r="J25" i="8"/>
  <c r="J24" i="8"/>
  <c r="L25" i="9" l="1"/>
  <c r="L31" i="5" l="1"/>
  <c r="L35" i="5"/>
  <c r="L38" i="5"/>
  <c r="L27" i="5"/>
  <c r="L35" i="9"/>
  <c r="M33" i="9"/>
  <c r="L32" i="9"/>
  <c r="L31" i="9"/>
  <c r="L26" i="9"/>
  <c r="L24" i="9"/>
  <c r="L28" i="9"/>
  <c r="L27" i="9"/>
  <c r="L38" i="9"/>
  <c r="J30" i="5"/>
  <c r="J29" i="5"/>
  <c r="K31" i="5" s="1"/>
  <c r="K40" i="5" s="1"/>
  <c r="J34" i="5"/>
  <c r="J33" i="5"/>
  <c r="K35" i="5" s="1"/>
  <c r="J25" i="5"/>
  <c r="J24" i="5"/>
  <c r="J26" i="5"/>
  <c r="K38" i="5"/>
  <c r="J37" i="5"/>
  <c r="G52" i="12"/>
  <c r="G51" i="12"/>
  <c r="G50" i="12"/>
  <c r="G47" i="12"/>
  <c r="G46" i="12"/>
  <c r="G43" i="12"/>
  <c r="H43" i="12" s="1"/>
  <c r="D43" i="12"/>
  <c r="G42" i="12"/>
  <c r="D42" i="12"/>
  <c r="H42" i="12" s="1"/>
  <c r="G41" i="12"/>
  <c r="D41" i="12"/>
  <c r="H41" i="12" s="1"/>
  <c r="H40" i="12"/>
  <c r="G40" i="12"/>
  <c r="D40" i="12"/>
  <c r="G39" i="12"/>
  <c r="H39" i="12" s="1"/>
  <c r="D39" i="12"/>
  <c r="G36" i="12"/>
  <c r="G35" i="12"/>
  <c r="D35" i="12"/>
  <c r="H35" i="12" s="1"/>
  <c r="H34" i="12"/>
  <c r="G34" i="12"/>
  <c r="D34" i="12"/>
  <c r="G33" i="12"/>
  <c r="H33" i="12" s="1"/>
  <c r="D36" i="12" s="1"/>
  <c r="H36" i="12" s="1"/>
  <c r="D33" i="12"/>
  <c r="G30" i="12"/>
  <c r="G29" i="12"/>
  <c r="G28" i="12"/>
  <c r="G27" i="12"/>
  <c r="H27" i="12" s="1"/>
  <c r="D27" i="12"/>
  <c r="G26" i="12"/>
  <c r="D26" i="12"/>
  <c r="H26" i="12" s="1"/>
  <c r="G25" i="12"/>
  <c r="D25" i="12"/>
  <c r="H25" i="12" s="1"/>
  <c r="H24" i="12"/>
  <c r="D51" i="12" s="1"/>
  <c r="H51" i="12" s="1"/>
  <c r="G24" i="12"/>
  <c r="D24" i="12"/>
  <c r="M39" i="9" l="1"/>
  <c r="M41" i="9" s="1"/>
  <c r="M36" i="9"/>
  <c r="N36" i="9" s="1"/>
  <c r="M29" i="9"/>
  <c r="K27" i="5"/>
  <c r="D30" i="12"/>
  <c r="H30" i="12" s="1"/>
  <c r="D50" i="12"/>
  <c r="H50" i="12" s="1"/>
  <c r="D29" i="12"/>
  <c r="H29" i="12" s="1"/>
  <c r="D47" i="12" s="1"/>
  <c r="H47" i="12" s="1"/>
  <c r="D28" i="12"/>
  <c r="H28" i="12" s="1"/>
  <c r="D46" i="12" s="1"/>
  <c r="H46" i="12" s="1"/>
  <c r="D52" i="12"/>
  <c r="H52" i="12" s="1"/>
  <c r="G34" i="11"/>
  <c r="G31" i="11"/>
  <c r="D31" i="11"/>
  <c r="G28" i="11"/>
  <c r="D28" i="11"/>
  <c r="G25" i="11"/>
  <c r="D25" i="11"/>
  <c r="G24" i="11"/>
  <c r="D24" i="11"/>
  <c r="H24" i="11" s="1"/>
  <c r="H38" i="9"/>
  <c r="H35" i="9"/>
  <c r="E35" i="9"/>
  <c r="H32" i="9"/>
  <c r="E32" i="9"/>
  <c r="H31" i="9"/>
  <c r="E31" i="9"/>
  <c r="H28" i="9"/>
  <c r="H27" i="9"/>
  <c r="H26" i="9"/>
  <c r="E26" i="9"/>
  <c r="H25" i="9"/>
  <c r="E25" i="9"/>
  <c r="H24" i="9"/>
  <c r="E24" i="9"/>
  <c r="G34" i="8"/>
  <c r="G31" i="8"/>
  <c r="D31" i="8"/>
  <c r="G28" i="8"/>
  <c r="D28" i="8"/>
  <c r="G25" i="8"/>
  <c r="D25" i="8"/>
  <c r="G24" i="8"/>
  <c r="D24" i="8"/>
  <c r="G34" i="7"/>
  <c r="G31" i="7"/>
  <c r="D31" i="7"/>
  <c r="H31" i="7" s="1"/>
  <c r="G28" i="7"/>
  <c r="D28" i="7"/>
  <c r="G25" i="7"/>
  <c r="D25" i="7"/>
  <c r="G24" i="7"/>
  <c r="D24" i="7"/>
  <c r="N25" i="9" l="1"/>
  <c r="N38" i="9"/>
  <c r="N28" i="9"/>
  <c r="N26" i="9"/>
  <c r="N27" i="9"/>
  <c r="N32" i="9"/>
  <c r="N24" i="9"/>
  <c r="N31" i="9"/>
  <c r="N35" i="9"/>
  <c r="N29" i="9"/>
  <c r="N33" i="9"/>
  <c r="N39" i="9"/>
  <c r="H28" i="11"/>
  <c r="H25" i="11"/>
  <c r="H31" i="11"/>
  <c r="H28" i="7"/>
  <c r="H25" i="7"/>
  <c r="H24" i="7"/>
  <c r="D34" i="7" s="1"/>
  <c r="H34" i="7" s="1"/>
  <c r="H25" i="8"/>
  <c r="H28" i="8"/>
  <c r="H24" i="8"/>
  <c r="H31" i="8"/>
  <c r="I24" i="9"/>
  <c r="J24" i="9" s="1"/>
  <c r="I25" i="9"/>
  <c r="J25" i="9" s="1"/>
  <c r="I31" i="9"/>
  <c r="J31" i="9" s="1"/>
  <c r="I32" i="9"/>
  <c r="J32" i="9" s="1"/>
  <c r="I35" i="9"/>
  <c r="J35" i="9" s="1"/>
  <c r="I26" i="9"/>
  <c r="J26" i="9" s="1"/>
  <c r="D34" i="5"/>
  <c r="D33" i="5"/>
  <c r="D30" i="5"/>
  <c r="D29" i="5"/>
  <c r="D25" i="5"/>
  <c r="D24" i="5"/>
  <c r="G29" i="5"/>
  <c r="G30" i="5"/>
  <c r="G33" i="5"/>
  <c r="G34" i="5"/>
  <c r="G37" i="5"/>
  <c r="G25" i="5"/>
  <c r="G26" i="5"/>
  <c r="G24" i="5"/>
  <c r="D34" i="11" l="1"/>
  <c r="H34" i="11" s="1"/>
  <c r="D34" i="8"/>
  <c r="H34" i="8" s="1"/>
  <c r="E27" i="9"/>
  <c r="I27" i="9" s="1"/>
  <c r="E28" i="9"/>
  <c r="I28" i="9" s="1"/>
  <c r="H33" i="5"/>
  <c r="H30" i="5"/>
  <c r="H34" i="5"/>
  <c r="H29" i="5"/>
  <c r="H24" i="5"/>
  <c r="H25" i="5"/>
  <c r="E38" i="9" l="1"/>
  <c r="I38" i="9" s="1"/>
  <c r="D26" i="5"/>
  <c r="H26" i="5" s="1"/>
  <c r="D37" i="5" s="1"/>
  <c r="H37" i="5" s="1"/>
</calcChain>
</file>

<file path=xl/sharedStrings.xml><?xml version="1.0" encoding="utf-8"?>
<sst xmlns="http://schemas.openxmlformats.org/spreadsheetml/2006/main" count="463" uniqueCount="130">
  <si>
    <t>Carbon composite</t>
  </si>
  <si>
    <t xml:space="preserve">RAW MATERIAL </t>
  </si>
  <si>
    <t>MARKET PRICE</t>
  </si>
  <si>
    <t xml:space="preserve">AEROSPACE FACTORY </t>
  </si>
  <si>
    <t>REQUIREMENTS</t>
  </si>
  <si>
    <t>Fuselage</t>
  </si>
  <si>
    <t>UNITS PER HOUR</t>
  </si>
  <si>
    <t>UNIT WORKER COST</t>
  </si>
  <si>
    <t>UNIT ADMIN COST</t>
  </si>
  <si>
    <t>ADMIN OVERHEAD</t>
  </si>
  <si>
    <t>Aluminium</t>
  </si>
  <si>
    <t>Wing</t>
  </si>
  <si>
    <t>30*Carbon composite + 5 Aluminium</t>
  </si>
  <si>
    <t>Propellant tank</t>
  </si>
  <si>
    <t>TRANSPORT UNITS</t>
  </si>
  <si>
    <t>40*Carbon composite</t>
  </si>
  <si>
    <t>50 Aluminium + 250 Rocket fuel</t>
  </si>
  <si>
    <t>Rocket fuel</t>
  </si>
  <si>
    <t>Heat shield</t>
  </si>
  <si>
    <t>20 Steel + 30 Silicon</t>
  </si>
  <si>
    <t>Sub orbital  2nd stage</t>
  </si>
  <si>
    <t xml:space="preserve">8 Fuselage + 2 Propellant tank + 2 Flight computer + 4 Ion drive + 2 Attitude control </t>
  </si>
  <si>
    <t xml:space="preserve">40 Fuselage + 16 Propellant tank + 34 Rocket engine </t>
  </si>
  <si>
    <t>Starship</t>
  </si>
  <si>
    <t>Orbital booster</t>
  </si>
  <si>
    <t>2 Cockpit + 10 Heat shield + 4 Attitude control + 6 Propellant tank + 7 Rocket engine</t>
  </si>
  <si>
    <t>AEROSPACE ELECTRONICS</t>
  </si>
  <si>
    <t>Flight computer</t>
  </si>
  <si>
    <t>4 High grade e-comps + 2 On-board computer</t>
  </si>
  <si>
    <t>Cockpit</t>
  </si>
  <si>
    <t>4 High grade e comps + 8 Displays + 1 basic interior</t>
  </si>
  <si>
    <t>Attitude control</t>
  </si>
  <si>
    <t xml:space="preserve">3 Steel + 5 batteries + 3 electric motor </t>
  </si>
  <si>
    <t>Satellite</t>
  </si>
  <si>
    <t xml:space="preserve">8 High grade e-comps + 4 flight computer + 1 ion drive + 2 Attitude control </t>
  </si>
  <si>
    <t>PROPULSION FACTORY</t>
  </si>
  <si>
    <t>Solid fuel booster</t>
  </si>
  <si>
    <t xml:space="preserve">30 Aluminium + 100 Rocket fuel + 50 Chemicals </t>
  </si>
  <si>
    <t>Rocket engine</t>
  </si>
  <si>
    <t>20 Steel + 8 High grade e-comps + 10 Aluminium</t>
  </si>
  <si>
    <t>Ion drive</t>
  </si>
  <si>
    <t xml:space="preserve">8 High grade e-comps + 30 Batteries + 15 Chemicals </t>
  </si>
  <si>
    <t>Jet engine</t>
  </si>
  <si>
    <t>4 High grade e-comps + 5 Aluminium</t>
  </si>
  <si>
    <t>VERTICAL INTEGRATION FACILITY</t>
  </si>
  <si>
    <t>Sub-orbital rocket</t>
  </si>
  <si>
    <t>1 Solid fuel booster + 1 Sub-orbital 2nd stage</t>
  </si>
  <si>
    <t>BFR</t>
  </si>
  <si>
    <t>1 Orbital booster + 1 Starship</t>
  </si>
  <si>
    <t>HANGAR</t>
  </si>
  <si>
    <t>Jumbo jet</t>
  </si>
  <si>
    <t>40 Fuselage + 10 Wing + 2 Cockpit + 140 Basic interior + 4 Jet engine</t>
  </si>
  <si>
    <t>Luxury jet</t>
  </si>
  <si>
    <t xml:space="preserve">14 Fuselage + 2 Wing + 1 Cockpit + 2 Golden bars + 2 Jet engine </t>
  </si>
  <si>
    <t xml:space="preserve">Single engine plane </t>
  </si>
  <si>
    <t xml:space="preserve">TOTAL COST </t>
  </si>
  <si>
    <t>Basic interior</t>
  </si>
  <si>
    <t>Golden bars</t>
  </si>
  <si>
    <t>Steel</t>
  </si>
  <si>
    <t>Silicon</t>
  </si>
  <si>
    <t>High grade e-comps</t>
  </si>
  <si>
    <t>On-board computer</t>
  </si>
  <si>
    <t>Displays</t>
  </si>
  <si>
    <t>Batteries</t>
  </si>
  <si>
    <t>Electric motor</t>
  </si>
  <si>
    <t>Chemicals</t>
  </si>
  <si>
    <t>Combustion engine</t>
  </si>
  <si>
    <t>6 Steel + 5 Chemicals + 5 Electronic components</t>
  </si>
  <si>
    <t>Electronic components</t>
  </si>
  <si>
    <t>8 Fuselage + 2 Wing + 1 Cockpit + 1 Combustion engine</t>
  </si>
  <si>
    <t>In order to become an Aerospacial supplier/ retailer</t>
  </si>
  <si>
    <t xml:space="preserve">required labor hours </t>
  </si>
  <si>
    <t>required hours aerospace factory</t>
  </si>
  <si>
    <t>required vertical integration facilities</t>
  </si>
  <si>
    <t>required hours propulsion</t>
  </si>
  <si>
    <t>required hours aerospace electronics</t>
  </si>
  <si>
    <t>total hours vertical integration</t>
  </si>
  <si>
    <t>total hours propulsion factory</t>
  </si>
  <si>
    <t>total hours aerospace factory</t>
  </si>
  <si>
    <t>total hours aerospace electronics</t>
  </si>
  <si>
    <t xml:space="preserve">total hours </t>
  </si>
  <si>
    <t>labor times in building</t>
  </si>
  <si>
    <t xml:space="preserve">proportional labor times </t>
  </si>
  <si>
    <t>total required hours</t>
  </si>
  <si>
    <t>UNIT RESOURCES COSTS</t>
  </si>
  <si>
    <t>REQUIRED CASH</t>
  </si>
  <si>
    <t>LVL</t>
  </si>
  <si>
    <t>Expected profit</t>
  </si>
  <si>
    <t>Price</t>
  </si>
  <si>
    <t>Quantity</t>
  </si>
  <si>
    <t>Quality</t>
  </si>
  <si>
    <t xml:space="preserve">FOR ASR: </t>
  </si>
  <si>
    <t>First difference</t>
  </si>
  <si>
    <t>Second difference</t>
  </si>
  <si>
    <t>AEROSPACE FACTORY</t>
  </si>
  <si>
    <t>PRODUCED UNITS</t>
  </si>
  <si>
    <t xml:space="preserve">Attitude control </t>
  </si>
  <si>
    <t>At this moment we assume that most of the elements will be bought at the market. It is also assumed that we buy q2 at minimum so BFRs are</t>
  </si>
  <si>
    <t>at most q4. This way we do not spend too much in investigation, at the expense of having some idle buildings.</t>
  </si>
  <si>
    <t>NEEDS PER BFR</t>
  </si>
  <si>
    <t>REQUIRED HOURS</t>
  </si>
  <si>
    <t>QUALITY</t>
  </si>
  <si>
    <t>BUILDING SLOTS</t>
  </si>
  <si>
    <t>BUILDING REQ. AVG LVL</t>
  </si>
  <si>
    <t>Given any slots, there's a building required level to produce the specified amount of BFR's every hour</t>
  </si>
  <si>
    <t>Level required to produce the specified amount in 1 hour with the defined amount of buildings</t>
  </si>
  <si>
    <t>selling price</t>
  </si>
  <si>
    <t xml:space="preserve">hourly profit </t>
  </si>
  <si>
    <t>daily profit</t>
  </si>
  <si>
    <t>TOTAL BUILDING LVL</t>
  </si>
  <si>
    <t>selling BFR</t>
  </si>
  <si>
    <t xml:space="preserve">selling ASR </t>
  </si>
  <si>
    <t xml:space="preserve">amount per launch </t>
  </si>
  <si>
    <t>probability of failure</t>
  </si>
  <si>
    <t>Expected selling price</t>
  </si>
  <si>
    <t>Expected hourly profit</t>
  </si>
  <si>
    <t>Expected daily profit</t>
  </si>
  <si>
    <t>LAUNCHPAD</t>
  </si>
  <si>
    <t>1 BFR</t>
  </si>
  <si>
    <t xml:space="preserve">Launchpad level: </t>
  </si>
  <si>
    <t>BFR with VIF rent</t>
  </si>
  <si>
    <t>For the first stage we only pretend to sell BFRs</t>
  </si>
  <si>
    <t>For the second stage we pretend to build a high q launchpad and sell ASR</t>
  </si>
  <si>
    <t>REQUIRED CASH PER HOUR</t>
  </si>
  <si>
    <t>REQUIRED CASH PER DAY</t>
  </si>
  <si>
    <t>PRODUCED UNITS PER HOUR</t>
  </si>
  <si>
    <t>Assuming we will prefer to launch our BFRs</t>
  </si>
  <si>
    <t xml:space="preserve">Assuming we can produce our own high quality BFRs. </t>
  </si>
  <si>
    <t>UNITS PER HOUR PER LEVEL</t>
  </si>
  <si>
    <t>daily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</si>
</sst>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 applyBorder="1"/>
    <xf numFmtId="0" fontId="0" fillId="2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0" fontId="0" fillId="0" borderId="0" xfId="1" applyNumberFormat="1" applyFont="1"/>
    <xf numFmtId="10" fontId="1" fillId="0" borderId="0" xfId="1" applyNumberFormat="1" applyFont="1"/>
    <xf numFmtId="0" fontId="0" fillId="0" borderId="10" xfId="0" applyBorder="1"/>
    <xf numFmtId="0" fontId="0" fillId="0" borderId="0" xfId="0" applyFill="1" applyBorder="1"/>
    <xf numFmtId="0" fontId="0" fillId="0" borderId="8" xfId="0" applyFill="1" applyBorder="1"/>
    <xf numFmtId="0" fontId="0" fillId="0" borderId="0" xfId="0" quotePrefix="1" applyBorder="1"/>
    <xf numFmtId="0" fontId="0" fillId="11" borderId="0" xfId="0" applyFill="1" applyBorder="1"/>
    <xf numFmtId="0" fontId="0" fillId="0" borderId="0" xfId="0" quotePrefix="1" applyFill="1" applyBorder="1"/>
    <xf numFmtId="0" fontId="1" fillId="0" borderId="0" xfId="0" applyFont="1" applyFill="1" applyBorder="1"/>
    <xf numFmtId="0" fontId="0" fillId="8" borderId="0" xfId="0" applyFill="1" applyBorder="1"/>
    <xf numFmtId="0" fontId="0" fillId="4" borderId="0" xfId="0" applyFill="1" applyBorder="1"/>
    <xf numFmtId="0" fontId="0" fillId="0" borderId="0" xfId="0" applyFont="1" applyFill="1" applyBorder="1"/>
    <xf numFmtId="0" fontId="0" fillId="7" borderId="0" xfId="0" applyFill="1" applyBorder="1"/>
    <xf numFmtId="0" fontId="0" fillId="3" borderId="0" xfId="0" applyFill="1" applyBorder="1"/>
    <xf numFmtId="0" fontId="0" fillId="5" borderId="0" xfId="0" applyFill="1" applyBorder="1"/>
    <xf numFmtId="0" fontId="2" fillId="3" borderId="0" xfId="0" applyFont="1" applyFill="1" applyBorder="1"/>
    <xf numFmtId="0" fontId="1" fillId="4" borderId="0" xfId="0" applyFont="1" applyFill="1" applyBorder="1"/>
    <xf numFmtId="0" fontId="4" fillId="0" borderId="0" xfId="0" applyFont="1" applyFill="1" applyBorder="1"/>
    <xf numFmtId="0" fontId="4" fillId="0" borderId="0" xfId="0" applyFont="1"/>
    <xf numFmtId="0" fontId="4" fillId="2" borderId="0" xfId="0" applyFont="1" applyFill="1" applyBorder="1"/>
    <xf numFmtId="0" fontId="0" fillId="11" borderId="0" xfId="0" applyFill="1"/>
    <xf numFmtId="0" fontId="5" fillId="0" borderId="0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7"/>
  <sheetViews>
    <sheetView topLeftCell="A6" zoomScale="70" zoomScaleNormal="70" workbookViewId="0">
      <selection activeCell="I31" sqref="I3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9" x14ac:dyDescent="0.25">
      <c r="A22" s="2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9" x14ac:dyDescent="0.25">
      <c r="A23" s="29" t="s">
        <v>3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24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30" si="0">$E$2*F24</f>
        <v>46.065888000000001</v>
      </c>
      <c r="H24" s="4">
        <f>D24+F24+G24</f>
        <v>2845.9058880000002</v>
      </c>
      <c r="I24" s="4"/>
    </row>
    <row r="25" spans="1:9" x14ac:dyDescent="0.25">
      <c r="A25" s="24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52" si="1">D25+F25+G25</f>
        <v>2158.8875840000001</v>
      </c>
      <c r="I25" s="4"/>
    </row>
    <row r="26" spans="1:9" x14ac:dyDescent="0.25">
      <c r="A26" s="24" t="s">
        <v>13</v>
      </c>
      <c r="B26" s="24">
        <v>1</v>
      </c>
      <c r="C26" s="26" t="s">
        <v>16</v>
      </c>
      <c r="D26" s="4">
        <f>50*B4+250*B5</f>
        <v>9450</v>
      </c>
      <c r="E26" s="4">
        <v>5</v>
      </c>
      <c r="F26" s="4">
        <v>117.22</v>
      </c>
      <c r="G26" s="4">
        <f t="shared" si="0"/>
        <v>33.782803999999999</v>
      </c>
      <c r="H26" s="4">
        <f t="shared" si="1"/>
        <v>9601.0028039999997</v>
      </c>
      <c r="I26" s="4"/>
    </row>
    <row r="27" spans="1:9" x14ac:dyDescent="0.25">
      <c r="A27" s="24" t="s">
        <v>18</v>
      </c>
      <c r="B27" s="4">
        <v>1</v>
      </c>
      <c r="C27" s="26" t="s">
        <v>19</v>
      </c>
      <c r="D27" s="4">
        <f>20*B8+30*B9</f>
        <v>454</v>
      </c>
      <c r="E27" s="4">
        <v>13.34</v>
      </c>
      <c r="F27" s="4">
        <v>43.96</v>
      </c>
      <c r="G27" s="4">
        <f t="shared" si="0"/>
        <v>12.669272000000001</v>
      </c>
      <c r="H27" s="4">
        <f t="shared" si="1"/>
        <v>510.62927199999996</v>
      </c>
      <c r="I27" s="4"/>
    </row>
    <row r="28" spans="1:9" x14ac:dyDescent="0.25">
      <c r="A28" s="24" t="s">
        <v>20</v>
      </c>
      <c r="B28" s="4">
        <v>20</v>
      </c>
      <c r="C28" s="26" t="s">
        <v>21</v>
      </c>
      <c r="D28" s="4">
        <f>8*H24+2*H26+2*H33+4*H41+2*H35</f>
        <v>100316.59010000002</v>
      </c>
      <c r="E28" s="4">
        <v>3.34</v>
      </c>
      <c r="F28" s="4">
        <v>175.82</v>
      </c>
      <c r="G28" s="4">
        <f t="shared" si="0"/>
        <v>50.671323999999998</v>
      </c>
      <c r="H28" s="4">
        <f t="shared" si="1"/>
        <v>100543.08142400002</v>
      </c>
      <c r="I28" s="4"/>
    </row>
    <row r="29" spans="1:9" x14ac:dyDescent="0.25">
      <c r="A29" s="24" t="s">
        <v>24</v>
      </c>
      <c r="B29" s="4">
        <v>100</v>
      </c>
      <c r="C29" s="26" t="s">
        <v>22</v>
      </c>
      <c r="D29" s="4">
        <f>40*H24+16*H26+34*H40</f>
        <v>618766.05109199998</v>
      </c>
      <c r="E29" s="4">
        <v>1.67</v>
      </c>
      <c r="F29" s="4">
        <v>351.65</v>
      </c>
      <c r="G29" s="4">
        <f t="shared" si="0"/>
        <v>101.34553</v>
      </c>
      <c r="H29" s="4">
        <f t="shared" si="1"/>
        <v>619219.04662200005</v>
      </c>
      <c r="I29" s="4"/>
    </row>
    <row r="30" spans="1:9" x14ac:dyDescent="0.25">
      <c r="A30" s="24" t="s">
        <v>23</v>
      </c>
      <c r="B30" s="4">
        <v>100</v>
      </c>
      <c r="C30" s="26" t="s">
        <v>25</v>
      </c>
      <c r="D30" s="4">
        <f>2*H34+10*H27+4*H35+6*H26+7*H40</f>
        <v>151183.570198</v>
      </c>
      <c r="E30" s="4">
        <v>0.33</v>
      </c>
      <c r="F30" s="4">
        <v>1758.23</v>
      </c>
      <c r="G30" s="4">
        <f t="shared" si="0"/>
        <v>506.72188600000004</v>
      </c>
      <c r="H30" s="4">
        <f t="shared" si="1"/>
        <v>153448.52208400003</v>
      </c>
      <c r="I30" s="4"/>
    </row>
    <row r="31" spans="1:9" x14ac:dyDescent="0.25">
      <c r="A31" s="2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29" t="s">
        <v>26</v>
      </c>
      <c r="B32" s="4"/>
      <c r="C32" s="4"/>
      <c r="D32" s="4"/>
      <c r="E32" s="4"/>
      <c r="F32" s="4"/>
      <c r="G32" s="4"/>
      <c r="H32" s="4"/>
      <c r="I32" s="4"/>
    </row>
    <row r="33" spans="1:9" x14ac:dyDescent="0.25">
      <c r="A33" s="24" t="s">
        <v>27</v>
      </c>
      <c r="B33" s="4">
        <v>1</v>
      </c>
      <c r="C33" s="26" t="s">
        <v>28</v>
      </c>
      <c r="D33" s="4">
        <f>4*B10+2*B11</f>
        <v>4596</v>
      </c>
      <c r="E33" s="4">
        <v>2.56</v>
      </c>
      <c r="F33" s="4">
        <v>283.24</v>
      </c>
      <c r="G33" s="4">
        <f>$E$2*F33</f>
        <v>81.629768000000013</v>
      </c>
      <c r="H33" s="4">
        <f t="shared" si="1"/>
        <v>4960.8697679999996</v>
      </c>
      <c r="I33" s="4"/>
    </row>
    <row r="34" spans="1:9" x14ac:dyDescent="0.25">
      <c r="A34" s="24" t="s">
        <v>29</v>
      </c>
      <c r="B34" s="4">
        <v>1</v>
      </c>
      <c r="C34" s="26" t="s">
        <v>30</v>
      </c>
      <c r="D34" s="4">
        <f>4*B10+8*B12+B6</f>
        <v>4922</v>
      </c>
      <c r="E34" s="4">
        <v>2.56</v>
      </c>
      <c r="F34" s="4">
        <v>283.24</v>
      </c>
      <c r="G34" s="4">
        <f>$E$2*F34</f>
        <v>81.629768000000013</v>
      </c>
      <c r="H34" s="4">
        <f t="shared" si="1"/>
        <v>5286.8697679999996</v>
      </c>
      <c r="I34" s="4"/>
    </row>
    <row r="35" spans="1:9" x14ac:dyDescent="0.25">
      <c r="A35" s="24" t="s">
        <v>31</v>
      </c>
      <c r="B35" s="4">
        <v>1</v>
      </c>
      <c r="C35" s="26" t="s">
        <v>32</v>
      </c>
      <c r="D35" s="4">
        <f>3*B8+5*B13+3*B14</f>
        <v>1088</v>
      </c>
      <c r="E35" s="4">
        <v>3.07</v>
      </c>
      <c r="F35" s="4">
        <v>236.03</v>
      </c>
      <c r="G35" s="4">
        <f>$E$2*F35</f>
        <v>68.023846000000006</v>
      </c>
      <c r="H35" s="4">
        <f t="shared" si="1"/>
        <v>1392.053846</v>
      </c>
      <c r="I35" s="4"/>
    </row>
    <row r="36" spans="1:9" x14ac:dyDescent="0.25">
      <c r="A36" s="24" t="s">
        <v>33</v>
      </c>
      <c r="B36" s="4">
        <v>10</v>
      </c>
      <c r="C36" s="26" t="s">
        <v>34</v>
      </c>
      <c r="D36" s="4">
        <f>8*B10+4*H33+H41+2*H35</f>
        <v>41397.959303999996</v>
      </c>
      <c r="E36" s="4">
        <v>0.13</v>
      </c>
      <c r="F36" s="4">
        <v>5664.7</v>
      </c>
      <c r="G36" s="4">
        <f>$E$2*F36</f>
        <v>1632.56654</v>
      </c>
      <c r="H36" s="4">
        <f t="shared" si="1"/>
        <v>48695.225843999993</v>
      </c>
      <c r="I36" s="4"/>
    </row>
    <row r="37" spans="1:9" x14ac:dyDescent="0.25">
      <c r="A37" s="24"/>
      <c r="B37" s="4"/>
      <c r="C37" s="4"/>
      <c r="D37" s="4"/>
      <c r="E37" s="4"/>
      <c r="F37" s="4"/>
      <c r="G37" s="4"/>
      <c r="H37" s="4"/>
      <c r="I37" s="4"/>
    </row>
    <row r="38" spans="1:9" x14ac:dyDescent="0.25">
      <c r="A38" s="29" t="s">
        <v>35</v>
      </c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24" t="s">
        <v>36</v>
      </c>
      <c r="B39" s="4">
        <v>1</v>
      </c>
      <c r="C39" s="26" t="s">
        <v>37</v>
      </c>
      <c r="D39" s="4">
        <f>30*B4+100*B5+50*B15</f>
        <v>4700</v>
      </c>
      <c r="E39" s="4">
        <v>0.31</v>
      </c>
      <c r="F39" s="4">
        <v>1989.41</v>
      </c>
      <c r="G39" s="4">
        <f>$E$2*F39</f>
        <v>573.34796200000005</v>
      </c>
      <c r="H39" s="4">
        <f t="shared" si="1"/>
        <v>7262.7579619999997</v>
      </c>
      <c r="I39" s="4"/>
    </row>
    <row r="40" spans="1:9" x14ac:dyDescent="0.25">
      <c r="A40" s="24" t="s">
        <v>38</v>
      </c>
      <c r="B40" s="4">
        <v>1</v>
      </c>
      <c r="C40" s="26" t="s">
        <v>39</v>
      </c>
      <c r="D40" s="4">
        <f>20*B8+8*B10+10*B4</f>
        <v>7770</v>
      </c>
      <c r="E40" s="4">
        <v>0.28999999999999998</v>
      </c>
      <c r="F40" s="4">
        <v>1989.41</v>
      </c>
      <c r="G40" s="4">
        <f>$E$2*F40</f>
        <v>573.34796200000005</v>
      </c>
      <c r="H40" s="4">
        <f t="shared" si="1"/>
        <v>10332.757962</v>
      </c>
      <c r="I40" s="4"/>
    </row>
    <row r="41" spans="1:9" x14ac:dyDescent="0.25">
      <c r="A41" s="24" t="s">
        <v>40</v>
      </c>
      <c r="B41" s="4">
        <v>1</v>
      </c>
      <c r="C41" s="26" t="s">
        <v>41</v>
      </c>
      <c r="D41" s="4">
        <f>8*B10+30*B13+15*B15</f>
        <v>10129</v>
      </c>
      <c r="E41" s="4">
        <v>0.62</v>
      </c>
      <c r="F41" s="4">
        <v>994.7</v>
      </c>
      <c r="G41" s="4">
        <f>$E$2*F41</f>
        <v>286.67254000000003</v>
      </c>
      <c r="H41" s="4">
        <f t="shared" si="1"/>
        <v>11410.37254</v>
      </c>
      <c r="I41" s="4"/>
    </row>
    <row r="42" spans="1:9" x14ac:dyDescent="0.25">
      <c r="A42" s="24" t="s">
        <v>42</v>
      </c>
      <c r="B42" s="4">
        <v>1</v>
      </c>
      <c r="C42" s="26" t="s">
        <v>43</v>
      </c>
      <c r="D42" s="4">
        <f>4*B10+5*B4</f>
        <v>3775</v>
      </c>
      <c r="E42" s="4">
        <v>0.94</v>
      </c>
      <c r="F42" s="4">
        <v>663.14</v>
      </c>
      <c r="G42" s="4">
        <f>$E$2*F42</f>
        <v>191.11694800000001</v>
      </c>
      <c r="H42" s="4">
        <f t="shared" si="1"/>
        <v>4629.2569480000002</v>
      </c>
      <c r="I42" s="4"/>
    </row>
    <row r="43" spans="1:9" x14ac:dyDescent="0.25">
      <c r="A43" s="24" t="s">
        <v>66</v>
      </c>
      <c r="B43" s="4">
        <v>2</v>
      </c>
      <c r="C43" s="26" t="s">
        <v>67</v>
      </c>
      <c r="D43" s="4">
        <f>6*B8+5*B15+5*B16</f>
        <v>421.5</v>
      </c>
      <c r="E43" s="4">
        <v>6.24</v>
      </c>
      <c r="F43" s="4">
        <v>99.47</v>
      </c>
      <c r="G43" s="4">
        <f>$E$2*F43</f>
        <v>28.667254</v>
      </c>
      <c r="H43" s="4">
        <f t="shared" si="1"/>
        <v>549.63725399999998</v>
      </c>
      <c r="I43" s="4"/>
    </row>
    <row r="44" spans="1:9" x14ac:dyDescent="0.25">
      <c r="A44" s="2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29" t="s">
        <v>44</v>
      </c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24" t="s">
        <v>45</v>
      </c>
      <c r="B46" s="4">
        <v>20</v>
      </c>
      <c r="C46" s="26" t="s">
        <v>46</v>
      </c>
      <c r="D46" s="4">
        <f>H39+H28</f>
        <v>107805.83938600002</v>
      </c>
      <c r="E46" s="4">
        <v>0.72</v>
      </c>
      <c r="F46" s="4">
        <v>1056.95</v>
      </c>
      <c r="G46" s="4">
        <f>$E$2*F46</f>
        <v>304.61299000000002</v>
      </c>
      <c r="H46" s="4">
        <f t="shared" si="1"/>
        <v>109167.40237600001</v>
      </c>
      <c r="I46" s="4"/>
    </row>
    <row r="47" spans="1:9" x14ac:dyDescent="0.25">
      <c r="A47" s="24" t="s">
        <v>47</v>
      </c>
      <c r="B47" s="4">
        <v>2000</v>
      </c>
      <c r="C47" s="26" t="s">
        <v>48</v>
      </c>
      <c r="D47" s="4">
        <f>H29+H30</f>
        <v>772667.56870600011</v>
      </c>
      <c r="E47" s="4">
        <v>0.24</v>
      </c>
      <c r="F47" s="4">
        <v>3170.85</v>
      </c>
      <c r="G47" s="4">
        <f>$E$2*F47</f>
        <v>913.83897000000002</v>
      </c>
      <c r="H47" s="4">
        <f t="shared" si="1"/>
        <v>776752.25767600012</v>
      </c>
      <c r="I47" s="4"/>
    </row>
    <row r="48" spans="1:9" x14ac:dyDescent="0.25">
      <c r="A48" s="24"/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29" t="s">
        <v>49</v>
      </c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24" t="s">
        <v>50</v>
      </c>
      <c r="B50" s="4">
        <v>2000</v>
      </c>
      <c r="C50" s="26" t="s">
        <v>51</v>
      </c>
      <c r="D50" s="4">
        <f>40*H24+10*H25+2*H34+140*B6+4*H42</f>
        <v>207355.87868800003</v>
      </c>
      <c r="E50" s="4">
        <v>7.0000000000000007E-2</v>
      </c>
      <c r="F50" s="4">
        <v>10569.51</v>
      </c>
      <c r="G50" s="4">
        <f>$E$2*F50</f>
        <v>3046.1327820000001</v>
      </c>
      <c r="H50" s="4">
        <f t="shared" si="1"/>
        <v>220971.52147000004</v>
      </c>
      <c r="I50" s="4"/>
    </row>
    <row r="51" spans="1:9" x14ac:dyDescent="0.25">
      <c r="A51" s="24" t="s">
        <v>52</v>
      </c>
      <c r="B51" s="4">
        <v>1000</v>
      </c>
      <c r="C51" s="26" t="s">
        <v>53</v>
      </c>
      <c r="D51" s="4">
        <f>14*H24+2*H25+H34+2*B7+2*H42</f>
        <v>70705.841264000002</v>
      </c>
      <c r="E51" s="4">
        <v>0.19</v>
      </c>
      <c r="F51" s="4">
        <v>3963.57</v>
      </c>
      <c r="G51" s="4">
        <f>$E$2*F51</f>
        <v>1142.300874</v>
      </c>
      <c r="H51" s="4">
        <f t="shared" si="1"/>
        <v>75811.712138000003</v>
      </c>
      <c r="I51" s="4"/>
    </row>
    <row r="52" spans="1:9" x14ac:dyDescent="0.25">
      <c r="A52" s="24" t="s">
        <v>54</v>
      </c>
      <c r="B52" s="24">
        <v>100</v>
      </c>
      <c r="C52" s="26" t="s">
        <v>69</v>
      </c>
      <c r="D52" s="4">
        <f>8*H24+2*H25+H34+H43</f>
        <v>32921.529294</v>
      </c>
      <c r="E52" s="4">
        <v>1.68</v>
      </c>
      <c r="F52" s="4">
        <v>452.98</v>
      </c>
      <c r="G52" s="4">
        <f>$E$2*F52</f>
        <v>130.54883600000002</v>
      </c>
      <c r="H52" s="4">
        <f t="shared" si="1"/>
        <v>33505.058130000005</v>
      </c>
      <c r="I52" s="4"/>
    </row>
    <row r="53" spans="1:9" x14ac:dyDescent="0.25">
      <c r="A53" s="24"/>
      <c r="B53" s="4"/>
      <c r="C53" s="4"/>
      <c r="D53" s="4"/>
      <c r="E53" s="4"/>
      <c r="F53" s="4"/>
      <c r="G53" s="4"/>
      <c r="H53" s="4"/>
      <c r="I53" s="4"/>
    </row>
    <row r="54" spans="1:9" x14ac:dyDescent="0.25">
      <c r="A54" s="1"/>
    </row>
    <row r="55" spans="1:9" x14ac:dyDescent="0.25">
      <c r="A55" s="1"/>
    </row>
    <row r="56" spans="1:9" x14ac:dyDescent="0.25">
      <c r="A56" s="1"/>
    </row>
    <row r="57" spans="1:9" x14ac:dyDescent="0.25">
      <c r="A57" s="1"/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3" zoomScale="70" zoomScaleNormal="70" workbookViewId="0">
      <selection activeCell="A18" sqref="A18:I4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10" t="s">
        <v>0</v>
      </c>
      <c r="B3" s="10">
        <v>66</v>
      </c>
    </row>
    <row r="4" spans="1:5" x14ac:dyDescent="0.25">
      <c r="A4" s="10" t="s">
        <v>10</v>
      </c>
      <c r="B4" s="10">
        <v>19</v>
      </c>
    </row>
    <row r="5" spans="1:5" x14ac:dyDescent="0.25">
      <c r="A5" t="s">
        <v>17</v>
      </c>
      <c r="B5">
        <v>34</v>
      </c>
    </row>
    <row r="6" spans="1:5" x14ac:dyDescent="0.25">
      <c r="A6" s="8" t="s">
        <v>56</v>
      </c>
      <c r="B6" s="8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10" t="s">
        <v>60</v>
      </c>
      <c r="B10" s="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10" t="s">
        <v>62</v>
      </c>
      <c r="B12" s="10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30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40/E24</f>
        <v>10.899182561307903</v>
      </c>
      <c r="K24">
        <f>J24/$K$36</f>
        <v>0.3478683389014206</v>
      </c>
    </row>
    <row r="25" spans="1:11" x14ac:dyDescent="0.25">
      <c r="A25" s="30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1">D25+F25+G25</f>
        <v>2158.8875840000001</v>
      </c>
      <c r="I25" s="4"/>
      <c r="J25">
        <f>10/E25</f>
        <v>1.1098779134295227</v>
      </c>
      <c r="K25">
        <f t="shared" ref="K25:K34" si="2">J25/$K$36</f>
        <v>3.5423884677253423E-2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30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1"/>
        <v>5286.8697679999996</v>
      </c>
      <c r="I28" s="4"/>
      <c r="J28">
        <f>2/E28</f>
        <v>0.78125</v>
      </c>
      <c r="K28">
        <f t="shared" si="2"/>
        <v>2.4935093823597921E-2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30" t="s">
        <v>42</v>
      </c>
      <c r="B31" s="4">
        <v>1</v>
      </c>
      <c r="C31" s="26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1"/>
        <v>4629.2569480000002</v>
      </c>
      <c r="I31" s="4"/>
      <c r="J31">
        <f>4/E31</f>
        <v>4.2553191489361701</v>
      </c>
      <c r="K31">
        <f t="shared" si="2"/>
        <v>0.1358166812519376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31" t="s">
        <v>50</v>
      </c>
      <c r="B34" s="4">
        <v>2000</v>
      </c>
      <c r="C34" s="26" t="s">
        <v>51</v>
      </c>
      <c r="D34" s="4">
        <f>40*H24+10*H25+2*H28+140*B6+4*H31</f>
        <v>207355.87868800003</v>
      </c>
      <c r="E34" s="4">
        <v>7.0000000000000007E-2</v>
      </c>
      <c r="F34" s="4">
        <v>10569.51</v>
      </c>
      <c r="G34" s="4">
        <f>$E$2*F34</f>
        <v>3046.1327820000001</v>
      </c>
      <c r="H34" s="4">
        <f t="shared" si="1"/>
        <v>220971.52147000004</v>
      </c>
      <c r="I34" s="4"/>
      <c r="J34">
        <f>1/E34</f>
        <v>14.285714285714285</v>
      </c>
      <c r="K34">
        <f t="shared" si="2"/>
        <v>0.45595600134579051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SUM(J34,J31,J28,J24,J25)</f>
        <v>31.331343909387879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</row>
  </sheetData>
  <conditionalFormatting sqref="H24:H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{D2C358B2-F5A8-46A3-9023-69603AEC16D0}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C358B2-F5A8-46A3-9023-69603AEC1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opLeftCell="A21" zoomScale="70" zoomScaleNormal="70" workbookViewId="0">
      <selection activeCell="A21" sqref="A21:I3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 s="9">
        <v>66</v>
      </c>
    </row>
    <row r="4" spans="1:5" x14ac:dyDescent="0.25">
      <c r="A4" s="9" t="s">
        <v>10</v>
      </c>
      <c r="B4" s="9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 s="9">
        <v>306</v>
      </c>
      <c r="D6" t="s">
        <v>70</v>
      </c>
    </row>
    <row r="7" spans="1:5" x14ac:dyDescent="0.25">
      <c r="A7" s="8" t="s">
        <v>57</v>
      </c>
      <c r="B7" s="8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 s="9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 s="9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30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14/E24</f>
        <v>3.8147138964577656</v>
      </c>
      <c r="K24">
        <f t="shared" ref="K24:K31" si="1">J24/$K$36</f>
        <v>0.32278484561943088</v>
      </c>
    </row>
    <row r="25" spans="1:11" x14ac:dyDescent="0.25">
      <c r="A25" s="30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I25" s="4"/>
      <c r="J25">
        <f>2/E25</f>
        <v>0.22197558268590456</v>
      </c>
      <c r="K25">
        <f t="shared" si="1"/>
        <v>1.8782628562284943E-2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30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I28" s="4"/>
      <c r="J28">
        <f>1/E28</f>
        <v>0.390625</v>
      </c>
      <c r="K28">
        <f t="shared" si="1"/>
        <v>3.3053024091052215E-2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30" t="s">
        <v>42</v>
      </c>
      <c r="B31" s="4">
        <v>1</v>
      </c>
      <c r="C31" s="26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2"/>
        <v>4629.2569480000002</v>
      </c>
      <c r="I31" s="4"/>
      <c r="J31">
        <f>2/E31</f>
        <v>2.1276595744680851</v>
      </c>
      <c r="K31">
        <f t="shared" si="1"/>
        <v>0.18003349292147589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31" t="s">
        <v>52</v>
      </c>
      <c r="B34" s="4">
        <v>1000</v>
      </c>
      <c r="C34" s="26" t="s">
        <v>53</v>
      </c>
      <c r="D34" s="4">
        <f>14*H24+2*H25+H28+2*B7+2*H31</f>
        <v>70705.841264000002</v>
      </c>
      <c r="E34" s="4">
        <v>0.19</v>
      </c>
      <c r="F34" s="4">
        <v>3963.57</v>
      </c>
      <c r="G34" s="4">
        <f>$E$2*F34</f>
        <v>1142.300874</v>
      </c>
      <c r="H34" s="4">
        <f t="shared" si="2"/>
        <v>75811.712138000003</v>
      </c>
      <c r="I34" s="4"/>
      <c r="J34">
        <f>1/E34</f>
        <v>5.2631578947368425</v>
      </c>
      <c r="K34">
        <f>J34/$K$36</f>
        <v>0.44534600880575614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SUM(J24:J34)</f>
        <v>11.818131948348597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</sheetData>
  <conditionalFormatting sqref="H24:H3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{0378624B-AEF5-4105-A7B1-2A5211CACD1F}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78624B-AEF5-4105-A7B1-2A5211CAC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opLeftCell="A13" zoomScale="70" zoomScaleNormal="70" workbookViewId="0">
      <selection activeCell="C28" sqref="C2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>
        <v>66</v>
      </c>
    </row>
    <row r="4" spans="1:5" x14ac:dyDescent="0.25">
      <c r="A4" s="9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s="9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9" t="s">
        <v>65</v>
      </c>
      <c r="B15">
        <v>14.6</v>
      </c>
    </row>
    <row r="16" spans="1:5" x14ac:dyDescent="0.25">
      <c r="A16" s="9" t="s">
        <v>68</v>
      </c>
      <c r="B16">
        <v>56.5</v>
      </c>
    </row>
    <row r="19" spans="1:11" x14ac:dyDescent="0.25">
      <c r="A19" s="4"/>
      <c r="B19" s="4"/>
      <c r="C19" s="4"/>
      <c r="D19" s="4"/>
      <c r="E19" s="4"/>
      <c r="F19" s="4"/>
      <c r="G19" s="4"/>
      <c r="H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</row>
    <row r="24" spans="1:11" x14ac:dyDescent="0.25">
      <c r="A24" s="30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J24">
        <f>8/E24</f>
        <v>2.1798365122615806</v>
      </c>
      <c r="K24">
        <f t="shared" ref="K24:K31" si="1">J24/$K$36</f>
        <v>0.46680175492536063</v>
      </c>
    </row>
    <row r="25" spans="1:11" x14ac:dyDescent="0.25">
      <c r="A25" s="30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J25">
        <f>2/E25</f>
        <v>0.22197558268590456</v>
      </c>
      <c r="K25">
        <f t="shared" si="1"/>
        <v>4.7535028872810033E-2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</row>
    <row r="28" spans="1:11" x14ac:dyDescent="0.25">
      <c r="A28" s="30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J28">
        <f>1/E28</f>
        <v>0.390625</v>
      </c>
      <c r="K28">
        <f t="shared" si="1"/>
        <v>8.3650509793753589E-2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</row>
    <row r="31" spans="1:11" x14ac:dyDescent="0.25">
      <c r="A31" s="30" t="s">
        <v>66</v>
      </c>
      <c r="B31" s="4">
        <v>2</v>
      </c>
      <c r="C31" s="26" t="s">
        <v>67</v>
      </c>
      <c r="D31" s="4">
        <f>6*B8+5*B15+5*B16</f>
        <v>421.5</v>
      </c>
      <c r="E31" s="4">
        <v>6.24</v>
      </c>
      <c r="F31" s="4">
        <v>99.47</v>
      </c>
      <c r="G31" s="4">
        <f>$E$2*F31</f>
        <v>28.667254</v>
      </c>
      <c r="H31" s="4">
        <f t="shared" si="2"/>
        <v>549.63725399999998</v>
      </c>
      <c r="J31">
        <f>8/E31</f>
        <v>1.2820512820512819</v>
      </c>
      <c r="K31">
        <f t="shared" si="1"/>
        <v>0.27454526291283227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</row>
    <row r="34" spans="1:11" x14ac:dyDescent="0.25">
      <c r="A34" s="31" t="s">
        <v>54</v>
      </c>
      <c r="B34" s="24">
        <v>100</v>
      </c>
      <c r="C34" s="26" t="s">
        <v>69</v>
      </c>
      <c r="D34" s="4">
        <f>8*H24+2*H25+H28+H31</f>
        <v>32921.529294</v>
      </c>
      <c r="E34" s="4">
        <v>1.68</v>
      </c>
      <c r="F34" s="4">
        <v>452.98</v>
      </c>
      <c r="G34" s="4">
        <f>$E$2*F34</f>
        <v>130.54883600000002</v>
      </c>
      <c r="H34" s="4">
        <f t="shared" si="2"/>
        <v>33505.058130000005</v>
      </c>
      <c r="J34">
        <f>1/E34</f>
        <v>0.59523809523809523</v>
      </c>
      <c r="K34">
        <f>J34/$K$36</f>
        <v>0.12746744349524355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J36" t="s">
        <v>83</v>
      </c>
      <c r="K36">
        <f>SUM(J24:J34)</f>
        <v>4.6697264722368619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</row>
  </sheetData>
  <conditionalFormatting sqref="H24:H3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{3023A3B1-1E3A-4261-8A5F-8D1DC20D5A93}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23A3B1-1E3A-4261-8A5F-8D1DC20D5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3"/>
  <sheetViews>
    <sheetView topLeftCell="A13" zoomScale="70" zoomScaleNormal="70" workbookViewId="0">
      <selection activeCell="B35" sqref="B35"/>
    </sheetView>
  </sheetViews>
  <sheetFormatPr baseColWidth="10" defaultRowHeight="15" x14ac:dyDescent="0.25"/>
  <cols>
    <col min="1" max="1" width="23.85546875" bestFit="1" customWidth="1"/>
    <col min="2" max="2" width="23.85546875" customWidth="1"/>
    <col min="3" max="3" width="17.140625" customWidth="1"/>
    <col min="4" max="4" width="75.140625" bestFit="1" customWidth="1"/>
    <col min="5" max="5" width="19.5703125" customWidth="1"/>
    <col min="9" max="9" width="14.85546875" bestFit="1" customWidth="1"/>
    <col min="10" max="10" width="14.85546875" customWidth="1"/>
    <col min="12" max="12" width="40.5703125" bestFit="1" customWidth="1"/>
  </cols>
  <sheetData>
    <row r="2" spans="1:6" x14ac:dyDescent="0.25">
      <c r="A2" t="s">
        <v>1</v>
      </c>
      <c r="B2" t="s">
        <v>2</v>
      </c>
      <c r="E2" t="s">
        <v>9</v>
      </c>
      <c r="F2">
        <v>0.28820000000000001</v>
      </c>
    </row>
    <row r="3" spans="1:6" x14ac:dyDescent="0.25">
      <c r="A3" t="s">
        <v>0</v>
      </c>
      <c r="B3">
        <v>66</v>
      </c>
    </row>
    <row r="4" spans="1:6" x14ac:dyDescent="0.25">
      <c r="A4" t="s">
        <v>10</v>
      </c>
      <c r="B4">
        <v>18.5</v>
      </c>
    </row>
    <row r="5" spans="1:6" x14ac:dyDescent="0.25">
      <c r="A5" t="s">
        <v>17</v>
      </c>
      <c r="B5">
        <v>34</v>
      </c>
    </row>
    <row r="6" spans="1:6" x14ac:dyDescent="0.25">
      <c r="A6" t="s">
        <v>56</v>
      </c>
      <c r="B6">
        <v>306</v>
      </c>
      <c r="E6" t="s">
        <v>70</v>
      </c>
    </row>
    <row r="7" spans="1:6" x14ac:dyDescent="0.25">
      <c r="A7" t="s">
        <v>57</v>
      </c>
      <c r="B7">
        <v>6000</v>
      </c>
    </row>
    <row r="8" spans="1:6" x14ac:dyDescent="0.25">
      <c r="A8" t="s">
        <v>58</v>
      </c>
      <c r="B8">
        <v>10.5</v>
      </c>
    </row>
    <row r="9" spans="1:6" x14ac:dyDescent="0.25">
      <c r="A9" t="s">
        <v>59</v>
      </c>
      <c r="B9">
        <v>7.8</v>
      </c>
    </row>
    <row r="10" spans="1:6" x14ac:dyDescent="0.25">
      <c r="A10" t="s">
        <v>60</v>
      </c>
      <c r="B10">
        <v>830</v>
      </c>
    </row>
    <row r="11" spans="1:6" x14ac:dyDescent="0.25">
      <c r="A11" t="s">
        <v>61</v>
      </c>
      <c r="B11">
        <v>458</v>
      </c>
    </row>
    <row r="12" spans="1:6" x14ac:dyDescent="0.25">
      <c r="A12" t="s">
        <v>62</v>
      </c>
      <c r="B12">
        <v>117</v>
      </c>
    </row>
    <row r="13" spans="1:6" x14ac:dyDescent="0.25">
      <c r="A13" t="s">
        <v>63</v>
      </c>
      <c r="B13">
        <v>85</v>
      </c>
    </row>
    <row r="14" spans="1:6" x14ac:dyDescent="0.25">
      <c r="A14" t="s">
        <v>64</v>
      </c>
      <c r="B14">
        <v>210</v>
      </c>
    </row>
    <row r="15" spans="1:6" x14ac:dyDescent="0.25">
      <c r="A15" t="s">
        <v>65</v>
      </c>
      <c r="B15">
        <v>14.6</v>
      </c>
    </row>
    <row r="16" spans="1:6" x14ac:dyDescent="0.25">
      <c r="A16" t="s">
        <v>68</v>
      </c>
      <c r="B16">
        <v>56.5</v>
      </c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4" x14ac:dyDescent="0.25">
      <c r="A22" s="24"/>
      <c r="B22" s="24" t="s">
        <v>86</v>
      </c>
      <c r="C22" s="4" t="s">
        <v>14</v>
      </c>
      <c r="D22" s="4" t="s">
        <v>4</v>
      </c>
      <c r="E22" s="4"/>
      <c r="F22" s="4" t="s">
        <v>6</v>
      </c>
      <c r="G22" s="4" t="s">
        <v>7</v>
      </c>
      <c r="H22" s="4" t="s">
        <v>8</v>
      </c>
      <c r="I22" s="24" t="s">
        <v>55</v>
      </c>
      <c r="J22" s="24" t="s">
        <v>85</v>
      </c>
    </row>
    <row r="23" spans="1:14" x14ac:dyDescent="0.25">
      <c r="A23" s="29" t="s">
        <v>3</v>
      </c>
      <c r="B23" s="29"/>
      <c r="C23" s="4"/>
      <c r="D23" s="4"/>
      <c r="E23" s="4"/>
      <c r="F23" s="4"/>
      <c r="G23" s="4"/>
      <c r="H23" s="4"/>
      <c r="I23" s="4"/>
      <c r="J23" s="4"/>
    </row>
    <row r="24" spans="1:14" x14ac:dyDescent="0.25">
      <c r="A24" s="11" t="s">
        <v>5</v>
      </c>
      <c r="B24" s="32">
        <f>IF(B27&gt;0,B27-1,0)</f>
        <v>3</v>
      </c>
      <c r="C24" s="4">
        <v>2</v>
      </c>
      <c r="D24" s="26" t="s">
        <v>15</v>
      </c>
      <c r="E24" s="4">
        <f>40*B3</f>
        <v>2640</v>
      </c>
      <c r="F24" s="4">
        <v>3.67</v>
      </c>
      <c r="G24" s="4">
        <v>159.84</v>
      </c>
      <c r="H24" s="4">
        <f t="shared" ref="H24:H28" si="0">$F$2*G24</f>
        <v>46.065888000000001</v>
      </c>
      <c r="I24" s="4">
        <f>E24+G24+H24</f>
        <v>2845.9058880000002</v>
      </c>
      <c r="J24" s="4">
        <f>I24*40</f>
        <v>113836.23552000002</v>
      </c>
      <c r="L24">
        <f>1/F24*40</f>
        <v>10.899182561307903</v>
      </c>
      <c r="N24" s="21">
        <f t="shared" ref="N24:N27" si="1">L24/$M$41</f>
        <v>6.5144391691523473E-2</v>
      </c>
    </row>
    <row r="25" spans="1:14" x14ac:dyDescent="0.25">
      <c r="A25" s="11" t="s">
        <v>13</v>
      </c>
      <c r="B25" s="32">
        <f>IF(B27&gt;0,B27-1,0)</f>
        <v>3</v>
      </c>
      <c r="C25" s="24">
        <v>1</v>
      </c>
      <c r="D25" s="26" t="s">
        <v>16</v>
      </c>
      <c r="E25" s="4">
        <f>50*B4+250*B5</f>
        <v>9425</v>
      </c>
      <c r="F25" s="4">
        <v>5</v>
      </c>
      <c r="G25" s="4">
        <v>117.22</v>
      </c>
      <c r="H25" s="4">
        <f t="shared" si="0"/>
        <v>33.782803999999999</v>
      </c>
      <c r="I25" s="4">
        <f t="shared" ref="I25:I38" si="2">E25+G25+H25</f>
        <v>9576.0028039999997</v>
      </c>
      <c r="J25" s="4">
        <f>I25*(16+6)</f>
        <v>210672.06168799999</v>
      </c>
      <c r="L25">
        <f>1/F25*(16+6)</f>
        <v>4.4000000000000004</v>
      </c>
      <c r="N25" s="21">
        <f t="shared" si="1"/>
        <v>2.6298790925868024E-2</v>
      </c>
    </row>
    <row r="26" spans="1:14" x14ac:dyDescent="0.25">
      <c r="A26" s="33" t="s">
        <v>18</v>
      </c>
      <c r="B26" s="32">
        <f>IF(B28&gt;0,B28-1,0)</f>
        <v>3</v>
      </c>
      <c r="C26" s="4">
        <v>1</v>
      </c>
      <c r="D26" s="26" t="s">
        <v>19</v>
      </c>
      <c r="E26" s="4">
        <f>20*B8+30*B9</f>
        <v>444</v>
      </c>
      <c r="F26" s="4">
        <v>13.34</v>
      </c>
      <c r="G26" s="4">
        <v>43.96</v>
      </c>
      <c r="H26" s="4">
        <f t="shared" si="0"/>
        <v>12.669272000000001</v>
      </c>
      <c r="I26" s="4">
        <f t="shared" si="2"/>
        <v>500.62927199999996</v>
      </c>
      <c r="J26" s="4">
        <f>I26*10</f>
        <v>5006.2927199999995</v>
      </c>
      <c r="L26">
        <f>1/F26*10</f>
        <v>0.74962518740629691</v>
      </c>
      <c r="N26" s="21">
        <f t="shared" si="1"/>
        <v>4.4805081991733725E-3</v>
      </c>
    </row>
    <row r="27" spans="1:14" x14ac:dyDescent="0.25">
      <c r="A27" s="34" t="s">
        <v>24</v>
      </c>
      <c r="B27" s="32">
        <f>IF(B38&gt;0,B38-1,0)</f>
        <v>4</v>
      </c>
      <c r="C27" s="4">
        <v>100</v>
      </c>
      <c r="D27" s="26" t="s">
        <v>22</v>
      </c>
      <c r="E27" s="4">
        <f>40*I24+16*I25+34*I35</f>
        <v>593376.05109199998</v>
      </c>
      <c r="F27" s="4">
        <v>1.67</v>
      </c>
      <c r="G27" s="4">
        <v>351.65</v>
      </c>
      <c r="H27" s="4">
        <f t="shared" si="0"/>
        <v>101.34553</v>
      </c>
      <c r="I27" s="4">
        <f t="shared" si="2"/>
        <v>593829.04662200005</v>
      </c>
      <c r="J27" s="4"/>
      <c r="L27">
        <f>1/F27</f>
        <v>0.5988023952095809</v>
      </c>
      <c r="N27" s="21">
        <f t="shared" si="1"/>
        <v>3.5790406812558555E-3</v>
      </c>
    </row>
    <row r="28" spans="1:14" x14ac:dyDescent="0.25">
      <c r="A28" s="35" t="s">
        <v>23</v>
      </c>
      <c r="B28" s="32">
        <f>IF(B38&gt;0,B38-1,0)</f>
        <v>4</v>
      </c>
      <c r="C28" s="4">
        <v>100</v>
      </c>
      <c r="D28" s="26" t="s">
        <v>25</v>
      </c>
      <c r="E28" s="4">
        <f>2*I31+10*I26+4*I32+6*I25+7*I35</f>
        <v>145062.570198</v>
      </c>
      <c r="F28" s="4">
        <v>0.33</v>
      </c>
      <c r="G28" s="4">
        <v>1758.23</v>
      </c>
      <c r="H28" s="4">
        <f t="shared" si="0"/>
        <v>506.72188600000004</v>
      </c>
      <c r="I28" s="4">
        <f t="shared" si="2"/>
        <v>147327.52208400003</v>
      </c>
      <c r="J28" s="4"/>
      <c r="L28" s="3">
        <f>1/F28</f>
        <v>3.0303030303030303</v>
      </c>
      <c r="M28" s="3"/>
      <c r="N28" s="21">
        <f>L28/$M$41</f>
        <v>1.8112114962719025E-2</v>
      </c>
    </row>
    <row r="29" spans="1:14" x14ac:dyDescent="0.25">
      <c r="A29" s="24"/>
      <c r="B29" s="32"/>
      <c r="C29" s="4"/>
      <c r="D29" s="4"/>
      <c r="E29" s="4"/>
      <c r="F29" s="4"/>
      <c r="G29" s="4"/>
      <c r="H29" s="4"/>
      <c r="I29" s="4"/>
      <c r="J29" s="4"/>
      <c r="L29" s="2" t="s">
        <v>78</v>
      </c>
      <c r="M29" s="5">
        <f>SUM(L24:L28)</f>
        <v>19.677913174226813</v>
      </c>
      <c r="N29" s="22">
        <f>M29/$M$41</f>
        <v>0.11761484646053975</v>
      </c>
    </row>
    <row r="30" spans="1:14" x14ac:dyDescent="0.25">
      <c r="A30" s="29" t="s">
        <v>26</v>
      </c>
      <c r="B30" s="29"/>
      <c r="C30" s="4"/>
      <c r="D30" s="4"/>
      <c r="E30" s="4"/>
      <c r="F30" s="4"/>
      <c r="G30" s="4"/>
      <c r="H30" s="4"/>
      <c r="I30" s="4"/>
      <c r="J30" s="4"/>
      <c r="M30" s="5"/>
      <c r="N30" s="21"/>
    </row>
    <row r="31" spans="1:14" x14ac:dyDescent="0.25">
      <c r="A31" s="33" t="s">
        <v>29</v>
      </c>
      <c r="B31" s="32">
        <f>IF(B28&gt;0,B28-1,0)</f>
        <v>3</v>
      </c>
      <c r="C31" s="4">
        <v>1</v>
      </c>
      <c r="D31" s="26" t="s">
        <v>30</v>
      </c>
      <c r="E31" s="4">
        <f>4*B10+8*B12+B6</f>
        <v>4562</v>
      </c>
      <c r="F31" s="4">
        <v>2.56</v>
      </c>
      <c r="G31" s="4">
        <v>283.24</v>
      </c>
      <c r="H31" s="4">
        <f>$F$2*G31</f>
        <v>81.629768000000013</v>
      </c>
      <c r="I31" s="4">
        <f t="shared" si="2"/>
        <v>4926.8697679999996</v>
      </c>
      <c r="J31" s="4">
        <f>I31*2</f>
        <v>9853.7395359999991</v>
      </c>
      <c r="L31">
        <f>1/F31*2</f>
        <v>0.78125</v>
      </c>
      <c r="M31" s="4"/>
      <c r="N31" s="21">
        <f t="shared" ref="N31:N32" si="3">L31/$M$41</f>
        <v>4.6695296388259986E-3</v>
      </c>
    </row>
    <row r="32" spans="1:14" x14ac:dyDescent="0.25">
      <c r="A32" s="33" t="s">
        <v>31</v>
      </c>
      <c r="B32" s="32">
        <f>IF(B28&gt;0,B28-1,0)</f>
        <v>3</v>
      </c>
      <c r="C32" s="4">
        <v>1</v>
      </c>
      <c r="D32" s="26" t="s">
        <v>32</v>
      </c>
      <c r="E32" s="4">
        <f>3*B8+5*B13+3*B14</f>
        <v>1086.5</v>
      </c>
      <c r="F32" s="4">
        <v>3.07</v>
      </c>
      <c r="G32" s="4">
        <v>236.03</v>
      </c>
      <c r="H32" s="4">
        <f>$F$2*G32</f>
        <v>68.023846000000006</v>
      </c>
      <c r="I32" s="4">
        <f t="shared" si="2"/>
        <v>1390.553846</v>
      </c>
      <c r="J32" s="4">
        <f>I32*4</f>
        <v>5562.2153840000001</v>
      </c>
      <c r="L32" s="3">
        <f>1/F32*4</f>
        <v>1.3029315960912053</v>
      </c>
      <c r="M32" s="3"/>
      <c r="N32" s="21">
        <f t="shared" si="3"/>
        <v>7.7876194627977567E-3</v>
      </c>
    </row>
    <row r="33" spans="1:14" x14ac:dyDescent="0.25">
      <c r="A33" s="24"/>
      <c r="B33" s="32"/>
      <c r="C33" s="4"/>
      <c r="D33" s="4"/>
      <c r="E33" s="4"/>
      <c r="F33" s="4"/>
      <c r="G33" s="4"/>
      <c r="H33" s="4"/>
      <c r="I33" s="4"/>
      <c r="J33" s="4"/>
      <c r="L33" s="2" t="s">
        <v>79</v>
      </c>
      <c r="M33" s="5">
        <f>SUM(L31:L32)</f>
        <v>2.0841815960912053</v>
      </c>
      <c r="N33" s="22">
        <f t="shared" ref="N33:N39" si="4">M33/$M$41</f>
        <v>1.2457149101623755E-2</v>
      </c>
    </row>
    <row r="34" spans="1:14" x14ac:dyDescent="0.25">
      <c r="A34" s="29" t="s">
        <v>35</v>
      </c>
      <c r="B34" s="29"/>
      <c r="C34" s="4"/>
      <c r="D34" s="4"/>
      <c r="E34" s="4"/>
      <c r="F34" s="4"/>
      <c r="G34" s="4"/>
      <c r="H34" s="4"/>
      <c r="I34" s="4"/>
      <c r="J34" s="4"/>
      <c r="M34" s="4"/>
      <c r="N34" s="21"/>
    </row>
    <row r="35" spans="1:14" x14ac:dyDescent="0.25">
      <c r="A35" s="11" t="s">
        <v>38</v>
      </c>
      <c r="B35" s="32">
        <f>IF(B27&gt;0,B27-1,0)</f>
        <v>3</v>
      </c>
      <c r="C35" s="24">
        <v>1</v>
      </c>
      <c r="D35" s="26" t="s">
        <v>39</v>
      </c>
      <c r="E35" s="4">
        <f>20*B8+8*B10+10*B4</f>
        <v>7035</v>
      </c>
      <c r="F35" s="4">
        <v>0.28999999999999998</v>
      </c>
      <c r="G35" s="4">
        <v>1989.41</v>
      </c>
      <c r="H35" s="4">
        <f>$F$2*G35</f>
        <v>573.34796200000005</v>
      </c>
      <c r="I35" s="4">
        <f t="shared" si="2"/>
        <v>9597.7579619999997</v>
      </c>
      <c r="J35" s="4">
        <f>I35*(34+7)</f>
        <v>393508.07644199999</v>
      </c>
      <c r="L35" s="3">
        <f>1/F35*(34+7)</f>
        <v>141.37931034482759</v>
      </c>
      <c r="M35" s="6"/>
      <c r="N35" s="21">
        <f t="shared" ref="N35" si="5">L35/$M$41</f>
        <v>0.84502384636409789</v>
      </c>
    </row>
    <row r="36" spans="1:14" x14ac:dyDescent="0.25">
      <c r="A36" s="24"/>
      <c r="B36" s="32"/>
      <c r="C36" s="4"/>
      <c r="D36" s="4"/>
      <c r="E36" s="4"/>
      <c r="F36" s="4"/>
      <c r="G36" s="4"/>
      <c r="H36" s="4"/>
      <c r="I36" s="4"/>
      <c r="J36" s="4"/>
      <c r="L36" s="2" t="s">
        <v>77</v>
      </c>
      <c r="M36" s="2">
        <f>SUM(L35)</f>
        <v>141.37931034482759</v>
      </c>
      <c r="N36" s="22">
        <f t="shared" si="4"/>
        <v>0.84502384636409789</v>
      </c>
    </row>
    <row r="37" spans="1:14" x14ac:dyDescent="0.25">
      <c r="A37" s="29" t="s">
        <v>44</v>
      </c>
      <c r="B37" s="29"/>
      <c r="C37" s="4"/>
      <c r="D37" s="4"/>
      <c r="E37" s="4"/>
      <c r="F37" s="4"/>
      <c r="G37" s="4"/>
      <c r="H37" s="4"/>
      <c r="I37" s="4"/>
      <c r="J37" s="4"/>
      <c r="N37" s="21"/>
    </row>
    <row r="38" spans="1:14" x14ac:dyDescent="0.25">
      <c r="A38" s="31" t="s">
        <v>47</v>
      </c>
      <c r="B38" s="12">
        <v>5</v>
      </c>
      <c r="C38" s="4">
        <v>2000</v>
      </c>
      <c r="D38" s="26" t="s">
        <v>48</v>
      </c>
      <c r="E38" s="4">
        <f>I27+I28</f>
        <v>741156.56870600011</v>
      </c>
      <c r="F38" s="4">
        <v>0.24</v>
      </c>
      <c r="G38" s="4">
        <v>3170.85</v>
      </c>
      <c r="H38" s="4">
        <f>$F$2*G38</f>
        <v>913.83897000000002</v>
      </c>
      <c r="I38" s="4">
        <f t="shared" si="2"/>
        <v>745241.25767600012</v>
      </c>
      <c r="J38" s="4"/>
      <c r="L38" s="3">
        <f>1/F38</f>
        <v>4.166666666666667</v>
      </c>
      <c r="M38" s="3"/>
      <c r="N38" s="21">
        <f t="shared" ref="N38" si="6">L38/$M$41</f>
        <v>2.490415807373866E-2</v>
      </c>
    </row>
    <row r="39" spans="1:14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L39" s="2" t="s">
        <v>76</v>
      </c>
      <c r="M39" s="2">
        <f>SUM(L38)</f>
        <v>4.166666666666667</v>
      </c>
      <c r="N39" s="22">
        <f t="shared" si="4"/>
        <v>2.490415807373866E-2</v>
      </c>
    </row>
    <row r="40" spans="1:14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N40" s="4"/>
    </row>
    <row r="41" spans="1:14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L41" s="2" t="s">
        <v>80</v>
      </c>
      <c r="M41">
        <f>SUM(M29:M39)</f>
        <v>167.30807178181226</v>
      </c>
    </row>
    <row r="42" spans="1:14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4" x14ac:dyDescent="0.25">
      <c r="A43" s="4"/>
      <c r="B43" s="4"/>
      <c r="C43" s="4"/>
      <c r="D43" s="4"/>
    </row>
    <row r="44" spans="1:14" x14ac:dyDescent="0.25">
      <c r="A44" s="15" t="s">
        <v>91</v>
      </c>
      <c r="B44" s="16"/>
      <c r="C44" s="16"/>
      <c r="D44" s="17"/>
    </row>
    <row r="45" spans="1:14" x14ac:dyDescent="0.25">
      <c r="A45" s="18"/>
      <c r="B45" s="4" t="s">
        <v>88</v>
      </c>
      <c r="C45" s="4">
        <f>346*0.985</f>
        <v>340.81</v>
      </c>
      <c r="D45" s="20"/>
    </row>
    <row r="46" spans="1:14" x14ac:dyDescent="0.25">
      <c r="A46" s="18"/>
      <c r="B46" s="4" t="s">
        <v>89</v>
      </c>
      <c r="C46" s="4">
        <v>2800</v>
      </c>
      <c r="D46" s="20"/>
    </row>
    <row r="47" spans="1:14" x14ac:dyDescent="0.25">
      <c r="A47" s="18"/>
      <c r="B47" s="4"/>
      <c r="C47" s="4"/>
      <c r="D47" s="20"/>
    </row>
    <row r="48" spans="1:14" x14ac:dyDescent="0.25">
      <c r="A48" s="18"/>
      <c r="B48" s="4"/>
      <c r="C48" s="4"/>
      <c r="D48" s="20"/>
    </row>
    <row r="49" spans="1:4" x14ac:dyDescent="0.25">
      <c r="A49" s="18" t="s">
        <v>90</v>
      </c>
      <c r="B49" s="4" t="s">
        <v>87</v>
      </c>
      <c r="C49" s="4" t="s">
        <v>92</v>
      </c>
      <c r="D49" s="25" t="s">
        <v>93</v>
      </c>
    </row>
    <row r="50" spans="1:4" x14ac:dyDescent="0.25">
      <c r="A50" s="18">
        <v>0</v>
      </c>
      <c r="B50" s="4">
        <f>$C$45*$C$46*(1-1/2^(A50+1))</f>
        <v>477134</v>
      </c>
      <c r="C50" s="4"/>
      <c r="D50" s="20"/>
    </row>
    <row r="51" spans="1:4" x14ac:dyDescent="0.25">
      <c r="A51" s="18">
        <v>1</v>
      </c>
      <c r="B51" s="4">
        <f t="shared" ref="B51:B60" si="7">$C$45*$C$46*(1-1/2^(A51+1))</f>
        <v>715701</v>
      </c>
      <c r="C51" s="4">
        <f>B51-B50</f>
        <v>238567</v>
      </c>
      <c r="D51" s="20"/>
    </row>
    <row r="52" spans="1:4" x14ac:dyDescent="0.25">
      <c r="A52" s="18">
        <v>2</v>
      </c>
      <c r="B52" s="4">
        <f t="shared" si="7"/>
        <v>834984.5</v>
      </c>
      <c r="C52" s="4">
        <f t="shared" ref="C52:D60" si="8">B52-B51</f>
        <v>119283.5</v>
      </c>
      <c r="D52" s="20">
        <f>C52-C51</f>
        <v>-119283.5</v>
      </c>
    </row>
    <row r="53" spans="1:4" x14ac:dyDescent="0.25">
      <c r="A53" s="18">
        <v>3</v>
      </c>
      <c r="B53" s="4">
        <f t="shared" si="7"/>
        <v>894626.25</v>
      </c>
      <c r="C53" s="4">
        <f t="shared" si="8"/>
        <v>59641.75</v>
      </c>
      <c r="D53" s="20">
        <f t="shared" si="8"/>
        <v>-59641.75</v>
      </c>
    </row>
    <row r="54" spans="1:4" x14ac:dyDescent="0.25">
      <c r="A54" s="18">
        <v>4</v>
      </c>
      <c r="B54" s="4">
        <f t="shared" si="7"/>
        <v>924447.125</v>
      </c>
      <c r="C54" s="4">
        <f t="shared" si="8"/>
        <v>29820.875</v>
      </c>
      <c r="D54" s="20">
        <f t="shared" si="8"/>
        <v>-29820.875</v>
      </c>
    </row>
    <row r="55" spans="1:4" x14ac:dyDescent="0.25">
      <c r="A55" s="18">
        <v>5</v>
      </c>
      <c r="B55" s="4">
        <f t="shared" si="7"/>
        <v>939357.5625</v>
      </c>
      <c r="C55" s="4">
        <f t="shared" si="8"/>
        <v>14910.4375</v>
      </c>
      <c r="D55" s="20">
        <f t="shared" si="8"/>
        <v>-14910.4375</v>
      </c>
    </row>
    <row r="56" spans="1:4" x14ac:dyDescent="0.25">
      <c r="A56" s="18">
        <v>6</v>
      </c>
      <c r="B56" s="4">
        <f t="shared" si="7"/>
        <v>946812.78125</v>
      </c>
      <c r="C56" s="4">
        <f t="shared" si="8"/>
        <v>7455.21875</v>
      </c>
      <c r="D56" s="20">
        <f t="shared" si="8"/>
        <v>-7455.21875</v>
      </c>
    </row>
    <row r="57" spans="1:4" x14ac:dyDescent="0.25">
      <c r="A57" s="18">
        <v>7</v>
      </c>
      <c r="B57" s="4">
        <f t="shared" si="7"/>
        <v>950540.390625</v>
      </c>
      <c r="C57" s="4">
        <f t="shared" si="8"/>
        <v>3727.609375</v>
      </c>
      <c r="D57" s="20">
        <f t="shared" si="8"/>
        <v>-3727.609375</v>
      </c>
    </row>
    <row r="58" spans="1:4" x14ac:dyDescent="0.25">
      <c r="A58" s="18">
        <v>8</v>
      </c>
      <c r="B58" s="4">
        <f t="shared" si="7"/>
        <v>952404.1953125</v>
      </c>
      <c r="C58" s="4">
        <f t="shared" si="8"/>
        <v>1863.8046875</v>
      </c>
      <c r="D58" s="20">
        <f t="shared" si="8"/>
        <v>-1863.8046875</v>
      </c>
    </row>
    <row r="59" spans="1:4" x14ac:dyDescent="0.25">
      <c r="A59" s="18">
        <v>9</v>
      </c>
      <c r="B59" s="4">
        <f t="shared" si="7"/>
        <v>953336.09765625</v>
      </c>
      <c r="C59" s="4">
        <f t="shared" si="8"/>
        <v>931.90234375</v>
      </c>
      <c r="D59" s="20">
        <f t="shared" si="8"/>
        <v>-931.90234375</v>
      </c>
    </row>
    <row r="60" spans="1:4" x14ac:dyDescent="0.25">
      <c r="A60" s="19">
        <v>10</v>
      </c>
      <c r="B60" s="3">
        <f t="shared" si="7"/>
        <v>953802.048828125</v>
      </c>
      <c r="C60" s="3">
        <f t="shared" si="8"/>
        <v>465.951171875</v>
      </c>
      <c r="D60" s="23">
        <f t="shared" si="8"/>
        <v>-465.951171875</v>
      </c>
    </row>
    <row r="61" spans="1:4" x14ac:dyDescent="0.25">
      <c r="A61" s="4"/>
      <c r="B61" s="4"/>
      <c r="C61" s="4"/>
      <c r="D61" s="4"/>
    </row>
    <row r="62" spans="1:4" x14ac:dyDescent="0.25">
      <c r="D62" s="4"/>
    </row>
    <row r="63" spans="1:4" x14ac:dyDescent="0.25">
      <c r="A63" s="4"/>
      <c r="B63" s="4"/>
      <c r="C63" s="4"/>
      <c r="D63" s="4"/>
    </row>
  </sheetData>
  <conditionalFormatting sqref="M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J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{BDF16AA2-396F-4E5D-AEC7-EB8761326BA0}</x14:id>
        </ext>
      </extLst>
    </cfRule>
  </conditionalFormatting>
  <conditionalFormatting sqref="L24:L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{395963F4-3B66-4324-8957-914DA4852A0F}</x14:id>
        </ext>
      </extLst>
    </cfRule>
  </conditionalFormatting>
  <conditionalFormatting sqref="L31:L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{07F4C7B8-9D97-44FB-A34F-7919208335C4}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16AA2-396F-4E5D-AEC7-EB8761326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N24:N39</xm:sqref>
        </x14:conditionalFormatting>
        <x14:conditionalFormatting xmlns:xm="http://schemas.microsoft.com/office/excel/2006/main">
          <x14:cfRule type="dataBar" id="{395963F4-3B66-4324-8957-914DA4852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L24:L28</xm:sqref>
        </x14:conditionalFormatting>
        <x14:conditionalFormatting xmlns:xm="http://schemas.microsoft.com/office/excel/2006/main">
          <x14:cfRule type="dataBar" id="{07F4C7B8-9D97-44FB-A34F-791920833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L31:L32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BFRs!B50:B60</xm:f>
              <xm:sqref>B61</xm:sqref>
            </x14:sparkline>
            <x14:sparkline>
              <xm:f>BFRs!C50:C60</xm:f>
              <xm:sqref>C61</xm:sqref>
            </x14:sparkline>
            <x14:sparkline>
              <xm:f>BFRs!D50:D60</xm:f>
              <xm:sqref>D61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topLeftCell="A10" zoomScale="70" zoomScaleNormal="70" workbookViewId="0">
      <selection activeCell="H40" sqref="A17:H40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5" max="5" width="18.140625" bestFit="1" customWidth="1"/>
    <col min="10" max="10" width="44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s="7" t="s">
        <v>10</v>
      </c>
      <c r="B4">
        <v>19</v>
      </c>
    </row>
    <row r="5" spans="1:5" x14ac:dyDescent="0.25">
      <c r="A5" s="7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7" t="s">
        <v>65</v>
      </c>
      <c r="B15">
        <v>14.6</v>
      </c>
    </row>
    <row r="16" spans="1:5" x14ac:dyDescent="0.25">
      <c r="A16" t="s">
        <v>68</v>
      </c>
      <c r="B16">
        <v>56.5</v>
      </c>
    </row>
    <row r="17" spans="1:12" x14ac:dyDescent="0.25">
      <c r="A17" s="24"/>
      <c r="B17" s="4"/>
      <c r="C17" s="4"/>
      <c r="D17" s="4"/>
      <c r="E17" s="4"/>
      <c r="F17" s="4"/>
      <c r="G17" s="4"/>
      <c r="H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</row>
    <row r="22" spans="1:12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K22" t="s">
        <v>81</v>
      </c>
      <c r="L22" t="s">
        <v>82</v>
      </c>
    </row>
    <row r="23" spans="1:12" x14ac:dyDescent="0.25">
      <c r="A23" s="29" t="s">
        <v>3</v>
      </c>
      <c r="B23" s="4"/>
      <c r="C23" s="4"/>
      <c r="D23" s="4"/>
      <c r="E23" s="4"/>
      <c r="F23" s="4"/>
      <c r="G23" s="4"/>
      <c r="H23" s="4"/>
    </row>
    <row r="24" spans="1:12" x14ac:dyDescent="0.25">
      <c r="A24" s="33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6" si="0">$E$2*F24</f>
        <v>46.065888000000001</v>
      </c>
      <c r="H24" s="4">
        <f>D24+F24+G24</f>
        <v>2845.9058880000002</v>
      </c>
      <c r="J24">
        <f>1/E24*8</f>
        <v>2.1798365122615806</v>
      </c>
    </row>
    <row r="25" spans="1:12" x14ac:dyDescent="0.25">
      <c r="A25" s="33" t="s">
        <v>13</v>
      </c>
      <c r="B25" s="4">
        <v>1</v>
      </c>
      <c r="C25" s="26" t="s">
        <v>16</v>
      </c>
      <c r="D25" s="4">
        <f>50*B4+250*B5</f>
        <v>9450</v>
      </c>
      <c r="E25" s="4">
        <v>5</v>
      </c>
      <c r="F25" s="4">
        <v>117.22</v>
      </c>
      <c r="G25" s="4">
        <f t="shared" si="0"/>
        <v>33.782803999999999</v>
      </c>
      <c r="H25" s="4">
        <f t="shared" ref="H25:H37" si="1">D25+F25+G25</f>
        <v>9601.0028039999997</v>
      </c>
      <c r="J25">
        <f>1/E25*2</f>
        <v>0.4</v>
      </c>
    </row>
    <row r="26" spans="1:12" x14ac:dyDescent="0.25">
      <c r="A26" s="35" t="s">
        <v>20</v>
      </c>
      <c r="B26" s="4">
        <v>20</v>
      </c>
      <c r="C26" s="26" t="s">
        <v>21</v>
      </c>
      <c r="D26" s="4">
        <f>8*H24+2*H25+2*H29+4*H34+2*H30</f>
        <v>100316.59010000002</v>
      </c>
      <c r="E26" s="4">
        <v>3.34</v>
      </c>
      <c r="F26" s="4">
        <v>175.82</v>
      </c>
      <c r="G26" s="4">
        <f t="shared" si="0"/>
        <v>50.671323999999998</v>
      </c>
      <c r="H26" s="4">
        <f t="shared" si="1"/>
        <v>100543.08142400002</v>
      </c>
      <c r="J26" s="3">
        <f>1/E26</f>
        <v>0.29940119760479045</v>
      </c>
      <c r="K26" s="3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J27" s="2" t="s">
        <v>72</v>
      </c>
      <c r="K27">
        <f>SUM(J24:J26)</f>
        <v>2.8792377098663708</v>
      </c>
      <c r="L27">
        <f>K27/$K$40</f>
        <v>0.20581606753315429</v>
      </c>
    </row>
    <row r="28" spans="1:12" x14ac:dyDescent="0.25">
      <c r="A28" s="29" t="s">
        <v>26</v>
      </c>
      <c r="B28" s="4"/>
      <c r="C28" s="4"/>
      <c r="D28" s="4"/>
      <c r="E28" s="4"/>
      <c r="F28" s="4"/>
      <c r="G28" s="4"/>
      <c r="H28" s="4"/>
    </row>
    <row r="29" spans="1:12" x14ac:dyDescent="0.25">
      <c r="A29" s="33" t="s">
        <v>27</v>
      </c>
      <c r="B29" s="4">
        <v>1</v>
      </c>
      <c r="C29" s="26" t="s">
        <v>28</v>
      </c>
      <c r="D29" s="4">
        <f>4*B10+2*B11</f>
        <v>4596</v>
      </c>
      <c r="E29" s="4">
        <v>2.56</v>
      </c>
      <c r="F29" s="4">
        <v>283.24</v>
      </c>
      <c r="G29" s="4">
        <f>$E$2*F29</f>
        <v>81.629768000000013</v>
      </c>
      <c r="H29" s="4">
        <f t="shared" si="1"/>
        <v>4960.8697679999996</v>
      </c>
      <c r="J29">
        <f>1/E29*2</f>
        <v>0.78125</v>
      </c>
    </row>
    <row r="30" spans="1:12" x14ac:dyDescent="0.25">
      <c r="A30" s="33" t="s">
        <v>31</v>
      </c>
      <c r="B30" s="4">
        <v>1</v>
      </c>
      <c r="C30" s="26" t="s">
        <v>32</v>
      </c>
      <c r="D30" s="4">
        <f>3*B8+5*B13+3*B14</f>
        <v>1088</v>
      </c>
      <c r="E30" s="4">
        <v>3.07</v>
      </c>
      <c r="F30" s="4">
        <v>236.03</v>
      </c>
      <c r="G30" s="4">
        <f>$E$2*F30</f>
        <v>68.023846000000006</v>
      </c>
      <c r="H30" s="4">
        <f t="shared" si="1"/>
        <v>1392.053846</v>
      </c>
      <c r="J30" s="3">
        <f>1/E30*2</f>
        <v>0.65146579804560267</v>
      </c>
      <c r="K30" s="3"/>
    </row>
    <row r="31" spans="1:12" x14ac:dyDescent="0.25">
      <c r="A31" s="24"/>
      <c r="B31" s="4"/>
      <c r="C31" s="4"/>
      <c r="D31" s="4"/>
      <c r="E31" s="4"/>
      <c r="F31" s="4"/>
      <c r="G31" s="4"/>
      <c r="H31" s="4"/>
      <c r="J31" s="2" t="s">
        <v>75</v>
      </c>
      <c r="K31">
        <f>SUM(J29:J30)</f>
        <v>1.4327157980456027</v>
      </c>
      <c r="L31">
        <f t="shared" ref="L31:L38" si="2">K31/$K$40</f>
        <v>0.10241458370592693</v>
      </c>
    </row>
    <row r="32" spans="1:12" x14ac:dyDescent="0.25">
      <c r="A32" s="29" t="s">
        <v>35</v>
      </c>
      <c r="B32" s="4"/>
      <c r="C32" s="4"/>
      <c r="D32" s="4"/>
      <c r="E32" s="4"/>
      <c r="F32" s="4"/>
      <c r="G32" s="4"/>
      <c r="H32" s="4"/>
    </row>
    <row r="33" spans="1:12" x14ac:dyDescent="0.25">
      <c r="A33" s="36" t="s">
        <v>36</v>
      </c>
      <c r="B33" s="4">
        <v>1</v>
      </c>
      <c r="C33" s="26" t="s">
        <v>37</v>
      </c>
      <c r="D33" s="4">
        <f>30*B4+100*B5+50*B15</f>
        <v>4700</v>
      </c>
      <c r="E33" s="4">
        <v>0.31</v>
      </c>
      <c r="F33" s="4">
        <v>1989.41</v>
      </c>
      <c r="G33" s="4">
        <f>$E$2*F33</f>
        <v>573.34796200000005</v>
      </c>
      <c r="H33" s="4">
        <f t="shared" si="1"/>
        <v>7262.7579619999997</v>
      </c>
      <c r="J33">
        <f>1/E33</f>
        <v>3.2258064516129035</v>
      </c>
    </row>
    <row r="34" spans="1:12" x14ac:dyDescent="0.25">
      <c r="A34" s="33" t="s">
        <v>40</v>
      </c>
      <c r="B34" s="4">
        <v>1</v>
      </c>
      <c r="C34" s="26" t="s">
        <v>41</v>
      </c>
      <c r="D34" s="4">
        <f>8*B10+30*B13+15*B15</f>
        <v>10129</v>
      </c>
      <c r="E34" s="4">
        <v>0.62</v>
      </c>
      <c r="F34" s="4">
        <v>994.7</v>
      </c>
      <c r="G34" s="4">
        <f>$E$2*F34</f>
        <v>286.67254000000003</v>
      </c>
      <c r="H34" s="4">
        <f t="shared" si="1"/>
        <v>11410.37254</v>
      </c>
      <c r="J34" s="3">
        <f>1/E34*4</f>
        <v>6.4516129032258069</v>
      </c>
      <c r="K34" s="3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J35" s="2" t="s">
        <v>74</v>
      </c>
      <c r="K35">
        <f>SUM(J33:J34)</f>
        <v>9.67741935483871</v>
      </c>
      <c r="L35">
        <f t="shared" si="2"/>
        <v>0.69176934876091867</v>
      </c>
    </row>
    <row r="36" spans="1:12" x14ac:dyDescent="0.25">
      <c r="A36" s="29" t="s">
        <v>44</v>
      </c>
      <c r="B36" s="4"/>
      <c r="C36" s="4"/>
      <c r="D36" s="4"/>
      <c r="E36" s="4"/>
      <c r="F36" s="4"/>
      <c r="G36" s="4"/>
      <c r="H36" s="4"/>
    </row>
    <row r="37" spans="1:12" x14ac:dyDescent="0.25">
      <c r="A37" s="37" t="s">
        <v>45</v>
      </c>
      <c r="B37" s="4">
        <v>20</v>
      </c>
      <c r="C37" s="26" t="s">
        <v>46</v>
      </c>
      <c r="D37" s="4">
        <f>H33+H26</f>
        <v>107805.83938600002</v>
      </c>
      <c r="E37" s="4">
        <v>0.72</v>
      </c>
      <c r="F37" s="4">
        <v>1056.95</v>
      </c>
      <c r="G37" s="4">
        <f>$E$2*F37</f>
        <v>304.61299000000002</v>
      </c>
      <c r="H37" s="4">
        <f t="shared" si="1"/>
        <v>109167.40237600001</v>
      </c>
      <c r="J37" s="3">
        <f>1/E37</f>
        <v>1.3888888888888888</v>
      </c>
      <c r="K37" s="3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J38" s="2" t="s">
        <v>73</v>
      </c>
      <c r="K38">
        <f>SUM(J37)</f>
        <v>1.3888888888888888</v>
      </c>
      <c r="L38">
        <f t="shared" si="2"/>
        <v>9.9281712090687396E-2</v>
      </c>
    </row>
    <row r="39" spans="1:12" x14ac:dyDescent="0.25">
      <c r="A39" s="4"/>
      <c r="B39" s="4"/>
      <c r="C39" s="4"/>
      <c r="D39" s="4"/>
      <c r="E39" s="4"/>
      <c r="F39" s="4"/>
      <c r="G39" s="4"/>
      <c r="H39" s="4"/>
    </row>
    <row r="40" spans="1:12" x14ac:dyDescent="0.25">
      <c r="A40" s="4"/>
      <c r="B40" s="4"/>
      <c r="C40" s="4"/>
      <c r="D40" s="4"/>
      <c r="E40" s="4"/>
      <c r="F40" s="4"/>
      <c r="G40" s="4"/>
      <c r="H40" s="4"/>
      <c r="J40" t="s">
        <v>71</v>
      </c>
      <c r="K40">
        <f>SUM(K23:K37)</f>
        <v>13.989372862750685</v>
      </c>
    </row>
  </sheetData>
  <conditionalFormatting sqref="H24:H38 J40 H40:H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{9BAE95EA-14E8-4362-9C45-851007743641}</x14:id>
        </ext>
      </extLst>
    </cfRule>
  </conditionalFormatting>
  <conditionalFormatting sqref="J24:J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{E33AF4C7-0A01-495A-A581-93B8264FCEF6}</x14:id>
        </ext>
      </extLst>
    </cfRule>
  </conditionalFormatting>
  <conditionalFormatting sqref="J29:J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{16857896-B1BA-4502-B546-1A8C3AC24EEF}</x14:id>
        </ext>
      </extLst>
    </cfRule>
  </conditionalFormatting>
  <conditionalFormatting sqref="J33:J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{0E8D3099-D8D3-4D8F-9E07-3AEDEFCD3D0A}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E95EA-14E8-4362-9C45-851007743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L27:L38</xm:sqref>
        </x14:conditionalFormatting>
        <x14:conditionalFormatting xmlns:xm="http://schemas.microsoft.com/office/excel/2006/main">
          <x14:cfRule type="dataBar" id="{E33AF4C7-0A01-495A-A581-93B8264FC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J24:J26</xm:sqref>
        </x14:conditionalFormatting>
        <x14:conditionalFormatting xmlns:xm="http://schemas.microsoft.com/office/excel/2006/main">
          <x14:cfRule type="dataBar" id="{16857896-B1BA-4502-B546-1A8C3AC24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J29:J30</xm:sqref>
        </x14:conditionalFormatting>
        <x14:conditionalFormatting xmlns:xm="http://schemas.microsoft.com/office/excel/2006/main">
          <x14:cfRule type="dataBar" id="{0E8D3099-D8D3-4D8F-9E07-3AEDEFCD3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J33:J34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C1" zoomScale="70" zoomScaleNormal="70" workbookViewId="0">
      <selection activeCell="D20" sqref="D20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17.140625" customWidth="1"/>
    <col min="4" max="4" width="75.140625" bestFit="1" customWidth="1"/>
    <col min="5" max="5" width="26.7109375" bestFit="1" customWidth="1"/>
    <col min="6" max="6" width="23.28515625" bestFit="1" customWidth="1"/>
    <col min="7" max="7" width="21.5703125" bestFit="1" customWidth="1"/>
    <col min="8" max="8" width="32.42578125" bestFit="1" customWidth="1"/>
    <col min="9" max="9" width="15.28515625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101</v>
      </c>
      <c r="C2" s="4" t="s">
        <v>2</v>
      </c>
      <c r="D2" s="4" t="s">
        <v>99</v>
      </c>
      <c r="E2" s="4" t="s">
        <v>123</v>
      </c>
      <c r="F2" s="4" t="s">
        <v>124</v>
      </c>
      <c r="G2" s="4"/>
      <c r="H2" s="13" t="s">
        <v>9</v>
      </c>
      <c r="I2" s="14">
        <v>0.2</v>
      </c>
    </row>
    <row r="3" spans="1:13" x14ac:dyDescent="0.25">
      <c r="A3" s="4" t="s">
        <v>58</v>
      </c>
      <c r="B3" s="4">
        <f>IF(B13&gt;0,B13-1,0)</f>
        <v>2</v>
      </c>
      <c r="C3" s="12">
        <v>10.5</v>
      </c>
      <c r="D3" s="4">
        <f>20*C13</f>
        <v>301.59999999999997</v>
      </c>
      <c r="E3" s="11">
        <f>D3*C3</f>
        <v>3166.7999999999997</v>
      </c>
      <c r="F3" s="11">
        <f>E3*24</f>
        <v>76003.199999999997</v>
      </c>
      <c r="G3" s="4"/>
    </row>
    <row r="4" spans="1:13" x14ac:dyDescent="0.25">
      <c r="A4" s="4" t="s">
        <v>60</v>
      </c>
      <c r="B4" s="4">
        <f>IF(B13&gt;0,B13-1,0)</f>
        <v>2</v>
      </c>
      <c r="C4" s="12">
        <v>900</v>
      </c>
      <c r="D4" s="4">
        <f>8*C13</f>
        <v>120.63999999999999</v>
      </c>
      <c r="E4" s="11">
        <f t="shared" ref="E4:E5" si="0">D4*C4</f>
        <v>108575.99999999999</v>
      </c>
      <c r="F4" s="11">
        <f t="shared" ref="F4:F5" si="1">E4*24</f>
        <v>2605823.9999999995</v>
      </c>
      <c r="G4" s="4"/>
      <c r="K4" t="s">
        <v>97</v>
      </c>
    </row>
    <row r="5" spans="1:13" x14ac:dyDescent="0.25">
      <c r="A5" s="4" t="s">
        <v>10</v>
      </c>
      <c r="B5" s="4">
        <f>IF(B13&gt;0,B13-1,0)</f>
        <v>2</v>
      </c>
      <c r="C5" s="12">
        <v>18.5</v>
      </c>
      <c r="D5" s="4">
        <f>10*C13</f>
        <v>150.79999999999998</v>
      </c>
      <c r="E5" s="11">
        <f t="shared" si="0"/>
        <v>2789.7999999999997</v>
      </c>
      <c r="F5" s="11">
        <f t="shared" si="1"/>
        <v>66955.199999999997</v>
      </c>
      <c r="G5" s="4"/>
      <c r="K5" t="s">
        <v>98</v>
      </c>
    </row>
    <row r="6" spans="1:13" x14ac:dyDescent="0.25">
      <c r="A6" s="4"/>
      <c r="B6" s="4"/>
      <c r="C6" s="4"/>
      <c r="D6" s="4"/>
      <c r="E6" s="27">
        <f>SUM(E3:E5)</f>
        <v>114532.59999999999</v>
      </c>
      <c r="F6" s="27">
        <f>SUM(F3:F5)</f>
        <v>2748782.4</v>
      </c>
      <c r="G6" s="4"/>
    </row>
    <row r="7" spans="1:13" x14ac:dyDescent="0.25">
      <c r="A7" s="4"/>
      <c r="B7" s="4"/>
      <c r="C7" s="4"/>
      <c r="D7" s="4"/>
      <c r="E7" s="4"/>
      <c r="G7" s="4"/>
    </row>
    <row r="8" spans="1:13" x14ac:dyDescent="0.25">
      <c r="A8" s="4"/>
      <c r="B8" s="4"/>
      <c r="C8" s="4"/>
      <c r="D8" s="4"/>
      <c r="E8" s="4"/>
      <c r="G8" s="4"/>
    </row>
    <row r="9" spans="1:13" x14ac:dyDescent="0.25">
      <c r="A9" s="4"/>
      <c r="B9" s="4"/>
      <c r="C9" s="4"/>
      <c r="D9" s="4"/>
      <c r="E9" s="4"/>
      <c r="G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13" x14ac:dyDescent="0.25">
      <c r="A11" s="24"/>
      <c r="B11" s="24" t="s">
        <v>101</v>
      </c>
      <c r="C11" s="24" t="s">
        <v>95</v>
      </c>
      <c r="D11" s="24" t="s">
        <v>4</v>
      </c>
      <c r="E11" s="24" t="s">
        <v>84</v>
      </c>
      <c r="F11" s="24" t="s">
        <v>6</v>
      </c>
      <c r="G11" s="24" t="s">
        <v>7</v>
      </c>
      <c r="H11" s="24" t="s">
        <v>8</v>
      </c>
      <c r="I11" s="24" t="s">
        <v>100</v>
      </c>
      <c r="J11" s="24" t="s">
        <v>55</v>
      </c>
      <c r="K11" s="24"/>
      <c r="L11" s="4"/>
      <c r="M11" s="4"/>
    </row>
    <row r="12" spans="1:13" x14ac:dyDescent="0.25">
      <c r="A12" s="29" t="s">
        <v>35</v>
      </c>
      <c r="B12" s="29"/>
      <c r="C12" s="24"/>
      <c r="D12" s="24"/>
      <c r="E12" s="24"/>
      <c r="F12" s="24"/>
      <c r="G12" s="24"/>
      <c r="H12" s="24"/>
      <c r="J12" s="24"/>
      <c r="K12" s="24"/>
      <c r="L12" s="5"/>
      <c r="M12" s="4"/>
    </row>
    <row r="13" spans="1:13" x14ac:dyDescent="0.25">
      <c r="A13" s="24" t="s">
        <v>38</v>
      </c>
      <c r="B13" s="12">
        <v>3</v>
      </c>
      <c r="C13" s="12">
        <v>15.079999999999998</v>
      </c>
      <c r="D13" s="28" t="s">
        <v>39</v>
      </c>
      <c r="E13" s="24">
        <f>20*C3+8*C4+10*C5</f>
        <v>7595</v>
      </c>
      <c r="F13" s="24">
        <v>0.28999999999999998</v>
      </c>
      <c r="G13" s="24">
        <v>1989.41</v>
      </c>
      <c r="H13" s="24">
        <f>$I$2*G13</f>
        <v>397.88200000000006</v>
      </c>
      <c r="I13">
        <f>C13/F13</f>
        <v>52</v>
      </c>
      <c r="J13" s="27">
        <f>E13+G13+H13</f>
        <v>9982.2919999999995</v>
      </c>
      <c r="K13" s="24"/>
      <c r="L13" s="4"/>
      <c r="M13" s="4"/>
    </row>
    <row r="14" spans="1:13" x14ac:dyDescent="0.25">
      <c r="A14" s="24"/>
      <c r="B14" s="24"/>
      <c r="C14" s="24"/>
      <c r="D14" s="28"/>
      <c r="E14" s="24"/>
      <c r="F14" s="38" t="s">
        <v>102</v>
      </c>
      <c r="G14" s="40">
        <v>13</v>
      </c>
      <c r="H14" s="39" t="s">
        <v>103</v>
      </c>
      <c r="I14" s="39">
        <f>I13/G14</f>
        <v>4</v>
      </c>
      <c r="J14" s="24"/>
      <c r="K14" s="24" t="s">
        <v>105</v>
      </c>
      <c r="L14" s="4"/>
      <c r="M14" s="4"/>
    </row>
    <row r="15" spans="1:13" x14ac:dyDescent="0.25">
      <c r="A15" s="24"/>
      <c r="B15" s="24"/>
      <c r="C15" s="24"/>
      <c r="D15" s="24"/>
      <c r="E15" s="24"/>
      <c r="H15" s="39" t="s">
        <v>109</v>
      </c>
      <c r="I15" s="39">
        <f>I14*G14</f>
        <v>52</v>
      </c>
    </row>
    <row r="16" spans="1:13" x14ac:dyDescent="0.25">
      <c r="A16" s="24"/>
      <c r="B16" s="24"/>
      <c r="C16" s="24"/>
      <c r="D16" s="24"/>
      <c r="E16" s="24"/>
    </row>
    <row r="17" spans="1:5" x14ac:dyDescent="0.25">
      <c r="A17" s="24"/>
      <c r="B17" s="24" t="s">
        <v>106</v>
      </c>
      <c r="C17" s="12">
        <v>11700</v>
      </c>
      <c r="D17" s="24"/>
      <c r="E17" s="24"/>
    </row>
    <row r="18" spans="1:5" x14ac:dyDescent="0.25">
      <c r="A18" s="24"/>
      <c r="B18" s="24" t="s">
        <v>129</v>
      </c>
      <c r="C18" s="24">
        <f>C13*24</f>
        <v>361.91999999999996</v>
      </c>
      <c r="D18" s="24"/>
      <c r="E18" s="24"/>
    </row>
    <row r="19" spans="1:5" x14ac:dyDescent="0.25">
      <c r="A19" s="24"/>
      <c r="B19" s="24" t="s">
        <v>107</v>
      </c>
      <c r="C19" s="27">
        <f>(C17-J13)*C13</f>
        <v>25903.036640000006</v>
      </c>
      <c r="D19" s="24"/>
      <c r="E19" s="24"/>
    </row>
    <row r="20" spans="1:5" x14ac:dyDescent="0.25">
      <c r="A20" s="24"/>
      <c r="B20" s="24" t="s">
        <v>108</v>
      </c>
      <c r="C20" s="27">
        <f>C19*24</f>
        <v>621672.87936000014</v>
      </c>
      <c r="D20" s="24"/>
      <c r="E20" s="24"/>
    </row>
    <row r="21" spans="1:5" x14ac:dyDescent="0.25">
      <c r="A21" s="24"/>
      <c r="B21" s="24"/>
      <c r="C21" s="24"/>
      <c r="D21" s="24"/>
      <c r="E21" s="24"/>
    </row>
    <row r="22" spans="1:5" x14ac:dyDescent="0.25">
      <c r="A22" s="24"/>
      <c r="B22" s="24"/>
      <c r="C22" s="24"/>
      <c r="D22" s="24"/>
      <c r="E22" s="24"/>
    </row>
  </sheetData>
  <conditionalFormatting sqref="M11:M12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{3165805C-5004-49C5-854A-5F4767D7AE87}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65805C-5004-49C5-854A-5F4767D7A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1" zoomScale="70" zoomScaleNormal="70" workbookViewId="0">
      <selection activeCell="F36" sqref="F36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33.28515625" customWidth="1"/>
    <col min="4" max="4" width="75.140625" bestFit="1" customWidth="1"/>
    <col min="5" max="5" width="28.85546875" bestFit="1" customWidth="1"/>
    <col min="6" max="6" width="23.28515625" bestFit="1" customWidth="1"/>
    <col min="7" max="7" width="21.5703125" bestFit="1" customWidth="1"/>
    <col min="8" max="8" width="22" bestFit="1" customWidth="1"/>
    <col min="9" max="9" width="19.5703125" bestFit="1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101</v>
      </c>
      <c r="C2" s="4" t="s">
        <v>2</v>
      </c>
      <c r="D2" s="4" t="s">
        <v>99</v>
      </c>
      <c r="E2" s="4" t="s">
        <v>123</v>
      </c>
      <c r="F2" s="4" t="s">
        <v>124</v>
      </c>
      <c r="G2" s="4"/>
      <c r="H2" s="13" t="s">
        <v>9</v>
      </c>
      <c r="I2" s="14">
        <v>0.2</v>
      </c>
    </row>
    <row r="3" spans="1:13" x14ac:dyDescent="0.25">
      <c r="A3" s="4" t="s">
        <v>58</v>
      </c>
      <c r="B3" s="4">
        <f>IF(B18&gt;0,B18-1,0)</f>
        <v>1</v>
      </c>
      <c r="C3" s="12">
        <v>10.5</v>
      </c>
      <c r="D3" s="4">
        <f>20*C18</f>
        <v>162.39999999999978</v>
      </c>
      <c r="E3" s="11">
        <f>D3*C3</f>
        <v>1705.1999999999978</v>
      </c>
      <c r="F3" s="11">
        <f>E3*24</f>
        <v>40924.799999999945</v>
      </c>
      <c r="G3" s="4"/>
    </row>
    <row r="4" spans="1:13" x14ac:dyDescent="0.25">
      <c r="A4" s="4" t="s">
        <v>60</v>
      </c>
      <c r="B4" s="4">
        <f>IF(B18&gt;0,B18-1,0)</f>
        <v>1</v>
      </c>
      <c r="C4" s="12">
        <v>900</v>
      </c>
      <c r="D4" s="4">
        <f>8*C18</f>
        <v>64.959999999999908</v>
      </c>
      <c r="E4" s="11">
        <f t="shared" ref="E4:E10" si="0">D4*C4</f>
        <v>58463.99999999992</v>
      </c>
      <c r="F4" s="11">
        <f t="shared" ref="F4:F10" si="1">E4*24</f>
        <v>1403135.9999999981</v>
      </c>
      <c r="G4" s="4"/>
      <c r="K4" t="s">
        <v>97</v>
      </c>
    </row>
    <row r="5" spans="1:13" x14ac:dyDescent="0.25">
      <c r="A5" s="4" t="s">
        <v>10</v>
      </c>
      <c r="B5" s="4">
        <f>IF(B18&gt;0,B18-1,0)</f>
        <v>1</v>
      </c>
      <c r="C5" s="12">
        <v>18.5</v>
      </c>
      <c r="D5" s="4">
        <f>10*C18</f>
        <v>81.199999999999889</v>
      </c>
      <c r="E5" s="11">
        <f t="shared" si="0"/>
        <v>1502.199999999998</v>
      </c>
      <c r="F5" s="11">
        <f t="shared" si="1"/>
        <v>36052.799999999952</v>
      </c>
      <c r="G5" s="4"/>
      <c r="K5" t="s">
        <v>98</v>
      </c>
    </row>
    <row r="6" spans="1:13" x14ac:dyDescent="0.25">
      <c r="A6" s="24" t="s">
        <v>5</v>
      </c>
      <c r="B6" s="24">
        <f>IF(B22&gt;0,B22-1,0)</f>
        <v>2</v>
      </c>
      <c r="C6" s="12">
        <f>3180*0.98</f>
        <v>3116.4</v>
      </c>
      <c r="D6" s="4">
        <f>40*C22</f>
        <v>7.9219512195121844</v>
      </c>
      <c r="E6" s="11">
        <f t="shared" si="0"/>
        <v>24687.968780487772</v>
      </c>
      <c r="F6" s="11">
        <f t="shared" si="1"/>
        <v>592511.2507317065</v>
      </c>
      <c r="G6" s="4"/>
    </row>
    <row r="7" spans="1:13" x14ac:dyDescent="0.25">
      <c r="A7" s="24" t="s">
        <v>13</v>
      </c>
      <c r="B7" s="24">
        <f>IF(B23&gt;0,B23-1,0)</f>
        <v>2</v>
      </c>
      <c r="C7" s="12">
        <f>9900*0.98</f>
        <v>9702</v>
      </c>
      <c r="D7" s="4">
        <f>16*C22+C23*6</f>
        <v>4.3570731707317014</v>
      </c>
      <c r="E7" s="11">
        <f t="shared" si="0"/>
        <v>42272.32390243897</v>
      </c>
      <c r="F7" s="11">
        <f t="shared" si="1"/>
        <v>1014535.7736585352</v>
      </c>
      <c r="G7" s="4"/>
    </row>
    <row r="8" spans="1:13" x14ac:dyDescent="0.25">
      <c r="A8" s="24" t="s">
        <v>29</v>
      </c>
      <c r="B8" s="24">
        <f>IF(B23&gt;0,B23-1,0)</f>
        <v>2</v>
      </c>
      <c r="C8" s="12">
        <v>5570</v>
      </c>
      <c r="D8" s="4">
        <f>2*C23</f>
        <v>0.39609756097560922</v>
      </c>
      <c r="E8" s="11">
        <f t="shared" si="0"/>
        <v>2206.2634146341434</v>
      </c>
      <c r="F8" s="11">
        <f t="shared" si="1"/>
        <v>52950.321951219441</v>
      </c>
      <c r="G8" s="4"/>
      <c r="K8" s="39" t="s">
        <v>103</v>
      </c>
      <c r="L8" t="s">
        <v>104</v>
      </c>
    </row>
    <row r="9" spans="1:13" x14ac:dyDescent="0.25">
      <c r="A9" s="24" t="s">
        <v>18</v>
      </c>
      <c r="B9" s="24">
        <f>IF(B23&gt;0,B23-1,0)</f>
        <v>2</v>
      </c>
      <c r="C9" s="12">
        <v>545</v>
      </c>
      <c r="D9" s="4">
        <f>10*C23</f>
        <v>1.9804878048780461</v>
      </c>
      <c r="E9" s="11">
        <f t="shared" si="0"/>
        <v>1079.3658536585351</v>
      </c>
      <c r="F9" s="11">
        <f t="shared" si="1"/>
        <v>25904.780487804841</v>
      </c>
      <c r="G9" s="4"/>
    </row>
    <row r="10" spans="1:13" x14ac:dyDescent="0.25">
      <c r="A10" s="24" t="s">
        <v>96</v>
      </c>
      <c r="B10" s="24">
        <f>IF(B23&gt;0,B23-1,0)</f>
        <v>2</v>
      </c>
      <c r="C10" s="12">
        <v>1730</v>
      </c>
      <c r="D10" s="4">
        <f>4*C23</f>
        <v>0.79219512195121844</v>
      </c>
      <c r="E10" s="11">
        <f t="shared" si="0"/>
        <v>1370.4975609756079</v>
      </c>
      <c r="F10" s="11">
        <f t="shared" si="1"/>
        <v>32891.941463414594</v>
      </c>
      <c r="G10" s="4"/>
    </row>
    <row r="11" spans="1:13" x14ac:dyDescent="0.25">
      <c r="A11" s="4"/>
      <c r="B11" s="4"/>
      <c r="C11" s="4"/>
      <c r="D11" s="4"/>
      <c r="E11" s="27">
        <f>SUM(E3:E10)</f>
        <v>133287.81951219495</v>
      </c>
      <c r="F11" s="27">
        <f>E11*24</f>
        <v>3198907.6682926789</v>
      </c>
      <c r="G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4"/>
      <c r="B16" s="24" t="s">
        <v>101</v>
      </c>
      <c r="C16" s="24" t="s">
        <v>125</v>
      </c>
      <c r="D16" s="24" t="s">
        <v>4</v>
      </c>
      <c r="E16" s="24" t="s">
        <v>84</v>
      </c>
      <c r="F16" s="24" t="s">
        <v>128</v>
      </c>
      <c r="G16" s="24" t="s">
        <v>7</v>
      </c>
      <c r="H16" s="24" t="s">
        <v>8</v>
      </c>
      <c r="I16" s="24" t="s">
        <v>100</v>
      </c>
      <c r="J16" s="24" t="s">
        <v>55</v>
      </c>
      <c r="K16" s="24"/>
      <c r="L16" s="4"/>
      <c r="M16" s="4"/>
    </row>
    <row r="17" spans="1:13" x14ac:dyDescent="0.25">
      <c r="A17" s="29" t="s">
        <v>35</v>
      </c>
      <c r="B17" s="29"/>
      <c r="C17" s="24"/>
      <c r="D17" s="24"/>
      <c r="E17" s="24"/>
      <c r="F17" s="24"/>
      <c r="G17" s="24"/>
      <c r="H17" s="24"/>
      <c r="J17" s="24"/>
      <c r="K17" s="24"/>
      <c r="L17" s="5"/>
      <c r="M17" s="4"/>
    </row>
    <row r="18" spans="1:13" x14ac:dyDescent="0.25">
      <c r="A18" s="24" t="s">
        <v>38</v>
      </c>
      <c r="B18" s="24">
        <f>IF(B22&gt;0,B22-1,0)</f>
        <v>2</v>
      </c>
      <c r="C18" s="24">
        <f>34*C22+7*C23</f>
        <v>8.1199999999999886</v>
      </c>
      <c r="D18" s="28" t="s">
        <v>39</v>
      </c>
      <c r="E18" s="24">
        <f>20*C3+8*C4+10*C5</f>
        <v>7595</v>
      </c>
      <c r="F18" s="24">
        <v>0.28999999999999998</v>
      </c>
      <c r="G18" s="24">
        <v>1989.41</v>
      </c>
      <c r="H18" s="24">
        <f>$I$2*G18</f>
        <v>397.88200000000006</v>
      </c>
      <c r="I18">
        <f>C18/F18</f>
        <v>27.999999999999961</v>
      </c>
      <c r="J18" s="27">
        <f>E18+G18+H18</f>
        <v>9982.2919999999995</v>
      </c>
      <c r="K18" s="24"/>
      <c r="L18" s="4"/>
      <c r="M18" s="4"/>
    </row>
    <row r="19" spans="1:13" x14ac:dyDescent="0.25">
      <c r="A19" s="24"/>
      <c r="B19" s="24"/>
      <c r="C19" s="24"/>
      <c r="D19" s="28"/>
      <c r="E19" s="24"/>
      <c r="F19" s="38" t="s">
        <v>102</v>
      </c>
      <c r="G19" s="40">
        <v>11</v>
      </c>
      <c r="H19" s="39" t="s">
        <v>103</v>
      </c>
      <c r="I19" s="39">
        <f>I18/G19</f>
        <v>2.5454545454545419</v>
      </c>
      <c r="J19" s="24"/>
      <c r="K19" s="24"/>
      <c r="L19" s="4"/>
      <c r="M19" s="4"/>
    </row>
    <row r="20" spans="1:13" x14ac:dyDescent="0.25">
      <c r="A20" s="24"/>
      <c r="B20" s="24"/>
      <c r="C20" s="24"/>
      <c r="D20" s="28"/>
      <c r="E20" s="24"/>
      <c r="F20" s="38"/>
      <c r="G20" s="38"/>
      <c r="H20" s="39" t="s">
        <v>109</v>
      </c>
      <c r="I20" s="39">
        <f>I19*G19</f>
        <v>27.999999999999961</v>
      </c>
      <c r="J20" s="24"/>
      <c r="K20" s="24"/>
      <c r="L20" s="4"/>
      <c r="M20" s="4"/>
    </row>
    <row r="21" spans="1:13" x14ac:dyDescent="0.25">
      <c r="A21" s="29" t="s">
        <v>94</v>
      </c>
      <c r="B21" s="29"/>
      <c r="C21" s="24"/>
      <c r="D21" s="24"/>
      <c r="E21" s="24"/>
      <c r="F21" s="24"/>
      <c r="G21" s="24"/>
      <c r="H21" s="24"/>
      <c r="J21" s="24"/>
      <c r="K21" s="24"/>
      <c r="L21" s="4"/>
      <c r="M21" s="4"/>
    </row>
    <row r="22" spans="1:13" x14ac:dyDescent="0.25">
      <c r="A22" s="24" t="s">
        <v>24</v>
      </c>
      <c r="B22" s="24">
        <f>IF(B27&gt;0,B27-1,0)</f>
        <v>3</v>
      </c>
      <c r="C22" s="4">
        <f>C27</f>
        <v>0.19804878048780461</v>
      </c>
      <c r="D22" s="26" t="s">
        <v>22</v>
      </c>
      <c r="E22" s="4">
        <f>40*C6+16*C7+34*J18</f>
        <v>619285.92799999996</v>
      </c>
      <c r="F22" s="4">
        <v>1.67</v>
      </c>
      <c r="G22" s="4">
        <v>351.65</v>
      </c>
      <c r="H22" s="4">
        <f>$I$2*G22</f>
        <v>70.33</v>
      </c>
      <c r="I22">
        <f>C22/F22</f>
        <v>0.11859208412443391</v>
      </c>
      <c r="J22" s="27">
        <f>E22+G22+H22</f>
        <v>619707.90799999994</v>
      </c>
      <c r="K22" s="24"/>
      <c r="L22" s="4"/>
      <c r="M22" s="4"/>
    </row>
    <row r="23" spans="1:13" x14ac:dyDescent="0.25">
      <c r="A23" s="24" t="s">
        <v>23</v>
      </c>
      <c r="B23" s="24">
        <f>IF(B27&gt;0,B27-1,0)</f>
        <v>3</v>
      </c>
      <c r="C23" s="4">
        <f>C27</f>
        <v>0.19804878048780461</v>
      </c>
      <c r="D23" s="26" t="s">
        <v>25</v>
      </c>
      <c r="E23" s="4">
        <f>2*C8+10*C9+4*C10+6*C7+7*J18</f>
        <v>151598.04399999999</v>
      </c>
      <c r="F23" s="4">
        <v>0.33</v>
      </c>
      <c r="G23" s="4">
        <v>1758.23</v>
      </c>
      <c r="H23" s="4">
        <f>$I$2*G23</f>
        <v>351.64600000000002</v>
      </c>
      <c r="I23">
        <f>C23/F23</f>
        <v>0.60014781966001396</v>
      </c>
      <c r="J23" s="27">
        <f>E23+G23+H23</f>
        <v>153707.92000000001</v>
      </c>
      <c r="K23" s="24"/>
      <c r="L23" s="4"/>
      <c r="M23" s="4"/>
    </row>
    <row r="24" spans="1:13" x14ac:dyDescent="0.25">
      <c r="A24" s="24"/>
      <c r="B24" s="24"/>
      <c r="C24" s="24"/>
      <c r="D24" s="28"/>
      <c r="E24" s="24"/>
      <c r="F24" s="38" t="s">
        <v>102</v>
      </c>
      <c r="G24" s="40">
        <v>1</v>
      </c>
      <c r="H24" s="39" t="s">
        <v>103</v>
      </c>
      <c r="I24" s="39">
        <f>(I22+I23)/G24</f>
        <v>0.71873990378444785</v>
      </c>
      <c r="J24" s="24"/>
      <c r="K24" s="24"/>
      <c r="L24" s="4"/>
      <c r="M24" s="4"/>
    </row>
    <row r="25" spans="1:13" x14ac:dyDescent="0.25">
      <c r="A25" s="24"/>
      <c r="B25" s="24"/>
      <c r="C25" s="24"/>
      <c r="D25" s="28"/>
      <c r="E25" s="24"/>
      <c r="F25" s="38"/>
      <c r="G25" s="38"/>
      <c r="H25" s="39" t="s">
        <v>109</v>
      </c>
      <c r="I25" s="39">
        <f>I24*G24</f>
        <v>0.71873990378444785</v>
      </c>
      <c r="J25" s="24"/>
      <c r="K25" s="24"/>
      <c r="L25" s="4"/>
      <c r="M25" s="4"/>
    </row>
    <row r="26" spans="1:13" x14ac:dyDescent="0.25">
      <c r="A26" s="29" t="s">
        <v>44</v>
      </c>
      <c r="B26" s="29"/>
      <c r="C26" s="29"/>
      <c r="D26" s="24"/>
      <c r="E26" s="24"/>
      <c r="F26" s="24"/>
      <c r="G26" s="24"/>
      <c r="H26" s="24"/>
      <c r="J26" s="24"/>
      <c r="K26" s="24"/>
      <c r="L26" s="4"/>
      <c r="M26" s="4"/>
    </row>
    <row r="27" spans="1:13" x14ac:dyDescent="0.25">
      <c r="A27" s="24" t="s">
        <v>120</v>
      </c>
      <c r="B27" s="12">
        <v>4</v>
      </c>
      <c r="C27" s="12">
        <v>0.19804878048780461</v>
      </c>
      <c r="D27" s="28"/>
      <c r="E27" s="24">
        <f>J22+J23</f>
        <v>773415.82799999998</v>
      </c>
      <c r="F27" s="24">
        <f>C27</f>
        <v>0.19804878048780461</v>
      </c>
      <c r="G27" s="24">
        <v>12500</v>
      </c>
      <c r="H27" s="24"/>
      <c r="I27">
        <f>C27/F27</f>
        <v>1</v>
      </c>
      <c r="J27" s="27">
        <f>E27+G27+H27</f>
        <v>785915.82799999998</v>
      </c>
      <c r="K27" t="s">
        <v>121</v>
      </c>
      <c r="L27" s="4"/>
      <c r="M27" s="4"/>
    </row>
    <row r="28" spans="1:13" x14ac:dyDescent="0.25">
      <c r="A28" s="24"/>
      <c r="B28" s="24"/>
      <c r="C28" s="24"/>
      <c r="D28" s="26"/>
      <c r="E28" s="4"/>
      <c r="F28" s="4"/>
      <c r="G28" s="4"/>
      <c r="H28" s="39"/>
      <c r="I28" s="39"/>
      <c r="K28" s="4"/>
      <c r="L28" s="4"/>
      <c r="M28" s="4"/>
    </row>
    <row r="29" spans="1:13" x14ac:dyDescent="0.25">
      <c r="A29" s="29" t="s">
        <v>117</v>
      </c>
      <c r="B29" s="29"/>
      <c r="C29" s="29"/>
      <c r="D29" s="24"/>
      <c r="E29" s="24"/>
      <c r="F29" s="24"/>
      <c r="G29" s="24"/>
      <c r="H29" s="24"/>
      <c r="J29" s="24"/>
      <c r="K29" s="4"/>
      <c r="L29" s="4"/>
      <c r="M29" s="4"/>
    </row>
    <row r="30" spans="1:13" x14ac:dyDescent="0.25">
      <c r="A30" s="24" t="s">
        <v>119</v>
      </c>
      <c r="B30" s="12">
        <v>10</v>
      </c>
      <c r="C30" s="24"/>
      <c r="D30" s="28" t="s">
        <v>118</v>
      </c>
      <c r="E30" s="24">
        <f>J27</f>
        <v>785915.82799999998</v>
      </c>
      <c r="F30" s="24">
        <v>4</v>
      </c>
      <c r="G30" s="42">
        <f>518*B30*(128/(2^(B30-1)))</f>
        <v>1295</v>
      </c>
      <c r="H30" s="24">
        <f>G30*I2</f>
        <v>259</v>
      </c>
      <c r="I30">
        <f>C27/F30</f>
        <v>4.9512195121951152E-2</v>
      </c>
      <c r="J30" s="27">
        <f>E30+H30+G30</f>
        <v>787469.82799999998</v>
      </c>
      <c r="K30" t="s">
        <v>122</v>
      </c>
    </row>
    <row r="31" spans="1:13" x14ac:dyDescent="0.25">
      <c r="A31" s="24"/>
      <c r="B31" s="24"/>
      <c r="C31" s="24"/>
      <c r="D31" s="26"/>
      <c r="E31" s="4"/>
      <c r="F31" s="38" t="s">
        <v>102</v>
      </c>
      <c r="G31" s="40">
        <v>1</v>
      </c>
      <c r="H31" s="39" t="s">
        <v>103</v>
      </c>
      <c r="I31" s="39">
        <f>(I30)/G31</f>
        <v>4.9512195121951152E-2</v>
      </c>
    </row>
    <row r="32" spans="1:13" x14ac:dyDescent="0.25">
      <c r="A32" s="24"/>
      <c r="B32" s="24"/>
      <c r="C32" s="24"/>
      <c r="D32" s="26"/>
      <c r="E32" s="4"/>
      <c r="G32" s="4"/>
      <c r="H32" s="39" t="s">
        <v>109</v>
      </c>
      <c r="I32" s="39">
        <f>I31*G31</f>
        <v>4.9512195121951152E-2</v>
      </c>
    </row>
    <row r="33" spans="1:9" x14ac:dyDescent="0.25">
      <c r="A33" s="24"/>
      <c r="B33" s="24" t="s">
        <v>110</v>
      </c>
      <c r="C33" s="24"/>
      <c r="D33" s="26"/>
      <c r="E33" s="4"/>
      <c r="F33" s="4"/>
      <c r="G33" s="4"/>
      <c r="H33" s="4"/>
      <c r="I33" s="24"/>
    </row>
    <row r="34" spans="1:9" x14ac:dyDescent="0.25">
      <c r="A34" s="24"/>
      <c r="B34" s="24" t="s">
        <v>106</v>
      </c>
      <c r="C34" s="12">
        <f>790000+15000*B27</f>
        <v>850000</v>
      </c>
      <c r="D34" s="24"/>
      <c r="E34" s="24"/>
      <c r="I34" s="1"/>
    </row>
    <row r="35" spans="1:9" x14ac:dyDescent="0.25">
      <c r="A35" s="24"/>
      <c r="B35" s="24" t="s">
        <v>129</v>
      </c>
      <c r="C35" s="24">
        <f>24*C27</f>
        <v>4.7531707317073106</v>
      </c>
      <c r="D35" s="24"/>
      <c r="E35" s="24"/>
      <c r="I35" s="1"/>
    </row>
    <row r="36" spans="1:9" x14ac:dyDescent="0.25">
      <c r="A36" s="24"/>
      <c r="B36" s="24" t="s">
        <v>107</v>
      </c>
      <c r="C36" s="27">
        <f>(C34-J27)*C27</f>
        <v>12691.792113170719</v>
      </c>
      <c r="D36" s="24"/>
      <c r="E36" s="24"/>
      <c r="I36" s="1"/>
    </row>
    <row r="37" spans="1:9" x14ac:dyDescent="0.25">
      <c r="A37" s="24"/>
      <c r="B37" s="24" t="s">
        <v>108</v>
      </c>
      <c r="C37" s="27">
        <f>C36*24</f>
        <v>304603.01071609725</v>
      </c>
      <c r="D37" s="24"/>
      <c r="E37" s="24"/>
    </row>
    <row r="38" spans="1:9" x14ac:dyDescent="0.25">
      <c r="A38" s="24"/>
      <c r="B38" s="24"/>
      <c r="C38" s="24"/>
      <c r="D38" s="24"/>
      <c r="E38" s="24"/>
    </row>
    <row r="39" spans="1:9" x14ac:dyDescent="0.25">
      <c r="A39" s="24"/>
      <c r="B39" s="24" t="s">
        <v>111</v>
      </c>
      <c r="C39" s="24"/>
      <c r="D39" s="24"/>
      <c r="E39" s="24"/>
    </row>
    <row r="40" spans="1:9" x14ac:dyDescent="0.25">
      <c r="A40" s="24"/>
      <c r="B40" s="24" t="s">
        <v>106</v>
      </c>
      <c r="C40" s="12">
        <v>318</v>
      </c>
      <c r="D40" s="24"/>
      <c r="E40" s="24"/>
    </row>
    <row r="41" spans="1:9" x14ac:dyDescent="0.25">
      <c r="A41" s="24"/>
      <c r="B41" s="24" t="s">
        <v>112</v>
      </c>
      <c r="C41" s="24">
        <v>2800</v>
      </c>
      <c r="D41" s="24"/>
      <c r="E41" s="24"/>
    </row>
    <row r="42" spans="1:9" x14ac:dyDescent="0.25">
      <c r="A42" s="24"/>
      <c r="B42" s="24" t="s">
        <v>113</v>
      </c>
      <c r="C42" s="24">
        <f>(0.5)^(B27+1)</f>
        <v>3.125E-2</v>
      </c>
      <c r="D42" s="24"/>
      <c r="E42" s="24"/>
    </row>
    <row r="43" spans="1:9" x14ac:dyDescent="0.25">
      <c r="B43" s="24" t="s">
        <v>114</v>
      </c>
      <c r="C43" s="1">
        <f>C40*C41*(1-C42)</f>
        <v>862575</v>
      </c>
    </row>
    <row r="44" spans="1:9" x14ac:dyDescent="0.25">
      <c r="B44" s="24" t="s">
        <v>115</v>
      </c>
      <c r="C44" s="41">
        <f>(C43-J30)*C27</f>
        <v>14874.487722926813</v>
      </c>
    </row>
    <row r="45" spans="1:9" x14ac:dyDescent="0.25">
      <c r="B45" s="24" t="s">
        <v>116</v>
      </c>
      <c r="C45" s="41">
        <f>C44*24</f>
        <v>356987.70535024349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{F5360406-8EFD-4FF6-B64C-F183DE818DE2}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360406-8EFD-4FF6-B64C-F183DE818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E7" zoomScale="70" zoomScaleNormal="70" workbookViewId="0">
      <selection activeCell="G19" sqref="G19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17.140625" customWidth="1"/>
    <col min="4" max="4" width="75.140625" bestFit="1" customWidth="1"/>
    <col min="5" max="5" width="28.85546875" bestFit="1" customWidth="1"/>
    <col min="6" max="6" width="23.28515625" bestFit="1" customWidth="1"/>
    <col min="8" max="8" width="22" bestFit="1" customWidth="1"/>
    <col min="9" max="9" width="15.28515625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101</v>
      </c>
      <c r="C2" s="4" t="s">
        <v>2</v>
      </c>
      <c r="D2" s="4" t="s">
        <v>99</v>
      </c>
      <c r="E2" s="4" t="s">
        <v>123</v>
      </c>
      <c r="F2" s="4" t="s">
        <v>124</v>
      </c>
      <c r="G2" s="4"/>
      <c r="H2" s="13" t="s">
        <v>9</v>
      </c>
      <c r="I2" s="14">
        <v>0.2</v>
      </c>
    </row>
    <row r="3" spans="1:13" x14ac:dyDescent="0.25">
      <c r="A3" s="4" t="s">
        <v>58</v>
      </c>
      <c r="B3" s="4">
        <f>IF(B18&gt;0,B18-1,0)</f>
        <v>1</v>
      </c>
      <c r="C3" s="12">
        <v>10.5</v>
      </c>
      <c r="D3" s="4">
        <f>20*C18</f>
        <v>162.39999999999978</v>
      </c>
      <c r="E3" s="11">
        <f>D3*C3</f>
        <v>1705.1999999999978</v>
      </c>
      <c r="F3" s="11">
        <f>E3*24</f>
        <v>40924.799999999945</v>
      </c>
      <c r="G3" s="4"/>
    </row>
    <row r="4" spans="1:13" x14ac:dyDescent="0.25">
      <c r="A4" s="4" t="s">
        <v>60</v>
      </c>
      <c r="B4" s="4">
        <f>IF(B18&gt;0,B18-1,0)</f>
        <v>1</v>
      </c>
      <c r="C4" s="12">
        <v>1100</v>
      </c>
      <c r="D4" s="4">
        <f>8*C18</f>
        <v>64.959999999999908</v>
      </c>
      <c r="E4" s="11">
        <f t="shared" ref="E4:E10" si="0">D4*C4</f>
        <v>71455.999999999898</v>
      </c>
      <c r="F4" s="11">
        <f t="shared" ref="F4:F10" si="1">E4*24</f>
        <v>1714943.9999999977</v>
      </c>
      <c r="G4" s="4"/>
      <c r="K4" t="s">
        <v>97</v>
      </c>
    </row>
    <row r="5" spans="1:13" x14ac:dyDescent="0.25">
      <c r="A5" s="4" t="s">
        <v>10</v>
      </c>
      <c r="B5" s="4">
        <f>IF(B18&gt;0,B18-1,0)</f>
        <v>1</v>
      </c>
      <c r="C5" s="12">
        <v>18.5</v>
      </c>
      <c r="D5" s="4">
        <f>10*C18</f>
        <v>81.199999999999889</v>
      </c>
      <c r="E5" s="11">
        <f t="shared" si="0"/>
        <v>1502.199999999998</v>
      </c>
      <c r="F5" s="11">
        <f t="shared" si="1"/>
        <v>36052.799999999952</v>
      </c>
      <c r="G5" s="4"/>
      <c r="K5" t="s">
        <v>98</v>
      </c>
    </row>
    <row r="6" spans="1:13" x14ac:dyDescent="0.25">
      <c r="A6" s="24" t="s">
        <v>5</v>
      </c>
      <c r="B6" s="24">
        <f>IF(B22&gt;0,B22-1,0)</f>
        <v>2</v>
      </c>
      <c r="C6" s="12">
        <f>3180*0.98</f>
        <v>3116.4</v>
      </c>
      <c r="D6" s="4">
        <f>40*C22</f>
        <v>7.9219512195121844</v>
      </c>
      <c r="E6" s="11">
        <f t="shared" si="0"/>
        <v>24687.968780487772</v>
      </c>
      <c r="F6" s="11">
        <f t="shared" si="1"/>
        <v>592511.2507317065</v>
      </c>
      <c r="G6" s="4"/>
    </row>
    <row r="7" spans="1:13" x14ac:dyDescent="0.25">
      <c r="A7" s="24" t="s">
        <v>13</v>
      </c>
      <c r="B7" s="24">
        <f>IF(B23&gt;0,B23-1,0)</f>
        <v>2</v>
      </c>
      <c r="C7" s="12">
        <f>9900*0.98</f>
        <v>9702</v>
      </c>
      <c r="D7" s="4">
        <f>16*C22+C23*6</f>
        <v>4.3570731707317014</v>
      </c>
      <c r="E7" s="11">
        <f t="shared" si="0"/>
        <v>42272.32390243897</v>
      </c>
      <c r="F7" s="11">
        <f t="shared" si="1"/>
        <v>1014535.7736585352</v>
      </c>
      <c r="G7" s="4"/>
    </row>
    <row r="8" spans="1:13" x14ac:dyDescent="0.25">
      <c r="A8" s="24" t="s">
        <v>29</v>
      </c>
      <c r="B8" s="24">
        <f>IF(B23&gt;0,B23-1,0)</f>
        <v>2</v>
      </c>
      <c r="C8" s="12">
        <v>5570</v>
      </c>
      <c r="D8" s="4">
        <f>2*C23</f>
        <v>0.39609756097560922</v>
      </c>
      <c r="E8" s="11">
        <f t="shared" si="0"/>
        <v>2206.2634146341434</v>
      </c>
      <c r="F8" s="11">
        <f t="shared" si="1"/>
        <v>52950.321951219441</v>
      </c>
      <c r="G8" s="4"/>
      <c r="K8" s="39" t="s">
        <v>103</v>
      </c>
      <c r="L8" t="s">
        <v>104</v>
      </c>
    </row>
    <row r="9" spans="1:13" x14ac:dyDescent="0.25">
      <c r="A9" s="24" t="s">
        <v>18</v>
      </c>
      <c r="B9" s="24">
        <f>IF(B23&gt;0,B23-1,0)</f>
        <v>2</v>
      </c>
      <c r="C9" s="12">
        <v>545</v>
      </c>
      <c r="D9" s="4">
        <f>10*C23</f>
        <v>1.9804878048780461</v>
      </c>
      <c r="E9" s="11">
        <f t="shared" si="0"/>
        <v>1079.3658536585351</v>
      </c>
      <c r="F9" s="11">
        <f t="shared" si="1"/>
        <v>25904.780487804841</v>
      </c>
      <c r="G9" s="4"/>
    </row>
    <row r="10" spans="1:13" x14ac:dyDescent="0.25">
      <c r="A10" s="24" t="s">
        <v>96</v>
      </c>
      <c r="B10" s="24">
        <f>IF(B23&gt;0,B23-1,0)</f>
        <v>2</v>
      </c>
      <c r="C10" s="12">
        <v>1730</v>
      </c>
      <c r="D10" s="4">
        <f>4*C23</f>
        <v>0.79219512195121844</v>
      </c>
      <c r="E10" s="11">
        <f t="shared" si="0"/>
        <v>1370.4975609756079</v>
      </c>
      <c r="F10" s="11">
        <f t="shared" si="1"/>
        <v>32891.941463414594</v>
      </c>
      <c r="G10" s="4"/>
    </row>
    <row r="11" spans="1:13" x14ac:dyDescent="0.25">
      <c r="A11" s="4"/>
      <c r="B11" s="4"/>
      <c r="C11" s="4"/>
      <c r="D11" s="4"/>
      <c r="E11" s="27">
        <f>SUM(E3:E10)</f>
        <v>146279.8195121949</v>
      </c>
      <c r="F11" s="27">
        <f>SUM(F3:F10)</f>
        <v>3510715.6682926784</v>
      </c>
      <c r="G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4"/>
      <c r="B16" s="24" t="s">
        <v>101</v>
      </c>
      <c r="C16" s="24" t="s">
        <v>125</v>
      </c>
      <c r="D16" s="24" t="s">
        <v>4</v>
      </c>
      <c r="E16" s="24" t="s">
        <v>84</v>
      </c>
      <c r="F16" s="24" t="s">
        <v>128</v>
      </c>
      <c r="G16" s="24" t="s">
        <v>7</v>
      </c>
      <c r="H16" s="24" t="s">
        <v>8</v>
      </c>
      <c r="I16" s="24" t="s">
        <v>100</v>
      </c>
      <c r="J16" s="24" t="s">
        <v>55</v>
      </c>
      <c r="K16" s="24"/>
      <c r="L16" s="4"/>
      <c r="M16" s="4"/>
    </row>
    <row r="17" spans="1:13" x14ac:dyDescent="0.25">
      <c r="A17" s="29" t="s">
        <v>35</v>
      </c>
      <c r="B17" s="29"/>
      <c r="C17" s="24"/>
      <c r="D17" s="24"/>
      <c r="E17" s="24"/>
      <c r="F17" s="24"/>
      <c r="G17" s="24"/>
      <c r="H17" s="24"/>
      <c r="J17" s="24"/>
      <c r="K17" s="24"/>
      <c r="L17" s="5"/>
      <c r="M17" s="4"/>
    </row>
    <row r="18" spans="1:13" x14ac:dyDescent="0.25">
      <c r="A18" s="24" t="s">
        <v>38</v>
      </c>
      <c r="B18" s="24">
        <f>IF(B22&gt;0,B22-1,0)</f>
        <v>2</v>
      </c>
      <c r="C18" s="24">
        <f>34*C22+7*C23</f>
        <v>8.1199999999999886</v>
      </c>
      <c r="D18" s="28" t="s">
        <v>39</v>
      </c>
      <c r="E18" s="24">
        <f>20*C3+8*C4+10*C5</f>
        <v>9195</v>
      </c>
      <c r="F18" s="24">
        <v>0.28999999999999998</v>
      </c>
      <c r="G18" s="24">
        <v>1989.41</v>
      </c>
      <c r="H18" s="24">
        <f>$I$2*G18</f>
        <v>397.88200000000006</v>
      </c>
      <c r="I18">
        <f>C18/F18</f>
        <v>27.999999999999961</v>
      </c>
      <c r="J18" s="27">
        <f>E18+G18+H18</f>
        <v>11582.291999999999</v>
      </c>
      <c r="K18" s="24"/>
      <c r="L18" s="4"/>
      <c r="M18" s="4"/>
    </row>
    <row r="19" spans="1:13" x14ac:dyDescent="0.25">
      <c r="A19" s="24"/>
      <c r="B19" s="24"/>
      <c r="C19" s="24"/>
      <c r="D19" s="28"/>
      <c r="E19" s="24"/>
      <c r="F19" s="38" t="s">
        <v>102</v>
      </c>
      <c r="G19" s="40">
        <v>10</v>
      </c>
      <c r="H19" s="39" t="s">
        <v>103</v>
      </c>
      <c r="I19" s="39">
        <f>I18/G19</f>
        <v>2.7999999999999963</v>
      </c>
      <c r="J19" s="24"/>
      <c r="K19" s="24"/>
      <c r="L19" s="4"/>
      <c r="M19" s="4"/>
    </row>
    <row r="20" spans="1:13" x14ac:dyDescent="0.25">
      <c r="A20" s="24"/>
      <c r="B20" s="24"/>
      <c r="C20" s="24"/>
      <c r="D20" s="28"/>
      <c r="E20" s="24"/>
      <c r="F20" s="38"/>
      <c r="G20" s="38"/>
      <c r="H20" s="39" t="s">
        <v>109</v>
      </c>
      <c r="I20" s="39">
        <f>I19*G19</f>
        <v>27.999999999999964</v>
      </c>
      <c r="J20" s="24"/>
      <c r="K20" s="24"/>
      <c r="L20" s="4"/>
      <c r="M20" s="4"/>
    </row>
    <row r="21" spans="1:13" x14ac:dyDescent="0.25">
      <c r="A21" s="29" t="s">
        <v>94</v>
      </c>
      <c r="B21" s="29"/>
      <c r="C21" s="24"/>
      <c r="D21" s="24"/>
      <c r="E21" s="24"/>
      <c r="F21" s="24"/>
      <c r="G21" s="24"/>
      <c r="H21" s="24"/>
      <c r="J21" s="24"/>
      <c r="K21" s="24"/>
      <c r="L21" s="4"/>
      <c r="M21" s="4"/>
    </row>
    <row r="22" spans="1:13" x14ac:dyDescent="0.25">
      <c r="A22" s="24" t="s">
        <v>24</v>
      </c>
      <c r="B22" s="24">
        <f>IF(B27&gt;0,B27-1,0)</f>
        <v>3</v>
      </c>
      <c r="C22" s="4">
        <f>C27</f>
        <v>0.19804878048780461</v>
      </c>
      <c r="D22" s="26" t="s">
        <v>22</v>
      </c>
      <c r="E22" s="4">
        <f>40*C6+16*C7+34*J18</f>
        <v>673685.92799999996</v>
      </c>
      <c r="F22" s="4">
        <v>1.67</v>
      </c>
      <c r="G22" s="4">
        <v>351.65</v>
      </c>
      <c r="H22" s="4">
        <f>$I$2*G22</f>
        <v>70.33</v>
      </c>
      <c r="I22">
        <f>C22/F22</f>
        <v>0.11859208412443391</v>
      </c>
      <c r="J22" s="27">
        <f>E22+G22+H22</f>
        <v>674107.90799999994</v>
      </c>
      <c r="K22" s="24"/>
      <c r="L22" s="4"/>
      <c r="M22" s="4"/>
    </row>
    <row r="23" spans="1:13" x14ac:dyDescent="0.25">
      <c r="A23" s="24" t="s">
        <v>23</v>
      </c>
      <c r="B23" s="24">
        <f>IF(B27&gt;0,B27-1,0)</f>
        <v>3</v>
      </c>
      <c r="C23" s="4">
        <f>C27</f>
        <v>0.19804878048780461</v>
      </c>
      <c r="D23" s="26" t="s">
        <v>25</v>
      </c>
      <c r="E23" s="4">
        <f>2*C8+10*C9+4*C10+6*C7+7*J18</f>
        <v>162798.04399999999</v>
      </c>
      <c r="F23" s="4">
        <v>0.33</v>
      </c>
      <c r="G23" s="4">
        <v>1758.23</v>
      </c>
      <c r="H23" s="4">
        <f>$I$2*G23</f>
        <v>351.64600000000002</v>
      </c>
      <c r="I23">
        <f>C23/F23</f>
        <v>0.60014781966001396</v>
      </c>
      <c r="J23" s="27">
        <f>E23+G23+H23</f>
        <v>164907.92000000001</v>
      </c>
      <c r="K23" s="24"/>
      <c r="L23" s="4"/>
      <c r="M23" s="4"/>
    </row>
    <row r="24" spans="1:13" x14ac:dyDescent="0.25">
      <c r="A24" s="24"/>
      <c r="B24" s="24"/>
      <c r="C24" s="24"/>
      <c r="D24" s="28"/>
      <c r="E24" s="24"/>
      <c r="F24" s="38" t="s">
        <v>102</v>
      </c>
      <c r="G24" s="40">
        <v>1</v>
      </c>
      <c r="H24" s="39" t="s">
        <v>103</v>
      </c>
      <c r="I24" s="39">
        <f>(I22+I23)/G24</f>
        <v>0.71873990378444785</v>
      </c>
      <c r="J24" s="24"/>
      <c r="K24" s="24"/>
      <c r="L24" s="4"/>
      <c r="M24" s="4"/>
    </row>
    <row r="25" spans="1:13" x14ac:dyDescent="0.25">
      <c r="A25" s="24"/>
      <c r="B25" s="24"/>
      <c r="C25" s="24"/>
      <c r="D25" s="28"/>
      <c r="E25" s="24"/>
      <c r="F25" s="38"/>
      <c r="G25" s="38"/>
      <c r="H25" s="39" t="s">
        <v>109</v>
      </c>
      <c r="I25" s="39">
        <f>I24*G24</f>
        <v>0.71873990378444785</v>
      </c>
      <c r="J25" s="24"/>
      <c r="K25" s="24"/>
      <c r="L25" s="4"/>
      <c r="M25" s="4"/>
    </row>
    <row r="26" spans="1:13" x14ac:dyDescent="0.25">
      <c r="A26" s="29" t="s">
        <v>44</v>
      </c>
      <c r="B26" s="29"/>
      <c r="C26" s="29"/>
      <c r="D26" s="24"/>
      <c r="E26" s="24"/>
      <c r="F26" s="24"/>
      <c r="G26" s="24"/>
      <c r="H26" s="24"/>
      <c r="J26" s="24"/>
      <c r="K26" s="24"/>
      <c r="L26" s="4"/>
      <c r="M26" s="4"/>
    </row>
    <row r="27" spans="1:13" x14ac:dyDescent="0.25">
      <c r="A27" s="24" t="s">
        <v>47</v>
      </c>
      <c r="B27" s="12">
        <v>4</v>
      </c>
      <c r="C27" s="12">
        <v>0.19804878048780461</v>
      </c>
      <c r="D27" s="28" t="s">
        <v>48</v>
      </c>
      <c r="E27" s="24">
        <f>J22+J23</f>
        <v>839015.82799999998</v>
      </c>
      <c r="F27" s="24">
        <v>0.24</v>
      </c>
      <c r="G27" s="24">
        <v>3170.85</v>
      </c>
      <c r="H27" s="24">
        <f>$I$2*G27</f>
        <v>634.17000000000007</v>
      </c>
      <c r="I27">
        <f>C27/F27</f>
        <v>0.82520325203251921</v>
      </c>
      <c r="J27" s="27">
        <f>E27+G27+H27</f>
        <v>842820.848</v>
      </c>
      <c r="L27" s="4"/>
      <c r="M27" s="4"/>
    </row>
    <row r="28" spans="1:13" x14ac:dyDescent="0.25">
      <c r="A28" s="24"/>
      <c r="B28" s="24"/>
      <c r="C28" s="24"/>
      <c r="D28" s="26"/>
      <c r="E28" s="4"/>
      <c r="F28" s="38" t="s">
        <v>102</v>
      </c>
      <c r="G28" s="40">
        <v>1</v>
      </c>
      <c r="H28" s="39" t="s">
        <v>103</v>
      </c>
      <c r="I28" s="39">
        <f>I27/G28</f>
        <v>0.82520325203251921</v>
      </c>
      <c r="K28" t="s">
        <v>127</v>
      </c>
      <c r="L28" s="4"/>
      <c r="M28" s="4"/>
    </row>
    <row r="29" spans="1:13" x14ac:dyDescent="0.25">
      <c r="A29" s="24"/>
      <c r="B29" s="24"/>
      <c r="C29" s="24"/>
      <c r="D29" s="26"/>
      <c r="E29" s="4"/>
      <c r="F29" s="4"/>
      <c r="G29" s="4"/>
      <c r="H29" s="39" t="s">
        <v>109</v>
      </c>
      <c r="I29" s="39">
        <f>I28*G28</f>
        <v>0.82520325203251921</v>
      </c>
      <c r="K29" s="4"/>
      <c r="L29" s="4"/>
      <c r="M29" s="4"/>
    </row>
    <row r="30" spans="1:13" x14ac:dyDescent="0.25">
      <c r="A30" s="29" t="s">
        <v>117</v>
      </c>
      <c r="B30" s="29"/>
      <c r="C30" s="29"/>
      <c r="D30" s="24"/>
      <c r="E30" s="24"/>
      <c r="F30" s="24"/>
      <c r="G30" s="24"/>
      <c r="H30" s="24"/>
      <c r="J30" s="24"/>
      <c r="K30" s="4"/>
      <c r="L30" s="4"/>
      <c r="M30" s="4"/>
    </row>
    <row r="31" spans="1:13" x14ac:dyDescent="0.25">
      <c r="A31" s="24" t="s">
        <v>119</v>
      </c>
      <c r="B31" s="12">
        <v>10</v>
      </c>
      <c r="C31" s="24"/>
      <c r="D31" s="28" t="s">
        <v>118</v>
      </c>
      <c r="E31" s="24">
        <f>J27</f>
        <v>842820.848</v>
      </c>
      <c r="F31" s="24">
        <v>4</v>
      </c>
      <c r="G31" s="42">
        <f>518*B31*(128/(2^(B31-1)))</f>
        <v>1295</v>
      </c>
      <c r="H31" s="24">
        <f>G31*I2</f>
        <v>259</v>
      </c>
      <c r="I31">
        <f>C27/F31</f>
        <v>4.9512195121951152E-2</v>
      </c>
      <c r="J31" s="27">
        <f>E31+G31+H31</f>
        <v>844374.848</v>
      </c>
      <c r="K31" t="s">
        <v>126</v>
      </c>
    </row>
    <row r="32" spans="1:13" x14ac:dyDescent="0.25">
      <c r="A32" s="24"/>
      <c r="B32" s="24"/>
      <c r="C32" s="24"/>
      <c r="D32" s="26"/>
      <c r="E32" s="4"/>
      <c r="F32" s="38" t="s">
        <v>102</v>
      </c>
      <c r="G32" s="40">
        <v>1</v>
      </c>
      <c r="H32" s="39" t="s">
        <v>103</v>
      </c>
      <c r="I32" s="39">
        <f>(I31)/G32</f>
        <v>4.9512195121951152E-2</v>
      </c>
    </row>
    <row r="33" spans="1:9" x14ac:dyDescent="0.25">
      <c r="A33" s="24"/>
      <c r="B33" s="24"/>
      <c r="C33" s="24"/>
      <c r="D33" s="26"/>
      <c r="E33" s="4"/>
      <c r="G33" s="4"/>
      <c r="H33" s="39" t="s">
        <v>109</v>
      </c>
      <c r="I33" s="39">
        <f>I32*G32</f>
        <v>4.9512195121951152E-2</v>
      </c>
    </row>
    <row r="34" spans="1:9" x14ac:dyDescent="0.25">
      <c r="A34" s="24"/>
      <c r="B34" s="24" t="s">
        <v>110</v>
      </c>
      <c r="C34" s="24"/>
      <c r="D34" s="26"/>
      <c r="E34" s="4"/>
      <c r="F34" s="4"/>
      <c r="G34" s="4"/>
      <c r="H34" s="4"/>
      <c r="I34" s="24"/>
    </row>
    <row r="35" spans="1:9" x14ac:dyDescent="0.25">
      <c r="A35" s="24"/>
      <c r="B35" s="24" t="s">
        <v>106</v>
      </c>
      <c r="C35" s="12">
        <f>790000+15000*B27</f>
        <v>850000</v>
      </c>
      <c r="D35" s="24"/>
      <c r="E35" s="24"/>
      <c r="I35" s="1"/>
    </row>
    <row r="36" spans="1:9" x14ac:dyDescent="0.25">
      <c r="A36" s="24"/>
      <c r="B36" s="24" t="s">
        <v>129</v>
      </c>
      <c r="C36" s="24">
        <f>24*C27</f>
        <v>4.7531707317073106</v>
      </c>
      <c r="D36" s="24"/>
      <c r="E36" s="24"/>
      <c r="I36" s="1"/>
    </row>
    <row r="37" spans="1:9" x14ac:dyDescent="0.25">
      <c r="A37" s="24"/>
      <c r="B37" s="24" t="s">
        <v>107</v>
      </c>
      <c r="C37" s="27">
        <f>(C35-J27)*C27</f>
        <v>1421.8222985365837</v>
      </c>
      <c r="D37" s="24"/>
      <c r="E37" s="24"/>
      <c r="I37" s="1"/>
    </row>
    <row r="38" spans="1:9" x14ac:dyDescent="0.25">
      <c r="A38" s="24"/>
      <c r="B38" s="24" t="s">
        <v>108</v>
      </c>
      <c r="C38" s="27">
        <f>C37*24</f>
        <v>34123.73516487801</v>
      </c>
      <c r="D38" s="24"/>
      <c r="E38" s="24"/>
    </row>
    <row r="39" spans="1:9" x14ac:dyDescent="0.25">
      <c r="A39" s="24"/>
      <c r="B39" s="24"/>
      <c r="C39" s="24"/>
      <c r="D39" s="24"/>
      <c r="E39" s="24"/>
    </row>
    <row r="40" spans="1:9" x14ac:dyDescent="0.25">
      <c r="A40" s="24"/>
      <c r="B40" s="24" t="s">
        <v>111</v>
      </c>
      <c r="C40" s="24"/>
      <c r="D40" s="24"/>
      <c r="E40" s="24"/>
    </row>
    <row r="41" spans="1:9" x14ac:dyDescent="0.25">
      <c r="A41" s="24"/>
      <c r="B41" s="24" t="s">
        <v>106</v>
      </c>
      <c r="C41" s="12">
        <v>318</v>
      </c>
      <c r="D41" s="24"/>
      <c r="E41" s="24"/>
    </row>
    <row r="42" spans="1:9" x14ac:dyDescent="0.25">
      <c r="A42" s="24"/>
      <c r="B42" s="24" t="s">
        <v>112</v>
      </c>
      <c r="C42" s="24">
        <v>2800</v>
      </c>
      <c r="D42" s="24"/>
      <c r="E42" s="24"/>
    </row>
    <row r="43" spans="1:9" x14ac:dyDescent="0.25">
      <c r="A43" s="24"/>
      <c r="B43" s="24" t="s">
        <v>113</v>
      </c>
      <c r="C43" s="24">
        <f>(0.5)^(B27+1)</f>
        <v>3.125E-2</v>
      </c>
      <c r="D43" s="24"/>
      <c r="E43" s="24"/>
    </row>
    <row r="44" spans="1:9" x14ac:dyDescent="0.25">
      <c r="B44" s="24" t="s">
        <v>114</v>
      </c>
      <c r="C44" s="1">
        <f>C41*C42*(1-C43)</f>
        <v>862575</v>
      </c>
    </row>
    <row r="45" spans="1:9" x14ac:dyDescent="0.25">
      <c r="B45" s="24" t="s">
        <v>115</v>
      </c>
      <c r="C45" s="41">
        <f>(C44-J31)*C27</f>
        <v>3604.5179082926784</v>
      </c>
    </row>
    <row r="46" spans="1:9" x14ac:dyDescent="0.25">
      <c r="B46" s="24" t="s">
        <v>116</v>
      </c>
      <c r="C46" s="41">
        <f>C45*24</f>
        <v>86508.429799024278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{7B01C992-87E0-4469-A5D5-96D18C7DB011}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01C992-87E0-4469-A5D5-96D18C7DB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All of them</vt:lpstr>
      <vt:lpstr>Jumbo jet</vt:lpstr>
      <vt:lpstr>Luxury jet</vt:lpstr>
      <vt:lpstr>s. Engine</vt:lpstr>
      <vt:lpstr>BFRs</vt:lpstr>
      <vt:lpstr>SORs</vt:lpstr>
      <vt:lpstr>Rocket production</vt:lpstr>
      <vt:lpstr>Production Plans second stage</vt:lpstr>
      <vt:lpstr>Production Plans final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2021-04-10T22:28:08Z</dcterms:modified>
</cp:coreProperties>
</file>