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OF\Documents\SimCompanies\"/>
    </mc:Choice>
  </mc:AlternateContent>
  <bookViews>
    <workbookView xWindow="0" yWindow="0" windowWidth="20490" windowHeight="7650" activeTab="5"/>
  </bookViews>
  <sheets>
    <sheet name="Jumbo jet" sheetId="8" r:id="rId1"/>
    <sheet name="Luxury jet" sheetId="7" r:id="rId2"/>
    <sheet name="s. Engine" sheetId="11" r:id="rId3"/>
    <sheet name="BFRs" sheetId="9" r:id="rId4"/>
    <sheet name="SORs" sheetId="5" r:id="rId5"/>
    <sheet name="Launchpad" sheetId="13" r:id="rId6"/>
    <sheet name="All of them" sheetId="12" r:id="rId7"/>
  </sheets>
  <definedNames>
    <definedName name="solver_adj" localSheetId="5" hidden="1">Launchpad!$I$10,Launchpad!$I$11,Launchpad!$G$10</definedName>
    <definedName name="solver_cvg" localSheetId="5" hidden="1">0.0001</definedName>
    <definedName name="solver_drv" localSheetId="5" hidden="1">1</definedName>
    <definedName name="solver_eng" localSheetId="5" hidden="1">3</definedName>
    <definedName name="solver_est" localSheetId="5" hidden="1">1</definedName>
    <definedName name="solver_itr" localSheetId="5" hidden="1">2147483647</definedName>
    <definedName name="solver_lhs1" localSheetId="5" hidden="1">Launchpad!$G$10</definedName>
    <definedName name="solver_lhs10" localSheetId="5" hidden="1">Launchpad!$L$17</definedName>
    <definedName name="solver_lhs2" localSheetId="5" hidden="1">Launchpad!$G$10</definedName>
    <definedName name="solver_lhs3" localSheetId="5" hidden="1">Launchpad!$G$10</definedName>
    <definedName name="solver_lhs4" localSheetId="5" hidden="1">Launchpad!$I$10</definedName>
    <definedName name="solver_lhs5" localSheetId="5" hidden="1">Launchpad!$I$10</definedName>
    <definedName name="solver_lhs6" localSheetId="5" hidden="1">Launchpad!$I$10</definedName>
    <definedName name="solver_lhs7" localSheetId="5" hidden="1">Launchpad!$I$11</definedName>
    <definedName name="solver_lhs8" localSheetId="5" hidden="1">Launchpad!$I$11</definedName>
    <definedName name="solver_lhs9" localSheetId="5" hidden="1">Launchpad!$I$11</definedName>
    <definedName name="solver_mip" localSheetId="5" hidden="1">2147483647</definedName>
    <definedName name="solver_mni" localSheetId="5" hidden="1">30</definedName>
    <definedName name="solver_mrt" localSheetId="5" hidden="1">0.075</definedName>
    <definedName name="solver_msl" localSheetId="5" hidden="1">2</definedName>
    <definedName name="solver_neg" localSheetId="5" hidden="1">1</definedName>
    <definedName name="solver_nod" localSheetId="5" hidden="1">2147483647</definedName>
    <definedName name="solver_num" localSheetId="5" hidden="1">10</definedName>
    <definedName name="solver_nwt" localSheetId="5" hidden="1">1</definedName>
    <definedName name="solver_opt" localSheetId="5" hidden="1">Launchpad!$L$17</definedName>
    <definedName name="solver_pre" localSheetId="5" hidden="1">0.000001</definedName>
    <definedName name="solver_rbv" localSheetId="5" hidden="1">1</definedName>
    <definedName name="solver_rel1" localSheetId="5" hidden="1">1</definedName>
    <definedName name="solver_rel10" localSheetId="5" hidden="1">3</definedName>
    <definedName name="solver_rel2" localSheetId="5" hidden="1">4</definedName>
    <definedName name="solver_rel3" localSheetId="5" hidden="1">3</definedName>
    <definedName name="solver_rel4" localSheetId="5" hidden="1">1</definedName>
    <definedName name="solver_rel5" localSheetId="5" hidden="1">4</definedName>
    <definedName name="solver_rel6" localSheetId="5" hidden="1">3</definedName>
    <definedName name="solver_rel7" localSheetId="5" hidden="1">1</definedName>
    <definedName name="solver_rel8" localSheetId="5" hidden="1">4</definedName>
    <definedName name="solver_rel9" localSheetId="5" hidden="1">3</definedName>
    <definedName name="solver_rhs1" localSheetId="5" hidden="1">6</definedName>
    <definedName name="solver_rhs10" localSheetId="5" hidden="1">0</definedName>
    <definedName name="solver_rhs2" localSheetId="5" hidden="1">entero</definedName>
    <definedName name="solver_rhs3" localSheetId="5" hidden="1">1</definedName>
    <definedName name="solver_rhs4" localSheetId="5" hidden="1">10</definedName>
    <definedName name="solver_rhs5" localSheetId="5" hidden="1">entero</definedName>
    <definedName name="solver_rhs6" localSheetId="5" hidden="1">1</definedName>
    <definedName name="solver_rhs7" localSheetId="5" hidden="1">10</definedName>
    <definedName name="solver_rhs8" localSheetId="5" hidden="1">entero</definedName>
    <definedName name="solver_rhs9" localSheetId="5" hidden="1">3</definedName>
    <definedName name="solver_rlx" localSheetId="5" hidden="1">2</definedName>
    <definedName name="solver_rsd" localSheetId="5" hidden="1">0</definedName>
    <definedName name="solver_scl" localSheetId="5" hidden="1">1</definedName>
    <definedName name="solver_sho" localSheetId="5" hidden="1">2</definedName>
    <definedName name="solver_ssz" localSheetId="5" hidden="1">100</definedName>
    <definedName name="solver_tim" localSheetId="5" hidden="1">2147483647</definedName>
    <definedName name="solver_tol" localSheetId="5" hidden="1">0.01</definedName>
    <definedName name="solver_typ" localSheetId="5" hidden="1">1</definedName>
    <definedName name="solver_val" localSheetId="5" hidden="1">0</definedName>
    <definedName name="solver_ver" localSheetId="5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8" i="13" l="1"/>
  <c r="E28" i="13"/>
  <c r="J11" i="13"/>
  <c r="K11" i="13" l="1"/>
  <c r="J10" i="13"/>
  <c r="J6" i="13"/>
  <c r="E7" i="13"/>
  <c r="E8" i="13" s="1"/>
  <c r="E9" i="13" s="1"/>
  <c r="E10" i="13" s="1"/>
  <c r="E11" i="13" s="1"/>
  <c r="E12" i="13" s="1"/>
  <c r="E13" i="13" s="1"/>
  <c r="E14" i="13" s="1"/>
  <c r="E6" i="13"/>
  <c r="E19" i="13"/>
  <c r="E20" i="13" s="1"/>
  <c r="E21" i="13" s="1"/>
  <c r="E22" i="13" s="1"/>
  <c r="E23" i="13" s="1"/>
  <c r="E24" i="13" s="1"/>
  <c r="E25" i="13" s="1"/>
  <c r="E26" i="13" s="1"/>
  <c r="E27" i="13" s="1"/>
  <c r="D25" i="13"/>
  <c r="D26" i="13"/>
  <c r="D27" i="13"/>
  <c r="D24" i="13"/>
  <c r="D23" i="13"/>
  <c r="D22" i="13"/>
  <c r="D21" i="13"/>
  <c r="D20" i="13"/>
  <c r="D19" i="13"/>
  <c r="D10" i="13"/>
  <c r="D11" i="13"/>
  <c r="D12" i="13"/>
  <c r="D13" i="13"/>
  <c r="D14" i="13" s="1"/>
  <c r="D9" i="13"/>
  <c r="D8" i="13"/>
  <c r="D7" i="13"/>
  <c r="D6" i="13"/>
  <c r="J25" i="9"/>
  <c r="L15" i="13" l="1"/>
  <c r="K10" i="13"/>
  <c r="L14" i="13" s="1"/>
  <c r="L33" i="9"/>
  <c r="L36" i="9"/>
  <c r="L39" i="9"/>
  <c r="L29" i="9"/>
  <c r="L31" i="5"/>
  <c r="L35" i="5"/>
  <c r="L38" i="5"/>
  <c r="L27" i="5"/>
  <c r="J35" i="9"/>
  <c r="K39" i="9"/>
  <c r="K36" i="9"/>
  <c r="K41" i="9" s="1"/>
  <c r="K33" i="9"/>
  <c r="K29" i="9"/>
  <c r="J32" i="9"/>
  <c r="J31" i="9"/>
  <c r="J26" i="9"/>
  <c r="J24" i="9"/>
  <c r="J28" i="9"/>
  <c r="J27" i="9"/>
  <c r="J38" i="9"/>
  <c r="J30" i="5"/>
  <c r="J29" i="5"/>
  <c r="K31" i="5" s="1"/>
  <c r="K40" i="5" s="1"/>
  <c r="J34" i="5"/>
  <c r="J33" i="5"/>
  <c r="K35" i="5" s="1"/>
  <c r="J25" i="5"/>
  <c r="J24" i="5"/>
  <c r="J26" i="5"/>
  <c r="K38" i="5"/>
  <c r="J37" i="5"/>
  <c r="G52" i="12"/>
  <c r="G51" i="12"/>
  <c r="G50" i="12"/>
  <c r="G47" i="12"/>
  <c r="G46" i="12"/>
  <c r="G43" i="12"/>
  <c r="H43" i="12" s="1"/>
  <c r="D43" i="12"/>
  <c r="G42" i="12"/>
  <c r="D42" i="12"/>
  <c r="H42" i="12" s="1"/>
  <c r="G41" i="12"/>
  <c r="D41" i="12"/>
  <c r="H41" i="12" s="1"/>
  <c r="H40" i="12"/>
  <c r="G40" i="12"/>
  <c r="D40" i="12"/>
  <c r="G39" i="12"/>
  <c r="H39" i="12" s="1"/>
  <c r="D39" i="12"/>
  <c r="G36" i="12"/>
  <c r="G35" i="12"/>
  <c r="D35" i="12"/>
  <c r="H35" i="12" s="1"/>
  <c r="H34" i="12"/>
  <c r="G34" i="12"/>
  <c r="D34" i="12"/>
  <c r="G33" i="12"/>
  <c r="H33" i="12" s="1"/>
  <c r="D36" i="12" s="1"/>
  <c r="H36" i="12" s="1"/>
  <c r="D33" i="12"/>
  <c r="G30" i="12"/>
  <c r="G29" i="12"/>
  <c r="G28" i="12"/>
  <c r="G27" i="12"/>
  <c r="H27" i="12" s="1"/>
  <c r="D27" i="12"/>
  <c r="G26" i="12"/>
  <c r="D26" i="12"/>
  <c r="H26" i="12" s="1"/>
  <c r="G25" i="12"/>
  <c r="D25" i="12"/>
  <c r="H25" i="12" s="1"/>
  <c r="H24" i="12"/>
  <c r="D51" i="12" s="1"/>
  <c r="H51" i="12" s="1"/>
  <c r="G24" i="12"/>
  <c r="D24" i="12"/>
  <c r="L17" i="13" l="1"/>
  <c r="K27" i="5"/>
  <c r="D30" i="12"/>
  <c r="H30" i="12" s="1"/>
  <c r="D50" i="12"/>
  <c r="H50" i="12" s="1"/>
  <c r="D29" i="12"/>
  <c r="H29" i="12" s="1"/>
  <c r="D47" i="12" s="1"/>
  <c r="H47" i="12" s="1"/>
  <c r="D28" i="12"/>
  <c r="H28" i="12" s="1"/>
  <c r="D46" i="12" s="1"/>
  <c r="H46" i="12" s="1"/>
  <c r="D52" i="12"/>
  <c r="H52" i="12" s="1"/>
  <c r="G52" i="11"/>
  <c r="G51" i="11"/>
  <c r="G50" i="11"/>
  <c r="G47" i="11"/>
  <c r="G46" i="11"/>
  <c r="G43" i="11"/>
  <c r="D43" i="11"/>
  <c r="H43" i="11" s="1"/>
  <c r="G42" i="11"/>
  <c r="D42" i="11"/>
  <c r="H42" i="11" s="1"/>
  <c r="H41" i="11"/>
  <c r="G41" i="11"/>
  <c r="D41" i="11"/>
  <c r="H40" i="11"/>
  <c r="G40" i="11"/>
  <c r="D40" i="11"/>
  <c r="G39" i="11"/>
  <c r="D39" i="11"/>
  <c r="H39" i="11" s="1"/>
  <c r="G36" i="11"/>
  <c r="H35" i="11"/>
  <c r="G35" i="11"/>
  <c r="D35" i="11"/>
  <c r="H34" i="11"/>
  <c r="G34" i="11"/>
  <c r="D34" i="11"/>
  <c r="G33" i="11"/>
  <c r="D33" i="11"/>
  <c r="H33" i="11" s="1"/>
  <c r="D36" i="11" s="1"/>
  <c r="H36" i="11" s="1"/>
  <c r="G30" i="11"/>
  <c r="G29" i="11"/>
  <c r="G28" i="11"/>
  <c r="G27" i="11"/>
  <c r="D27" i="11"/>
  <c r="H27" i="11" s="1"/>
  <c r="D30" i="11" s="1"/>
  <c r="H30" i="11" s="1"/>
  <c r="G26" i="11"/>
  <c r="D26" i="11"/>
  <c r="H26" i="11" s="1"/>
  <c r="H25" i="11"/>
  <c r="G25" i="11"/>
  <c r="D25" i="11"/>
  <c r="H24" i="11"/>
  <c r="D51" i="11" s="1"/>
  <c r="H51" i="11" s="1"/>
  <c r="G24" i="11"/>
  <c r="D24" i="11"/>
  <c r="G38" i="9"/>
  <c r="G35" i="9"/>
  <c r="D35" i="9"/>
  <c r="G32" i="9"/>
  <c r="D32" i="9"/>
  <c r="G31" i="9"/>
  <c r="D31" i="9"/>
  <c r="G28" i="9"/>
  <c r="G27" i="9"/>
  <c r="G26" i="9"/>
  <c r="D26" i="9"/>
  <c r="G25" i="9"/>
  <c r="D25" i="9"/>
  <c r="G24" i="9"/>
  <c r="D24" i="9"/>
  <c r="G52" i="8"/>
  <c r="G51" i="8"/>
  <c r="G50" i="8"/>
  <c r="G47" i="8"/>
  <c r="G46" i="8"/>
  <c r="G43" i="8"/>
  <c r="D43" i="8"/>
  <c r="H43" i="8" s="1"/>
  <c r="G42" i="8"/>
  <c r="D42" i="8"/>
  <c r="H42" i="8" s="1"/>
  <c r="H41" i="8"/>
  <c r="G41" i="8"/>
  <c r="D41" i="8"/>
  <c r="G40" i="8"/>
  <c r="H40" i="8" s="1"/>
  <c r="D40" i="8"/>
  <c r="G39" i="8"/>
  <c r="D39" i="8"/>
  <c r="H39" i="8" s="1"/>
  <c r="G36" i="8"/>
  <c r="H35" i="8"/>
  <c r="G35" i="8"/>
  <c r="D35" i="8"/>
  <c r="G34" i="8"/>
  <c r="H34" i="8" s="1"/>
  <c r="D34" i="8"/>
  <c r="G33" i="8"/>
  <c r="D33" i="8"/>
  <c r="H33" i="8" s="1"/>
  <c r="D36" i="8" s="1"/>
  <c r="H36" i="8" s="1"/>
  <c r="G30" i="8"/>
  <c r="G29" i="8"/>
  <c r="G28" i="8"/>
  <c r="G27" i="8"/>
  <c r="D27" i="8"/>
  <c r="H27" i="8" s="1"/>
  <c r="G26" i="8"/>
  <c r="D26" i="8"/>
  <c r="H26" i="8" s="1"/>
  <c r="H25" i="8"/>
  <c r="G25" i="8"/>
  <c r="D25" i="8"/>
  <c r="G24" i="8"/>
  <c r="H24" i="8" s="1"/>
  <c r="D24" i="8"/>
  <c r="G52" i="7"/>
  <c r="G51" i="7"/>
  <c r="G50" i="7"/>
  <c r="G47" i="7"/>
  <c r="G46" i="7"/>
  <c r="G43" i="7"/>
  <c r="D43" i="7"/>
  <c r="H43" i="7" s="1"/>
  <c r="G42" i="7"/>
  <c r="D42" i="7"/>
  <c r="H42" i="7" s="1"/>
  <c r="H41" i="7"/>
  <c r="G41" i="7"/>
  <c r="D41" i="7"/>
  <c r="G40" i="7"/>
  <c r="H40" i="7" s="1"/>
  <c r="D40" i="7"/>
  <c r="G39" i="7"/>
  <c r="D39" i="7"/>
  <c r="H39" i="7" s="1"/>
  <c r="G36" i="7"/>
  <c r="H35" i="7"/>
  <c r="G35" i="7"/>
  <c r="D35" i="7"/>
  <c r="G34" i="7"/>
  <c r="H34" i="7" s="1"/>
  <c r="D34" i="7"/>
  <c r="G33" i="7"/>
  <c r="D33" i="7"/>
  <c r="H33" i="7" s="1"/>
  <c r="D36" i="7" s="1"/>
  <c r="H36" i="7" s="1"/>
  <c r="G30" i="7"/>
  <c r="G29" i="7"/>
  <c r="G28" i="7"/>
  <c r="G27" i="7"/>
  <c r="D27" i="7"/>
  <c r="H27" i="7" s="1"/>
  <c r="G26" i="7"/>
  <c r="D26" i="7"/>
  <c r="H26" i="7" s="1"/>
  <c r="H25" i="7"/>
  <c r="G25" i="7"/>
  <c r="D25" i="7"/>
  <c r="G24" i="7"/>
  <c r="H24" i="7" s="1"/>
  <c r="D24" i="7"/>
  <c r="H24" i="9" l="1"/>
  <c r="H25" i="9"/>
  <c r="H31" i="9"/>
  <c r="H32" i="9"/>
  <c r="H35" i="9"/>
  <c r="H26" i="9"/>
  <c r="D50" i="11"/>
  <c r="H50" i="11" s="1"/>
  <c r="D29" i="11"/>
  <c r="H29" i="11" s="1"/>
  <c r="D47" i="11" s="1"/>
  <c r="H47" i="11" s="1"/>
  <c r="D28" i="11"/>
  <c r="H28" i="11" s="1"/>
  <c r="D46" i="11" s="1"/>
  <c r="H46" i="11" s="1"/>
  <c r="D52" i="11"/>
  <c r="H52" i="11" s="1"/>
  <c r="D51" i="8"/>
  <c r="H51" i="8" s="1"/>
  <c r="D52" i="8"/>
  <c r="H52" i="8" s="1"/>
  <c r="D28" i="8"/>
  <c r="H28" i="8" s="1"/>
  <c r="D46" i="8" s="1"/>
  <c r="H46" i="8" s="1"/>
  <c r="D29" i="8"/>
  <c r="H29" i="8" s="1"/>
  <c r="D50" i="8"/>
  <c r="H50" i="8" s="1"/>
  <c r="D30" i="8"/>
  <c r="H30" i="8" s="1"/>
  <c r="D52" i="7"/>
  <c r="H52" i="7" s="1"/>
  <c r="D28" i="7"/>
  <c r="H28" i="7" s="1"/>
  <c r="D46" i="7" s="1"/>
  <c r="H46" i="7" s="1"/>
  <c r="D29" i="7"/>
  <c r="H29" i="7" s="1"/>
  <c r="D47" i="7" s="1"/>
  <c r="H47" i="7" s="1"/>
  <c r="D50" i="7"/>
  <c r="H50" i="7" s="1"/>
  <c r="D51" i="7"/>
  <c r="H51" i="7" s="1"/>
  <c r="D30" i="7"/>
  <c r="H30" i="7" s="1"/>
  <c r="D34" i="5"/>
  <c r="D33" i="5"/>
  <c r="D30" i="5"/>
  <c r="D29" i="5"/>
  <c r="D25" i="5"/>
  <c r="D24" i="5"/>
  <c r="G29" i="5"/>
  <c r="G30" i="5"/>
  <c r="G33" i="5"/>
  <c r="G34" i="5"/>
  <c r="G37" i="5"/>
  <c r="G25" i="5"/>
  <c r="G26" i="5"/>
  <c r="G24" i="5"/>
  <c r="D27" i="9" l="1"/>
  <c r="H27" i="9" s="1"/>
  <c r="D28" i="9"/>
  <c r="H28" i="9" s="1"/>
  <c r="H33" i="5"/>
  <c r="H30" i="5"/>
  <c r="H34" i="5"/>
  <c r="H29" i="5"/>
  <c r="H24" i="5"/>
  <c r="H25" i="5"/>
  <c r="D47" i="8"/>
  <c r="H47" i="8" s="1"/>
  <c r="D38" i="9" l="1"/>
  <c r="H38" i="9" s="1"/>
  <c r="D26" i="5"/>
  <c r="H26" i="5" s="1"/>
  <c r="D37" i="5" s="1"/>
  <c r="H37" i="5" s="1"/>
</calcChain>
</file>

<file path=xl/sharedStrings.xml><?xml version="1.0" encoding="utf-8"?>
<sst xmlns="http://schemas.openxmlformats.org/spreadsheetml/2006/main" count="418" uniqueCount="104">
  <si>
    <t>Carbon composite</t>
  </si>
  <si>
    <t xml:space="preserve">RAW MATERIAL </t>
  </si>
  <si>
    <t>MARKET PRICE</t>
  </si>
  <si>
    <t xml:space="preserve">AEROSPACE FACTORY </t>
  </si>
  <si>
    <t>REQUIREMENTS</t>
  </si>
  <si>
    <t>Fuselage</t>
  </si>
  <si>
    <t>UNITS PER HOUR</t>
  </si>
  <si>
    <t>UNIT WORKER COST</t>
  </si>
  <si>
    <t>UNIT ADMIN COST</t>
  </si>
  <si>
    <t>ADMIN OVERHEAD</t>
  </si>
  <si>
    <t>Aluminium</t>
  </si>
  <si>
    <t>Wing</t>
  </si>
  <si>
    <t>30*Carbon composite + 5 Aluminium</t>
  </si>
  <si>
    <t>Propellant tank</t>
  </si>
  <si>
    <t>TRANSPORT UNITS</t>
  </si>
  <si>
    <t>40*Carbon composite</t>
  </si>
  <si>
    <t>50 Aluminium + 250 Rocket fuel</t>
  </si>
  <si>
    <t>Rocket fuel</t>
  </si>
  <si>
    <t>Heat shield</t>
  </si>
  <si>
    <t>20 Steel + 30 Silicon</t>
  </si>
  <si>
    <t>Sub orbital  2nd stage</t>
  </si>
  <si>
    <t xml:space="preserve">8 Fuselage + 2 Propellant tank + 2 Flight computer + 4 Ion drive + 2 Attitude control </t>
  </si>
  <si>
    <t xml:space="preserve">40 Fuselage + 16 Propellant tank + 34 Rocket engine </t>
  </si>
  <si>
    <t>Starship</t>
  </si>
  <si>
    <t>Orbital booster</t>
  </si>
  <si>
    <t>2 Cockpit + 10 Heat shield + 4 Attitude control + 6 Propellant tank + 7 Rocket engine</t>
  </si>
  <si>
    <t>AEROSPACE ELECTRONICS</t>
  </si>
  <si>
    <t>Flight computer</t>
  </si>
  <si>
    <t>4 High grade e-comps + 2 On-board computer</t>
  </si>
  <si>
    <t>Cockpit</t>
  </si>
  <si>
    <t>4 High grade e comps + 8 Displays + 1 basic interior</t>
  </si>
  <si>
    <t>Attitude control</t>
  </si>
  <si>
    <t xml:space="preserve">3 Steel + 5 batteries + 3 electric motor </t>
  </si>
  <si>
    <t>Satellite</t>
  </si>
  <si>
    <t xml:space="preserve">8 High grade e-comps + 4 flight computer + 1 ion drive + 2 Attitude control </t>
  </si>
  <si>
    <t>PROPULSION FACTORY</t>
  </si>
  <si>
    <t>Solid fuel booster</t>
  </si>
  <si>
    <t xml:space="preserve">30 Aluminium + 100 Rocket fuel + 50 Chemicals </t>
  </si>
  <si>
    <t>Rocket engine</t>
  </si>
  <si>
    <t>20 Steel + 8 High grade e-comps + 10 Aluminium</t>
  </si>
  <si>
    <t>Ion drive</t>
  </si>
  <si>
    <t xml:space="preserve">8 High grade e-comps + 30 Batteries + 15 Chemicals </t>
  </si>
  <si>
    <t>Jet engine</t>
  </si>
  <si>
    <t>4 High grade e-comps + 5 Aluminium</t>
  </si>
  <si>
    <t>VERTICAL INTEGRATION FACILITY</t>
  </si>
  <si>
    <t>Sub-orbital rocket</t>
  </si>
  <si>
    <t>1 Solid fuel booster + 1 Sub-orbital 2nd stage</t>
  </si>
  <si>
    <t>BFR</t>
  </si>
  <si>
    <t>1 Orbital booster + 1 Starship</t>
  </si>
  <si>
    <t>HANGAR</t>
  </si>
  <si>
    <t>Jumbo jet</t>
  </si>
  <si>
    <t>40 Fuselage + 10 Wing + 2 Cockpit + 140 Basic interior + 4 Jet engine</t>
  </si>
  <si>
    <t>Luxury jet</t>
  </si>
  <si>
    <t xml:space="preserve">14 Fuselage + 2 Wing + 1 Cockpit + 2 Golden bars + 2 Jet engine </t>
  </si>
  <si>
    <t xml:space="preserve">Single engine plane </t>
  </si>
  <si>
    <t xml:space="preserve">TOTAL COST </t>
  </si>
  <si>
    <t>Basic interior</t>
  </si>
  <si>
    <t>Golden bars</t>
  </si>
  <si>
    <t>Steel</t>
  </si>
  <si>
    <t>Silicon</t>
  </si>
  <si>
    <t>High grade e-comps</t>
  </si>
  <si>
    <t>On-board computer</t>
  </si>
  <si>
    <t>Displays</t>
  </si>
  <si>
    <t>Batteries</t>
  </si>
  <si>
    <t>Electric motor</t>
  </si>
  <si>
    <t>Chemicals</t>
  </si>
  <si>
    <t>Combustion engine</t>
  </si>
  <si>
    <t>6 Steel + 5 Chemicals + 5 Electronic components</t>
  </si>
  <si>
    <t>Electronic components</t>
  </si>
  <si>
    <t>8 Fuselage + 2 Wing + 1 Cockpit + 1 Combustion engine</t>
  </si>
  <si>
    <t>In order to become an Aerospacial supplier/ retailer</t>
  </si>
  <si>
    <t xml:space="preserve">required labor hours </t>
  </si>
  <si>
    <t>required hours aerospace factory</t>
  </si>
  <si>
    <t>required vertical integration facilities</t>
  </si>
  <si>
    <t>required hours propulsion</t>
  </si>
  <si>
    <t>required hours aerospace electronics</t>
  </si>
  <si>
    <t>total hours vertical integration</t>
  </si>
  <si>
    <t>total hours propulsion factory</t>
  </si>
  <si>
    <t>total hours aerospace factory</t>
  </si>
  <si>
    <t>total hours aerospace electronics</t>
  </si>
  <si>
    <t xml:space="preserve">total hours </t>
  </si>
  <si>
    <t>labor times in building</t>
  </si>
  <si>
    <t xml:space="preserve">proportional labor times </t>
  </si>
  <si>
    <t xml:space="preserve">buillding cost </t>
  </si>
  <si>
    <t xml:space="preserve">probability of incidence </t>
  </si>
  <si>
    <t>launchpad lvl</t>
  </si>
  <si>
    <t>time to launch</t>
  </si>
  <si>
    <t>BFR Quality</t>
  </si>
  <si>
    <t>Research cost</t>
  </si>
  <si>
    <t xml:space="preserve">BFR costs: </t>
  </si>
  <si>
    <t>research value:</t>
  </si>
  <si>
    <t>Launchpad lvl</t>
  </si>
  <si>
    <t xml:space="preserve">BFR quality </t>
  </si>
  <si>
    <t>costs</t>
  </si>
  <si>
    <t>time/probability</t>
  </si>
  <si>
    <t xml:space="preserve">daily return </t>
  </si>
  <si>
    <t xml:space="preserve">investment </t>
  </si>
  <si>
    <t>ROI</t>
  </si>
  <si>
    <t>optimo según solver ROI!!</t>
  </si>
  <si>
    <t>optimo según solver daily return!!</t>
  </si>
  <si>
    <t>quant</t>
  </si>
  <si>
    <t>single launchpad</t>
  </si>
  <si>
    <t>multiple launchpads</t>
  </si>
  <si>
    <t>quant launchpads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</si>
</sst>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33">
    <xf numFmtId="0" fontId="0" fillId="0" borderId="0" xfId="0"/>
    <xf numFmtId="0" fontId="0" fillId="0" borderId="1" xfId="0" applyBorder="1"/>
    <xf numFmtId="0" fontId="0" fillId="0" borderId="1" xfId="0" quotePrefix="1" applyBorder="1"/>
    <xf numFmtId="0" fontId="0" fillId="0" borderId="2" xfId="0" applyBorder="1"/>
    <xf numFmtId="0" fontId="0" fillId="2" borderId="1" xfId="0" applyFill="1" applyBorder="1"/>
    <xf numFmtId="0" fontId="0" fillId="0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4" borderId="0" xfId="0" applyFill="1"/>
    <xf numFmtId="0" fontId="1" fillId="0" borderId="1" xfId="0" applyFont="1" applyFill="1" applyBorder="1"/>
    <xf numFmtId="0" fontId="1" fillId="5" borderId="1" xfId="0" applyFont="1" applyFill="1" applyBorder="1"/>
    <xf numFmtId="0" fontId="2" fillId="3" borderId="1" xfId="0" applyFont="1" applyFill="1" applyBorder="1"/>
    <xf numFmtId="0" fontId="0" fillId="6" borderId="1" xfId="0" applyFill="1" applyBorder="1"/>
    <xf numFmtId="0" fontId="0" fillId="0" borderId="2" xfId="0" applyFill="1" applyBorder="1"/>
    <xf numFmtId="0" fontId="0" fillId="0" borderId="0" xfId="0" applyFill="1"/>
    <xf numFmtId="0" fontId="0" fillId="7" borderId="1" xfId="0" applyFill="1" applyBorder="1"/>
    <xf numFmtId="0" fontId="1" fillId="0" borderId="0" xfId="0" applyFont="1"/>
    <xf numFmtId="0" fontId="0" fillId="0" borderId="3" xfId="0" applyBorder="1"/>
    <xf numFmtId="0" fontId="0" fillId="5" borderId="1" xfId="0" applyFill="1" applyBorder="1"/>
    <xf numFmtId="0" fontId="0" fillId="0" borderId="0" xfId="0" applyBorder="1"/>
    <xf numFmtId="0" fontId="1" fillId="0" borderId="0" xfId="0" applyFont="1" applyBorder="1"/>
    <xf numFmtId="0" fontId="1" fillId="0" borderId="3" xfId="0" applyFont="1" applyBorder="1"/>
    <xf numFmtId="0" fontId="0" fillId="8" borderId="1" xfId="0" applyFill="1" applyBorder="1"/>
    <xf numFmtId="0" fontId="0" fillId="9" borderId="1" xfId="0" applyFill="1" applyBorder="1"/>
    <xf numFmtId="44" fontId="0" fillId="0" borderId="0" xfId="1" applyFont="1"/>
    <xf numFmtId="0" fontId="0" fillId="0" borderId="4" xfId="0" applyBorder="1"/>
    <xf numFmtId="0" fontId="0" fillId="0" borderId="5" xfId="0" applyBorder="1"/>
    <xf numFmtId="0" fontId="0" fillId="9" borderId="6" xfId="0" applyFill="1" applyBorder="1"/>
    <xf numFmtId="0" fontId="0" fillId="9" borderId="7" xfId="0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52"/>
  <sheetViews>
    <sheetView topLeftCell="A21" zoomScale="70" zoomScaleNormal="70" workbookViewId="0">
      <selection activeCell="E24" sqref="E24"/>
    </sheetView>
  </sheetViews>
  <sheetFormatPr baseColWidth="10" defaultRowHeight="15" x14ac:dyDescent="0.25"/>
  <cols>
    <col min="1" max="1" width="23.85546875" bestFit="1" customWidth="1"/>
    <col min="2" max="2" width="17.140625" customWidth="1"/>
    <col min="3" max="3" width="75.140625" bestFit="1" customWidth="1"/>
    <col min="4" max="4" width="19.5703125" customWidth="1"/>
  </cols>
  <sheetData>
    <row r="2" spans="1:5" x14ac:dyDescent="0.25">
      <c r="A2" t="s">
        <v>1</v>
      </c>
      <c r="B2" t="s">
        <v>2</v>
      </c>
      <c r="D2" t="s">
        <v>9</v>
      </c>
      <c r="E2">
        <v>0.28820000000000001</v>
      </c>
    </row>
    <row r="3" spans="1:5" x14ac:dyDescent="0.25">
      <c r="A3" t="s">
        <v>0</v>
      </c>
      <c r="B3">
        <v>66</v>
      </c>
    </row>
    <row r="4" spans="1:5" x14ac:dyDescent="0.25">
      <c r="A4" t="s">
        <v>10</v>
      </c>
      <c r="B4">
        <v>19</v>
      </c>
    </row>
    <row r="5" spans="1:5" x14ac:dyDescent="0.25">
      <c r="A5" t="s">
        <v>17</v>
      </c>
      <c r="B5">
        <v>34</v>
      </c>
    </row>
    <row r="6" spans="1:5" x14ac:dyDescent="0.25">
      <c r="A6" t="s">
        <v>56</v>
      </c>
      <c r="B6">
        <v>306</v>
      </c>
      <c r="D6" t="s">
        <v>70</v>
      </c>
    </row>
    <row r="7" spans="1:5" x14ac:dyDescent="0.25">
      <c r="A7" t="s">
        <v>57</v>
      </c>
      <c r="B7">
        <v>6000</v>
      </c>
    </row>
    <row r="8" spans="1:5" x14ac:dyDescent="0.25">
      <c r="A8" t="s">
        <v>58</v>
      </c>
      <c r="B8">
        <v>11</v>
      </c>
    </row>
    <row r="9" spans="1:5" x14ac:dyDescent="0.25">
      <c r="A9" t="s">
        <v>59</v>
      </c>
      <c r="B9">
        <v>7.8</v>
      </c>
    </row>
    <row r="10" spans="1:5" x14ac:dyDescent="0.25">
      <c r="A10" t="s">
        <v>60</v>
      </c>
      <c r="B10">
        <v>920</v>
      </c>
    </row>
    <row r="11" spans="1:5" x14ac:dyDescent="0.25">
      <c r="A11" t="s">
        <v>61</v>
      </c>
      <c r="B11">
        <v>458</v>
      </c>
    </row>
    <row r="12" spans="1:5" x14ac:dyDescent="0.25">
      <c r="A12" t="s">
        <v>62</v>
      </c>
      <c r="B12">
        <v>117</v>
      </c>
    </row>
    <row r="13" spans="1:5" x14ac:dyDescent="0.25">
      <c r="A13" t="s">
        <v>63</v>
      </c>
      <c r="B13">
        <v>85</v>
      </c>
    </row>
    <row r="14" spans="1:5" x14ac:dyDescent="0.25">
      <c r="A14" t="s">
        <v>64</v>
      </c>
      <c r="B14">
        <v>210</v>
      </c>
    </row>
    <row r="15" spans="1:5" x14ac:dyDescent="0.25">
      <c r="A15" t="s">
        <v>65</v>
      </c>
      <c r="B15">
        <v>14.6</v>
      </c>
    </row>
    <row r="16" spans="1:5" x14ac:dyDescent="0.25">
      <c r="A16" t="s">
        <v>68</v>
      </c>
      <c r="B16">
        <v>56.5</v>
      </c>
    </row>
    <row r="22" spans="1:8" x14ac:dyDescent="0.25">
      <c r="A22" s="3"/>
      <c r="B22" s="3" t="s">
        <v>14</v>
      </c>
      <c r="C22" s="3" t="s">
        <v>4</v>
      </c>
      <c r="D22" s="3"/>
      <c r="E22" s="3" t="s">
        <v>6</v>
      </c>
      <c r="F22" s="3" t="s">
        <v>7</v>
      </c>
      <c r="G22" s="3" t="s">
        <v>8</v>
      </c>
      <c r="H22" s="5" t="s">
        <v>55</v>
      </c>
    </row>
    <row r="23" spans="1:8" x14ac:dyDescent="0.25">
      <c r="A23" s="4" t="s">
        <v>3</v>
      </c>
      <c r="B23" s="1"/>
      <c r="C23" s="1"/>
      <c r="D23" s="1"/>
      <c r="E23" s="1"/>
      <c r="F23" s="1"/>
      <c r="G23" s="1"/>
    </row>
    <row r="24" spans="1:8" x14ac:dyDescent="0.25">
      <c r="A24" s="7" t="s">
        <v>5</v>
      </c>
      <c r="B24" s="1">
        <v>2</v>
      </c>
      <c r="C24" s="2" t="s">
        <v>15</v>
      </c>
      <c r="D24" s="1">
        <f>40*B3</f>
        <v>2640</v>
      </c>
      <c r="E24" s="1">
        <v>3.67</v>
      </c>
      <c r="F24" s="1">
        <v>159.84</v>
      </c>
      <c r="G24" s="1">
        <f t="shared" ref="G24:G30" si="0">$E$2*F24</f>
        <v>46.065888000000001</v>
      </c>
      <c r="H24">
        <f>D24+F24+G24</f>
        <v>2845.9058880000002</v>
      </c>
    </row>
    <row r="25" spans="1:8" x14ac:dyDescent="0.25">
      <c r="A25" s="7" t="s">
        <v>11</v>
      </c>
      <c r="B25" s="1">
        <v>2</v>
      </c>
      <c r="C25" s="2" t="s">
        <v>12</v>
      </c>
      <c r="D25" s="1">
        <f>30*B3+5*B4</f>
        <v>2075</v>
      </c>
      <c r="E25" s="1">
        <v>9.01</v>
      </c>
      <c r="F25" s="1">
        <v>65.12</v>
      </c>
      <c r="G25" s="1">
        <f t="shared" si="0"/>
        <v>18.767584000000003</v>
      </c>
      <c r="H25">
        <f t="shared" ref="H25:H52" si="1">D25+F25+G25</f>
        <v>2158.8875840000001</v>
      </c>
    </row>
    <row r="26" spans="1:8" x14ac:dyDescent="0.25">
      <c r="A26" s="5" t="s">
        <v>13</v>
      </c>
      <c r="B26" s="5">
        <v>1</v>
      </c>
      <c r="C26" s="2" t="s">
        <v>16</v>
      </c>
      <c r="D26" s="1">
        <f>50*B4+250*B5</f>
        <v>9450</v>
      </c>
      <c r="E26" s="1">
        <v>5</v>
      </c>
      <c r="F26" s="1">
        <v>117.22</v>
      </c>
      <c r="G26" s="1">
        <f t="shared" si="0"/>
        <v>33.782803999999999</v>
      </c>
      <c r="H26">
        <f t="shared" si="1"/>
        <v>9601.0028039999997</v>
      </c>
    </row>
    <row r="27" spans="1:8" x14ac:dyDescent="0.25">
      <c r="A27" s="5" t="s">
        <v>18</v>
      </c>
      <c r="B27" s="1">
        <v>1</v>
      </c>
      <c r="C27" s="2" t="s">
        <v>19</v>
      </c>
      <c r="D27" s="1">
        <f>20*B8+30*B9</f>
        <v>454</v>
      </c>
      <c r="E27" s="1">
        <v>13.34</v>
      </c>
      <c r="F27" s="1">
        <v>43.96</v>
      </c>
      <c r="G27" s="1">
        <f t="shared" si="0"/>
        <v>12.669272000000001</v>
      </c>
      <c r="H27">
        <f t="shared" si="1"/>
        <v>510.62927199999996</v>
      </c>
    </row>
    <row r="28" spans="1:8" x14ac:dyDescent="0.25">
      <c r="A28" s="5" t="s">
        <v>20</v>
      </c>
      <c r="B28" s="1">
        <v>20</v>
      </c>
      <c r="C28" s="2" t="s">
        <v>21</v>
      </c>
      <c r="D28" s="1">
        <f>8*H24+2*H26+2*H33+4*H41+2*H35</f>
        <v>100316.59010000002</v>
      </c>
      <c r="E28" s="1">
        <v>3.34</v>
      </c>
      <c r="F28" s="1">
        <v>175.82</v>
      </c>
      <c r="G28" s="1">
        <f t="shared" si="0"/>
        <v>50.671323999999998</v>
      </c>
      <c r="H28">
        <f t="shared" si="1"/>
        <v>100543.08142400002</v>
      </c>
    </row>
    <row r="29" spans="1:8" x14ac:dyDescent="0.25">
      <c r="A29" s="5" t="s">
        <v>24</v>
      </c>
      <c r="B29" s="1">
        <v>100</v>
      </c>
      <c r="C29" s="2" t="s">
        <v>22</v>
      </c>
      <c r="D29" s="1">
        <f>40*H24+16*H26+34*H40</f>
        <v>618766.05109199998</v>
      </c>
      <c r="E29" s="1">
        <v>1.67</v>
      </c>
      <c r="F29" s="1">
        <v>351.65</v>
      </c>
      <c r="G29" s="1">
        <f t="shared" si="0"/>
        <v>101.34553</v>
      </c>
      <c r="H29">
        <f t="shared" si="1"/>
        <v>619219.04662200005</v>
      </c>
    </row>
    <row r="30" spans="1:8" x14ac:dyDescent="0.25">
      <c r="A30" s="5" t="s">
        <v>23</v>
      </c>
      <c r="B30" s="1">
        <v>100</v>
      </c>
      <c r="C30" s="2" t="s">
        <v>25</v>
      </c>
      <c r="D30" s="1">
        <f>2*H34+10*H27+4*H35+6*H26+7*H40</f>
        <v>151183.570198</v>
      </c>
      <c r="E30" s="1">
        <v>0.33</v>
      </c>
      <c r="F30" s="1">
        <v>1758.23</v>
      </c>
      <c r="G30" s="1">
        <f t="shared" si="0"/>
        <v>506.72188600000004</v>
      </c>
      <c r="H30">
        <f t="shared" si="1"/>
        <v>153448.52208400003</v>
      </c>
    </row>
    <row r="31" spans="1:8" x14ac:dyDescent="0.25">
      <c r="A31" s="1"/>
      <c r="B31" s="1"/>
      <c r="C31" s="1"/>
      <c r="D31" s="1"/>
      <c r="E31" s="1"/>
      <c r="F31" s="1"/>
      <c r="G31" s="1"/>
    </row>
    <row r="32" spans="1:8" x14ac:dyDescent="0.25">
      <c r="A32" s="4" t="s">
        <v>26</v>
      </c>
      <c r="B32" s="1"/>
      <c r="C32" s="1"/>
      <c r="D32" s="1"/>
      <c r="E32" s="1"/>
      <c r="F32" s="1"/>
      <c r="G32" s="1"/>
    </row>
    <row r="33" spans="1:8" x14ac:dyDescent="0.25">
      <c r="A33" s="5" t="s">
        <v>27</v>
      </c>
      <c r="B33" s="1">
        <v>1</v>
      </c>
      <c r="C33" s="2" t="s">
        <v>28</v>
      </c>
      <c r="D33" s="1">
        <f>4*B10+2*B11</f>
        <v>4596</v>
      </c>
      <c r="E33" s="1">
        <v>2.56</v>
      </c>
      <c r="F33" s="1">
        <v>283.24</v>
      </c>
      <c r="G33" s="1">
        <f>$E$2*F33</f>
        <v>81.629768000000013</v>
      </c>
      <c r="H33">
        <f t="shared" si="1"/>
        <v>4960.8697679999996</v>
      </c>
    </row>
    <row r="34" spans="1:8" x14ac:dyDescent="0.25">
      <c r="A34" s="7" t="s">
        <v>29</v>
      </c>
      <c r="B34" s="1">
        <v>1</v>
      </c>
      <c r="C34" s="2" t="s">
        <v>30</v>
      </c>
      <c r="D34" s="1">
        <f>4*B10+8*B12+B6</f>
        <v>4922</v>
      </c>
      <c r="E34" s="1">
        <v>2.56</v>
      </c>
      <c r="F34" s="1">
        <v>283.24</v>
      </c>
      <c r="G34" s="1">
        <f>$E$2*F34</f>
        <v>81.629768000000013</v>
      </c>
      <c r="H34">
        <f t="shared" si="1"/>
        <v>5286.8697679999996</v>
      </c>
    </row>
    <row r="35" spans="1:8" x14ac:dyDescent="0.25">
      <c r="A35" s="5" t="s">
        <v>31</v>
      </c>
      <c r="B35" s="1">
        <v>1</v>
      </c>
      <c r="C35" s="2" t="s">
        <v>32</v>
      </c>
      <c r="D35" s="1">
        <f>3*B8+5*B13+3*B14</f>
        <v>1088</v>
      </c>
      <c r="E35" s="1">
        <v>3.07</v>
      </c>
      <c r="F35" s="1">
        <v>236.03</v>
      </c>
      <c r="G35" s="1">
        <f>$E$2*F35</f>
        <v>68.023846000000006</v>
      </c>
      <c r="H35">
        <f t="shared" si="1"/>
        <v>1392.053846</v>
      </c>
    </row>
    <row r="36" spans="1:8" x14ac:dyDescent="0.25">
      <c r="A36" s="5" t="s">
        <v>33</v>
      </c>
      <c r="B36" s="1">
        <v>10</v>
      </c>
      <c r="C36" s="2" t="s">
        <v>34</v>
      </c>
      <c r="D36" s="1">
        <f>8*B10+4*H33+H41+2*H35</f>
        <v>41397.959303999996</v>
      </c>
      <c r="E36" s="1">
        <v>0.13</v>
      </c>
      <c r="F36" s="1">
        <v>5664.7</v>
      </c>
      <c r="G36" s="1">
        <f>$E$2*F36</f>
        <v>1632.56654</v>
      </c>
      <c r="H36">
        <f t="shared" si="1"/>
        <v>48695.225843999993</v>
      </c>
    </row>
    <row r="37" spans="1:8" x14ac:dyDescent="0.25">
      <c r="A37" s="1"/>
      <c r="B37" s="1"/>
      <c r="C37" s="1"/>
      <c r="D37" s="1"/>
      <c r="E37" s="1"/>
      <c r="F37" s="1"/>
      <c r="G37" s="1"/>
    </row>
    <row r="38" spans="1:8" x14ac:dyDescent="0.25">
      <c r="A38" s="4" t="s">
        <v>35</v>
      </c>
      <c r="B38" s="1"/>
      <c r="C38" s="1"/>
      <c r="D38" s="1"/>
      <c r="E38" s="1"/>
      <c r="F38" s="1"/>
      <c r="G38" s="1"/>
    </row>
    <row r="39" spans="1:8" x14ac:dyDescent="0.25">
      <c r="A39" s="5" t="s">
        <v>36</v>
      </c>
      <c r="B39" s="1">
        <v>1</v>
      </c>
      <c r="C39" s="2" t="s">
        <v>37</v>
      </c>
      <c r="D39" s="1">
        <f>30*B4+100*B5+50*B15</f>
        <v>4700</v>
      </c>
      <c r="E39" s="1">
        <v>0.31</v>
      </c>
      <c r="F39" s="1">
        <v>1989.41</v>
      </c>
      <c r="G39" s="1">
        <f>$E$2*F39</f>
        <v>573.34796200000005</v>
      </c>
      <c r="H39">
        <f t="shared" si="1"/>
        <v>7262.7579619999997</v>
      </c>
    </row>
    <row r="40" spans="1:8" x14ac:dyDescent="0.25">
      <c r="A40" s="5" t="s">
        <v>38</v>
      </c>
      <c r="B40" s="1">
        <v>1</v>
      </c>
      <c r="C40" s="2" t="s">
        <v>39</v>
      </c>
      <c r="D40" s="1">
        <f>20*B8+8*B10+10*B4</f>
        <v>7770</v>
      </c>
      <c r="E40" s="1">
        <v>0.31</v>
      </c>
      <c r="F40" s="1">
        <v>1989.41</v>
      </c>
      <c r="G40" s="1">
        <f>$E$2*F40</f>
        <v>573.34796200000005</v>
      </c>
      <c r="H40">
        <f t="shared" si="1"/>
        <v>10332.757962</v>
      </c>
    </row>
    <row r="41" spans="1:8" x14ac:dyDescent="0.25">
      <c r="A41" s="5" t="s">
        <v>40</v>
      </c>
      <c r="B41" s="1">
        <v>1</v>
      </c>
      <c r="C41" s="2" t="s">
        <v>41</v>
      </c>
      <c r="D41" s="1">
        <f>8*B10+30*B13+15*B15</f>
        <v>10129</v>
      </c>
      <c r="E41" s="1">
        <v>0.62</v>
      </c>
      <c r="F41" s="1">
        <v>994.7</v>
      </c>
      <c r="G41" s="1">
        <f>$E$2*F41</f>
        <v>286.67254000000003</v>
      </c>
      <c r="H41">
        <f t="shared" si="1"/>
        <v>11410.37254</v>
      </c>
    </row>
    <row r="42" spans="1:8" x14ac:dyDescent="0.25">
      <c r="A42" s="7" t="s">
        <v>42</v>
      </c>
      <c r="B42" s="1">
        <v>1</v>
      </c>
      <c r="C42" s="2" t="s">
        <v>43</v>
      </c>
      <c r="D42" s="1">
        <f>4*B10+5*B4</f>
        <v>3775</v>
      </c>
      <c r="E42" s="1">
        <v>0.94</v>
      </c>
      <c r="F42" s="1">
        <v>663.14</v>
      </c>
      <c r="G42" s="1">
        <f>$E$2*F42</f>
        <v>191.11694800000001</v>
      </c>
      <c r="H42">
        <f t="shared" si="1"/>
        <v>4629.2569480000002</v>
      </c>
    </row>
    <row r="43" spans="1:8" x14ac:dyDescent="0.25">
      <c r="A43" s="1" t="s">
        <v>66</v>
      </c>
      <c r="B43" s="1">
        <v>2</v>
      </c>
      <c r="C43" s="2" t="s">
        <v>67</v>
      </c>
      <c r="D43" s="1">
        <f>6*B8+5*B15+5*B16</f>
        <v>421.5</v>
      </c>
      <c r="E43" s="1">
        <v>6.24</v>
      </c>
      <c r="F43" s="1">
        <v>99.47</v>
      </c>
      <c r="G43" s="1">
        <f>$E$2*F43</f>
        <v>28.667254</v>
      </c>
      <c r="H43">
        <f t="shared" si="1"/>
        <v>549.63725399999998</v>
      </c>
    </row>
    <row r="44" spans="1:8" x14ac:dyDescent="0.25">
      <c r="A44" s="1"/>
      <c r="B44" s="1"/>
      <c r="C44" s="1"/>
      <c r="D44" s="1"/>
      <c r="E44" s="1"/>
      <c r="F44" s="1"/>
      <c r="G44" s="1"/>
    </row>
    <row r="45" spans="1:8" x14ac:dyDescent="0.25">
      <c r="A45" s="4" t="s">
        <v>44</v>
      </c>
      <c r="B45" s="1"/>
      <c r="C45" s="1"/>
      <c r="D45" s="1"/>
      <c r="E45" s="1"/>
      <c r="F45" s="1"/>
      <c r="G45" s="1"/>
    </row>
    <row r="46" spans="1:8" x14ac:dyDescent="0.25">
      <c r="A46" s="5" t="s">
        <v>45</v>
      </c>
      <c r="B46" s="1">
        <v>20</v>
      </c>
      <c r="C46" s="2" t="s">
        <v>46</v>
      </c>
      <c r="D46" s="1">
        <f>H39+H28</f>
        <v>107805.83938600002</v>
      </c>
      <c r="E46" s="1">
        <v>0.72</v>
      </c>
      <c r="F46" s="1">
        <v>1056.95</v>
      </c>
      <c r="G46" s="1">
        <f>$E$2*F46</f>
        <v>304.61299000000002</v>
      </c>
      <c r="H46">
        <f t="shared" si="1"/>
        <v>109167.40237600001</v>
      </c>
    </row>
    <row r="47" spans="1:8" x14ac:dyDescent="0.25">
      <c r="A47" s="5" t="s">
        <v>47</v>
      </c>
      <c r="B47" s="1">
        <v>2000</v>
      </c>
      <c r="C47" s="2" t="s">
        <v>48</v>
      </c>
      <c r="D47" s="1">
        <f>H29+H30</f>
        <v>772667.56870600011</v>
      </c>
      <c r="E47" s="1">
        <v>0.24</v>
      </c>
      <c r="F47" s="1">
        <v>3170.85</v>
      </c>
      <c r="G47" s="1">
        <f>$E$2*F47</f>
        <v>913.83897000000002</v>
      </c>
      <c r="H47">
        <f t="shared" si="1"/>
        <v>776752.25767600012</v>
      </c>
    </row>
    <row r="48" spans="1:8" x14ac:dyDescent="0.25">
      <c r="A48" s="1"/>
      <c r="B48" s="1"/>
      <c r="C48" s="1"/>
      <c r="D48" s="1"/>
      <c r="E48" s="1"/>
      <c r="F48" s="1"/>
      <c r="G48" s="1"/>
    </row>
    <row r="49" spans="1:8" x14ac:dyDescent="0.25">
      <c r="A49" s="4" t="s">
        <v>49</v>
      </c>
      <c r="B49" s="1"/>
      <c r="C49" s="1"/>
      <c r="D49" s="1"/>
      <c r="E49" s="1"/>
      <c r="F49" s="1"/>
      <c r="G49" s="1"/>
    </row>
    <row r="50" spans="1:8" x14ac:dyDescent="0.25">
      <c r="A50" s="6" t="s">
        <v>50</v>
      </c>
      <c r="B50" s="1">
        <v>2000</v>
      </c>
      <c r="C50" s="2" t="s">
        <v>51</v>
      </c>
      <c r="D50" s="1">
        <f>40*H24+10*H25+2*H34+140*B6+4*H42</f>
        <v>207355.87868800003</v>
      </c>
      <c r="E50" s="1">
        <v>7.0000000000000007E-2</v>
      </c>
      <c r="F50" s="1">
        <v>10569.51</v>
      </c>
      <c r="G50" s="1">
        <f>$E$2*F50</f>
        <v>3046.1327820000001</v>
      </c>
      <c r="H50">
        <f t="shared" si="1"/>
        <v>220971.52147000004</v>
      </c>
    </row>
    <row r="51" spans="1:8" x14ac:dyDescent="0.25">
      <c r="A51" s="5" t="s">
        <v>52</v>
      </c>
      <c r="B51" s="1">
        <v>1000</v>
      </c>
      <c r="C51" s="2" t="s">
        <v>53</v>
      </c>
      <c r="D51" s="1">
        <f>14*H24+2*H25+H34+2*B7+2*H42</f>
        <v>70705.841264000002</v>
      </c>
      <c r="E51" s="1">
        <v>0.19</v>
      </c>
      <c r="F51" s="1">
        <v>3963.57</v>
      </c>
      <c r="G51" s="1">
        <f>$E$2*F51</f>
        <v>1142.300874</v>
      </c>
      <c r="H51">
        <f t="shared" si="1"/>
        <v>75811.712138000003</v>
      </c>
    </row>
    <row r="52" spans="1:8" x14ac:dyDescent="0.25">
      <c r="A52" s="1" t="s">
        <v>54</v>
      </c>
      <c r="B52" s="5">
        <v>100</v>
      </c>
      <c r="C52" s="2" t="s">
        <v>69</v>
      </c>
      <c r="D52" s="1">
        <f>8*H24+2*H25+H34+H43</f>
        <v>32921.529294</v>
      </c>
      <c r="E52" s="1">
        <v>1.68</v>
      </c>
      <c r="F52" s="1">
        <v>452.98</v>
      </c>
      <c r="G52" s="1">
        <f>$E$2*F52</f>
        <v>130.54883600000002</v>
      </c>
      <c r="H52">
        <f t="shared" si="1"/>
        <v>33505.058130000005</v>
      </c>
    </row>
  </sheetData>
  <conditionalFormatting sqref="H24:H5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52"/>
  <sheetViews>
    <sheetView topLeftCell="A21" zoomScale="70" zoomScaleNormal="70" workbookViewId="0">
      <selection activeCell="J40" sqref="J40"/>
    </sheetView>
  </sheetViews>
  <sheetFormatPr baseColWidth="10" defaultRowHeight="15" x14ac:dyDescent="0.25"/>
  <cols>
    <col min="1" max="1" width="23.85546875" bestFit="1" customWidth="1"/>
    <col min="2" max="2" width="17.140625" customWidth="1"/>
    <col min="3" max="3" width="75.140625" bestFit="1" customWidth="1"/>
    <col min="4" max="4" width="19.5703125" customWidth="1"/>
  </cols>
  <sheetData>
    <row r="2" spans="1:5" x14ac:dyDescent="0.25">
      <c r="A2" t="s">
        <v>1</v>
      </c>
      <c r="B2" t="s">
        <v>2</v>
      </c>
      <c r="D2" t="s">
        <v>9</v>
      </c>
      <c r="E2">
        <v>0.28820000000000001</v>
      </c>
    </row>
    <row r="3" spans="1:5" x14ac:dyDescent="0.25">
      <c r="A3" t="s">
        <v>0</v>
      </c>
      <c r="B3">
        <v>66</v>
      </c>
    </row>
    <row r="4" spans="1:5" x14ac:dyDescent="0.25">
      <c r="A4" t="s">
        <v>10</v>
      </c>
      <c r="B4">
        <v>19</v>
      </c>
    </row>
    <row r="5" spans="1:5" x14ac:dyDescent="0.25">
      <c r="A5" t="s">
        <v>17</v>
      </c>
      <c r="B5">
        <v>34</v>
      </c>
    </row>
    <row r="6" spans="1:5" x14ac:dyDescent="0.25">
      <c r="A6" t="s">
        <v>56</v>
      </c>
      <c r="B6">
        <v>306</v>
      </c>
      <c r="D6" t="s">
        <v>70</v>
      </c>
    </row>
    <row r="7" spans="1:5" x14ac:dyDescent="0.25">
      <c r="A7" t="s">
        <v>57</v>
      </c>
      <c r="B7">
        <v>6000</v>
      </c>
    </row>
    <row r="8" spans="1:5" x14ac:dyDescent="0.25">
      <c r="A8" t="s">
        <v>58</v>
      </c>
      <c r="B8">
        <v>11</v>
      </c>
    </row>
    <row r="9" spans="1:5" x14ac:dyDescent="0.25">
      <c r="A9" t="s">
        <v>59</v>
      </c>
      <c r="B9">
        <v>7.8</v>
      </c>
    </row>
    <row r="10" spans="1:5" x14ac:dyDescent="0.25">
      <c r="A10" t="s">
        <v>60</v>
      </c>
      <c r="B10">
        <v>920</v>
      </c>
    </row>
    <row r="11" spans="1:5" x14ac:dyDescent="0.25">
      <c r="A11" t="s">
        <v>61</v>
      </c>
      <c r="B11">
        <v>458</v>
      </c>
    </row>
    <row r="12" spans="1:5" x14ac:dyDescent="0.25">
      <c r="A12" t="s">
        <v>62</v>
      </c>
      <c r="B12">
        <v>117</v>
      </c>
    </row>
    <row r="13" spans="1:5" x14ac:dyDescent="0.25">
      <c r="A13" t="s">
        <v>63</v>
      </c>
      <c r="B13">
        <v>85</v>
      </c>
    </row>
    <row r="14" spans="1:5" x14ac:dyDescent="0.25">
      <c r="A14" t="s">
        <v>64</v>
      </c>
      <c r="B14">
        <v>210</v>
      </c>
    </row>
    <row r="15" spans="1:5" x14ac:dyDescent="0.25">
      <c r="A15" t="s">
        <v>65</v>
      </c>
      <c r="B15">
        <v>14.6</v>
      </c>
    </row>
    <row r="16" spans="1:5" x14ac:dyDescent="0.25">
      <c r="A16" t="s">
        <v>68</v>
      </c>
      <c r="B16">
        <v>56.5</v>
      </c>
    </row>
    <row r="22" spans="1:8" x14ac:dyDescent="0.25">
      <c r="A22" s="3"/>
      <c r="B22" s="3" t="s">
        <v>14</v>
      </c>
      <c r="C22" s="3" t="s">
        <v>4</v>
      </c>
      <c r="D22" s="3"/>
      <c r="E22" s="3" t="s">
        <v>6</v>
      </c>
      <c r="F22" s="3" t="s">
        <v>7</v>
      </c>
      <c r="G22" s="3" t="s">
        <v>8</v>
      </c>
      <c r="H22" s="5" t="s">
        <v>55</v>
      </c>
    </row>
    <row r="23" spans="1:8" x14ac:dyDescent="0.25">
      <c r="A23" s="4" t="s">
        <v>3</v>
      </c>
      <c r="B23" s="1"/>
      <c r="C23" s="1"/>
      <c r="D23" s="1"/>
      <c r="E23" s="1"/>
      <c r="F23" s="1"/>
      <c r="G23" s="1"/>
    </row>
    <row r="24" spans="1:8" x14ac:dyDescent="0.25">
      <c r="A24" s="7" t="s">
        <v>5</v>
      </c>
      <c r="B24" s="1">
        <v>2</v>
      </c>
      <c r="C24" s="2" t="s">
        <v>15</v>
      </c>
      <c r="D24" s="1">
        <f>40*B3</f>
        <v>2640</v>
      </c>
      <c r="E24" s="1">
        <v>3.67</v>
      </c>
      <c r="F24" s="1">
        <v>159.84</v>
      </c>
      <c r="G24" s="1">
        <f t="shared" ref="G24:G30" si="0">$E$2*F24</f>
        <v>46.065888000000001</v>
      </c>
      <c r="H24">
        <f>D24+F24+G24</f>
        <v>2845.9058880000002</v>
      </c>
    </row>
    <row r="25" spans="1:8" x14ac:dyDescent="0.25">
      <c r="A25" s="7" t="s">
        <v>11</v>
      </c>
      <c r="B25" s="1">
        <v>2</v>
      </c>
      <c r="C25" s="2" t="s">
        <v>12</v>
      </c>
      <c r="D25" s="1">
        <f>30*B3+5*B4</f>
        <v>2075</v>
      </c>
      <c r="E25" s="1">
        <v>9.01</v>
      </c>
      <c r="F25" s="1">
        <v>65.12</v>
      </c>
      <c r="G25" s="1">
        <f t="shared" si="0"/>
        <v>18.767584000000003</v>
      </c>
      <c r="H25">
        <f t="shared" ref="H25:H52" si="1">D25+F25+G25</f>
        <v>2158.8875840000001</v>
      </c>
    </row>
    <row r="26" spans="1:8" x14ac:dyDescent="0.25">
      <c r="A26" s="5" t="s">
        <v>13</v>
      </c>
      <c r="B26" s="5">
        <v>1</v>
      </c>
      <c r="C26" s="2" t="s">
        <v>16</v>
      </c>
      <c r="D26" s="1">
        <f>50*B4+250*B5</f>
        <v>9450</v>
      </c>
      <c r="E26" s="1">
        <v>5</v>
      </c>
      <c r="F26" s="1">
        <v>117.22</v>
      </c>
      <c r="G26" s="1">
        <f t="shared" si="0"/>
        <v>33.782803999999999</v>
      </c>
      <c r="H26">
        <f t="shared" si="1"/>
        <v>9601.0028039999997</v>
      </c>
    </row>
    <row r="27" spans="1:8" x14ac:dyDescent="0.25">
      <c r="A27" s="5" t="s">
        <v>18</v>
      </c>
      <c r="B27" s="1">
        <v>1</v>
      </c>
      <c r="C27" s="2" t="s">
        <v>19</v>
      </c>
      <c r="D27" s="1">
        <f>20*B8+30*B9</f>
        <v>454</v>
      </c>
      <c r="E27" s="1">
        <v>13.34</v>
      </c>
      <c r="F27" s="1">
        <v>43.96</v>
      </c>
      <c r="G27" s="1">
        <f t="shared" si="0"/>
        <v>12.669272000000001</v>
      </c>
      <c r="H27">
        <f t="shared" si="1"/>
        <v>510.62927199999996</v>
      </c>
    </row>
    <row r="28" spans="1:8" x14ac:dyDescent="0.25">
      <c r="A28" s="5" t="s">
        <v>20</v>
      </c>
      <c r="B28" s="1">
        <v>20</v>
      </c>
      <c r="C28" s="2" t="s">
        <v>21</v>
      </c>
      <c r="D28" s="1">
        <f>8*H24+2*H26+2*H33+4*H41+2*H35</f>
        <v>100316.59010000002</v>
      </c>
      <c r="E28" s="1">
        <v>3.34</v>
      </c>
      <c r="F28" s="1">
        <v>175.82</v>
      </c>
      <c r="G28" s="1">
        <f t="shared" si="0"/>
        <v>50.671323999999998</v>
      </c>
      <c r="H28">
        <f t="shared" si="1"/>
        <v>100543.08142400002</v>
      </c>
    </row>
    <row r="29" spans="1:8" x14ac:dyDescent="0.25">
      <c r="A29" s="5" t="s">
        <v>24</v>
      </c>
      <c r="B29" s="1">
        <v>100</v>
      </c>
      <c r="C29" s="2" t="s">
        <v>22</v>
      </c>
      <c r="D29" s="1">
        <f>40*H24+16*H26+34*H40</f>
        <v>618766.05109199998</v>
      </c>
      <c r="E29" s="1">
        <v>1.67</v>
      </c>
      <c r="F29" s="1">
        <v>351.65</v>
      </c>
      <c r="G29" s="1">
        <f t="shared" si="0"/>
        <v>101.34553</v>
      </c>
      <c r="H29">
        <f t="shared" si="1"/>
        <v>619219.04662200005</v>
      </c>
    </row>
    <row r="30" spans="1:8" x14ac:dyDescent="0.25">
      <c r="A30" s="5" t="s">
        <v>23</v>
      </c>
      <c r="B30" s="1">
        <v>100</v>
      </c>
      <c r="C30" s="2" t="s">
        <v>25</v>
      </c>
      <c r="D30" s="1">
        <f>2*H34+10*H27+4*H35+6*H26+7*H40</f>
        <v>151183.570198</v>
      </c>
      <c r="E30" s="1">
        <v>0.33</v>
      </c>
      <c r="F30" s="1">
        <v>1758.23</v>
      </c>
      <c r="G30" s="1">
        <f t="shared" si="0"/>
        <v>506.72188600000004</v>
      </c>
      <c r="H30">
        <f t="shared" si="1"/>
        <v>153448.52208400003</v>
      </c>
    </row>
    <row r="31" spans="1:8" x14ac:dyDescent="0.25">
      <c r="A31" s="1"/>
      <c r="B31" s="1"/>
      <c r="C31" s="1"/>
      <c r="D31" s="1"/>
      <c r="E31" s="1"/>
      <c r="F31" s="1"/>
      <c r="G31" s="1"/>
    </row>
    <row r="32" spans="1:8" x14ac:dyDescent="0.25">
      <c r="A32" s="4" t="s">
        <v>26</v>
      </c>
      <c r="B32" s="1"/>
      <c r="C32" s="1"/>
      <c r="D32" s="1"/>
      <c r="E32" s="1"/>
      <c r="F32" s="1"/>
      <c r="G32" s="1"/>
    </row>
    <row r="33" spans="1:8" x14ac:dyDescent="0.25">
      <c r="A33" s="5" t="s">
        <v>27</v>
      </c>
      <c r="B33" s="1">
        <v>1</v>
      </c>
      <c r="C33" s="2" t="s">
        <v>28</v>
      </c>
      <c r="D33" s="1">
        <f>4*B10+2*B11</f>
        <v>4596</v>
      </c>
      <c r="E33" s="1">
        <v>2.56</v>
      </c>
      <c r="F33" s="1">
        <v>283.24</v>
      </c>
      <c r="G33" s="1">
        <f>$E$2*F33</f>
        <v>81.629768000000013</v>
      </c>
      <c r="H33">
        <f t="shared" si="1"/>
        <v>4960.8697679999996</v>
      </c>
    </row>
    <row r="34" spans="1:8" x14ac:dyDescent="0.25">
      <c r="A34" s="7" t="s">
        <v>29</v>
      </c>
      <c r="B34" s="1">
        <v>1</v>
      </c>
      <c r="C34" s="2" t="s">
        <v>30</v>
      </c>
      <c r="D34" s="1">
        <f>4*B10+8*B12+B6</f>
        <v>4922</v>
      </c>
      <c r="E34" s="1">
        <v>2.56</v>
      </c>
      <c r="F34" s="1">
        <v>283.24</v>
      </c>
      <c r="G34" s="1">
        <f>$E$2*F34</f>
        <v>81.629768000000013</v>
      </c>
      <c r="H34">
        <f t="shared" si="1"/>
        <v>5286.8697679999996</v>
      </c>
    </row>
    <row r="35" spans="1:8" x14ac:dyDescent="0.25">
      <c r="A35" s="5" t="s">
        <v>31</v>
      </c>
      <c r="B35" s="1">
        <v>1</v>
      </c>
      <c r="C35" s="2" t="s">
        <v>32</v>
      </c>
      <c r="D35" s="1">
        <f>3*B8+5*B13+3*B14</f>
        <v>1088</v>
      </c>
      <c r="E35" s="1">
        <v>3.07</v>
      </c>
      <c r="F35" s="1">
        <v>236.03</v>
      </c>
      <c r="G35" s="1">
        <f>$E$2*F35</f>
        <v>68.023846000000006</v>
      </c>
      <c r="H35">
        <f t="shared" si="1"/>
        <v>1392.053846</v>
      </c>
    </row>
    <row r="36" spans="1:8" x14ac:dyDescent="0.25">
      <c r="A36" s="5" t="s">
        <v>33</v>
      </c>
      <c r="B36" s="1">
        <v>10</v>
      </c>
      <c r="C36" s="2" t="s">
        <v>34</v>
      </c>
      <c r="D36" s="1">
        <f>8*B10+4*H33+H41+2*H35</f>
        <v>41397.959303999996</v>
      </c>
      <c r="E36" s="1">
        <v>0.13</v>
      </c>
      <c r="F36" s="1">
        <v>5664.7</v>
      </c>
      <c r="G36" s="1">
        <f>$E$2*F36</f>
        <v>1632.56654</v>
      </c>
      <c r="H36">
        <f t="shared" si="1"/>
        <v>48695.225843999993</v>
      </c>
    </row>
    <row r="37" spans="1:8" x14ac:dyDescent="0.25">
      <c r="A37" s="1"/>
      <c r="B37" s="1"/>
      <c r="C37" s="1"/>
      <c r="D37" s="1"/>
      <c r="E37" s="1"/>
      <c r="F37" s="1"/>
      <c r="G37" s="1"/>
    </row>
    <row r="38" spans="1:8" x14ac:dyDescent="0.25">
      <c r="A38" s="4" t="s">
        <v>35</v>
      </c>
      <c r="B38" s="1"/>
      <c r="C38" s="1"/>
      <c r="D38" s="1"/>
      <c r="E38" s="1"/>
      <c r="F38" s="1"/>
      <c r="G38" s="1"/>
    </row>
    <row r="39" spans="1:8" x14ac:dyDescent="0.25">
      <c r="A39" s="5" t="s">
        <v>36</v>
      </c>
      <c r="B39" s="1">
        <v>1</v>
      </c>
      <c r="C39" s="2" t="s">
        <v>37</v>
      </c>
      <c r="D39" s="1">
        <f>30*B4+100*B5+50*B15</f>
        <v>4700</v>
      </c>
      <c r="E39" s="1">
        <v>0.31</v>
      </c>
      <c r="F39" s="1">
        <v>1989.41</v>
      </c>
      <c r="G39" s="1">
        <f>$E$2*F39</f>
        <v>573.34796200000005</v>
      </c>
      <c r="H39">
        <f t="shared" si="1"/>
        <v>7262.7579619999997</v>
      </c>
    </row>
    <row r="40" spans="1:8" x14ac:dyDescent="0.25">
      <c r="A40" s="5" t="s">
        <v>38</v>
      </c>
      <c r="B40" s="1">
        <v>1</v>
      </c>
      <c r="C40" s="2" t="s">
        <v>39</v>
      </c>
      <c r="D40" s="1">
        <f>20*B8+8*B10+10*B4</f>
        <v>7770</v>
      </c>
      <c r="E40" s="1">
        <v>0.31</v>
      </c>
      <c r="F40" s="1">
        <v>1989.41</v>
      </c>
      <c r="G40" s="1">
        <f>$E$2*F40</f>
        <v>573.34796200000005</v>
      </c>
      <c r="H40">
        <f t="shared" si="1"/>
        <v>10332.757962</v>
      </c>
    </row>
    <row r="41" spans="1:8" x14ac:dyDescent="0.25">
      <c r="A41" s="5" t="s">
        <v>40</v>
      </c>
      <c r="B41" s="1">
        <v>1</v>
      </c>
      <c r="C41" s="2" t="s">
        <v>41</v>
      </c>
      <c r="D41" s="1">
        <f>8*B10+30*B13+15*B15</f>
        <v>10129</v>
      </c>
      <c r="E41" s="1">
        <v>0.62</v>
      </c>
      <c r="F41" s="1">
        <v>994.7</v>
      </c>
      <c r="G41" s="1">
        <f>$E$2*F41</f>
        <v>286.67254000000003</v>
      </c>
      <c r="H41">
        <f t="shared" si="1"/>
        <v>11410.37254</v>
      </c>
    </row>
    <row r="42" spans="1:8" x14ac:dyDescent="0.25">
      <c r="A42" s="7" t="s">
        <v>42</v>
      </c>
      <c r="B42" s="1">
        <v>1</v>
      </c>
      <c r="C42" s="2" t="s">
        <v>43</v>
      </c>
      <c r="D42" s="1">
        <f>4*B10+5*B4</f>
        <v>3775</v>
      </c>
      <c r="E42" s="1">
        <v>0.94</v>
      </c>
      <c r="F42" s="1">
        <v>663.14</v>
      </c>
      <c r="G42" s="1">
        <f>$E$2*F42</f>
        <v>191.11694800000001</v>
      </c>
      <c r="H42">
        <f t="shared" si="1"/>
        <v>4629.2569480000002</v>
      </c>
    </row>
    <row r="43" spans="1:8" x14ac:dyDescent="0.25">
      <c r="A43" s="1" t="s">
        <v>66</v>
      </c>
      <c r="B43" s="1">
        <v>2</v>
      </c>
      <c r="C43" s="2" t="s">
        <v>67</v>
      </c>
      <c r="D43" s="1">
        <f>6*B8+5*B15+5*B16</f>
        <v>421.5</v>
      </c>
      <c r="E43" s="1">
        <v>6.24</v>
      </c>
      <c r="F43" s="1">
        <v>99.47</v>
      </c>
      <c r="G43" s="1">
        <f>$E$2*F43</f>
        <v>28.667254</v>
      </c>
      <c r="H43">
        <f t="shared" si="1"/>
        <v>549.63725399999998</v>
      </c>
    </row>
    <row r="44" spans="1:8" x14ac:dyDescent="0.25">
      <c r="A44" s="1"/>
      <c r="B44" s="1"/>
      <c r="C44" s="1"/>
      <c r="D44" s="1"/>
      <c r="E44" s="1"/>
      <c r="F44" s="1"/>
      <c r="G44" s="1"/>
    </row>
    <row r="45" spans="1:8" x14ac:dyDescent="0.25">
      <c r="A45" s="4" t="s">
        <v>44</v>
      </c>
      <c r="B45" s="1"/>
      <c r="C45" s="1"/>
      <c r="D45" s="1"/>
      <c r="E45" s="1"/>
      <c r="F45" s="1"/>
      <c r="G45" s="1"/>
    </row>
    <row r="46" spans="1:8" x14ac:dyDescent="0.25">
      <c r="A46" s="5" t="s">
        <v>45</v>
      </c>
      <c r="B46" s="1">
        <v>20</v>
      </c>
      <c r="C46" s="2" t="s">
        <v>46</v>
      </c>
      <c r="D46" s="1">
        <f>H39+H28</f>
        <v>107805.83938600002</v>
      </c>
      <c r="E46" s="1">
        <v>0.72</v>
      </c>
      <c r="F46" s="1">
        <v>1056.95</v>
      </c>
      <c r="G46" s="1">
        <f>$E$2*F46</f>
        <v>304.61299000000002</v>
      </c>
      <c r="H46">
        <f t="shared" si="1"/>
        <v>109167.40237600001</v>
      </c>
    </row>
    <row r="47" spans="1:8" x14ac:dyDescent="0.25">
      <c r="A47" s="5" t="s">
        <v>47</v>
      </c>
      <c r="B47" s="1">
        <v>2000</v>
      </c>
      <c r="C47" s="2" t="s">
        <v>48</v>
      </c>
      <c r="D47" s="1">
        <f>H29+H30</f>
        <v>772667.56870600011</v>
      </c>
      <c r="E47" s="1">
        <v>0.24</v>
      </c>
      <c r="F47" s="1">
        <v>3170.85</v>
      </c>
      <c r="G47" s="1">
        <f>$E$2*F47</f>
        <v>913.83897000000002</v>
      </c>
      <c r="H47">
        <f t="shared" si="1"/>
        <v>776752.25767600012</v>
      </c>
    </row>
    <row r="48" spans="1:8" x14ac:dyDescent="0.25">
      <c r="A48" s="1"/>
      <c r="B48" s="1"/>
      <c r="C48" s="1"/>
      <c r="D48" s="1"/>
      <c r="E48" s="1"/>
      <c r="F48" s="1"/>
      <c r="G48" s="1"/>
    </row>
    <row r="49" spans="1:8" x14ac:dyDescent="0.25">
      <c r="A49" s="4" t="s">
        <v>49</v>
      </c>
      <c r="B49" s="1"/>
      <c r="C49" s="1"/>
      <c r="D49" s="1"/>
      <c r="E49" s="1"/>
      <c r="F49" s="1"/>
      <c r="G49" s="1"/>
    </row>
    <row r="50" spans="1:8" x14ac:dyDescent="0.25">
      <c r="A50" s="1" t="s">
        <v>50</v>
      </c>
      <c r="B50" s="1">
        <v>2000</v>
      </c>
      <c r="C50" s="2" t="s">
        <v>51</v>
      </c>
      <c r="D50" s="1">
        <f>40*H24+10*H25+2*H34+140*B6+4*H42</f>
        <v>207355.87868800003</v>
      </c>
      <c r="E50" s="1">
        <v>7.0000000000000007E-2</v>
      </c>
      <c r="F50" s="1">
        <v>10569.51</v>
      </c>
      <c r="G50" s="1">
        <f>$E$2*F50</f>
        <v>3046.1327820000001</v>
      </c>
      <c r="H50">
        <f t="shared" si="1"/>
        <v>220971.52147000004</v>
      </c>
    </row>
    <row r="51" spans="1:8" x14ac:dyDescent="0.25">
      <c r="A51" s="6" t="s">
        <v>52</v>
      </c>
      <c r="B51" s="1">
        <v>1000</v>
      </c>
      <c r="C51" s="2" t="s">
        <v>53</v>
      </c>
      <c r="D51" s="1">
        <f>14*H24+2*H25+H34+2*B7+2*H42</f>
        <v>70705.841264000002</v>
      </c>
      <c r="E51" s="1">
        <v>0.19</v>
      </c>
      <c r="F51" s="1">
        <v>3963.57</v>
      </c>
      <c r="G51" s="1">
        <f>$E$2*F51</f>
        <v>1142.300874</v>
      </c>
      <c r="H51">
        <f t="shared" si="1"/>
        <v>75811.712138000003</v>
      </c>
    </row>
    <row r="52" spans="1:8" x14ac:dyDescent="0.25">
      <c r="A52" s="1" t="s">
        <v>54</v>
      </c>
      <c r="B52" s="5">
        <v>100</v>
      </c>
      <c r="C52" s="2" t="s">
        <v>69</v>
      </c>
      <c r="D52" s="1">
        <f>8*H24+2*H25+H34+H43</f>
        <v>32921.529294</v>
      </c>
      <c r="E52" s="1">
        <v>1.68</v>
      </c>
      <c r="F52" s="1">
        <v>452.98</v>
      </c>
      <c r="G52" s="1">
        <f>$E$2*F52</f>
        <v>130.54883600000002</v>
      </c>
      <c r="H52">
        <f t="shared" si="1"/>
        <v>33505.058130000005</v>
      </c>
    </row>
  </sheetData>
  <conditionalFormatting sqref="H24:H5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52"/>
  <sheetViews>
    <sheetView topLeftCell="A21" zoomScale="70" zoomScaleNormal="70" workbookViewId="0">
      <selection activeCell="C40" sqref="C40"/>
    </sheetView>
  </sheetViews>
  <sheetFormatPr baseColWidth="10" defaultRowHeight="15" x14ac:dyDescent="0.25"/>
  <cols>
    <col min="1" max="1" width="23.85546875" bestFit="1" customWidth="1"/>
    <col min="2" max="2" width="17.140625" customWidth="1"/>
    <col min="3" max="3" width="75.140625" bestFit="1" customWidth="1"/>
    <col min="4" max="4" width="19.5703125" customWidth="1"/>
  </cols>
  <sheetData>
    <row r="2" spans="1:5" x14ac:dyDescent="0.25">
      <c r="A2" t="s">
        <v>1</v>
      </c>
      <c r="B2" t="s">
        <v>2</v>
      </c>
      <c r="D2" t="s">
        <v>9</v>
      </c>
      <c r="E2">
        <v>0.28820000000000001</v>
      </c>
    </row>
    <row r="3" spans="1:5" x14ac:dyDescent="0.25">
      <c r="A3" t="s">
        <v>0</v>
      </c>
      <c r="B3">
        <v>66</v>
      </c>
    </row>
    <row r="4" spans="1:5" x14ac:dyDescent="0.25">
      <c r="A4" t="s">
        <v>10</v>
      </c>
      <c r="B4">
        <v>19</v>
      </c>
    </row>
    <row r="5" spans="1:5" x14ac:dyDescent="0.25">
      <c r="A5" t="s">
        <v>17</v>
      </c>
      <c r="B5">
        <v>34</v>
      </c>
    </row>
    <row r="6" spans="1:5" x14ac:dyDescent="0.25">
      <c r="A6" t="s">
        <v>56</v>
      </c>
      <c r="B6">
        <v>306</v>
      </c>
      <c r="D6" t="s">
        <v>70</v>
      </c>
    </row>
    <row r="7" spans="1:5" x14ac:dyDescent="0.25">
      <c r="A7" t="s">
        <v>57</v>
      </c>
      <c r="B7">
        <v>6000</v>
      </c>
    </row>
    <row r="8" spans="1:5" x14ac:dyDescent="0.25">
      <c r="A8" t="s">
        <v>58</v>
      </c>
      <c r="B8">
        <v>11</v>
      </c>
    </row>
    <row r="9" spans="1:5" x14ac:dyDescent="0.25">
      <c r="A9" t="s">
        <v>59</v>
      </c>
      <c r="B9">
        <v>7.8</v>
      </c>
    </row>
    <row r="10" spans="1:5" x14ac:dyDescent="0.25">
      <c r="A10" t="s">
        <v>60</v>
      </c>
      <c r="B10">
        <v>920</v>
      </c>
    </row>
    <row r="11" spans="1:5" x14ac:dyDescent="0.25">
      <c r="A11" t="s">
        <v>61</v>
      </c>
      <c r="B11">
        <v>458</v>
      </c>
    </row>
    <row r="12" spans="1:5" x14ac:dyDescent="0.25">
      <c r="A12" t="s">
        <v>62</v>
      </c>
      <c r="B12">
        <v>117</v>
      </c>
    </row>
    <row r="13" spans="1:5" x14ac:dyDescent="0.25">
      <c r="A13" t="s">
        <v>63</v>
      </c>
      <c r="B13">
        <v>85</v>
      </c>
    </row>
    <row r="14" spans="1:5" x14ac:dyDescent="0.25">
      <c r="A14" t="s">
        <v>64</v>
      </c>
      <c r="B14">
        <v>210</v>
      </c>
    </row>
    <row r="15" spans="1:5" x14ac:dyDescent="0.25">
      <c r="A15" t="s">
        <v>65</v>
      </c>
      <c r="B15">
        <v>14.6</v>
      </c>
    </row>
    <row r="16" spans="1:5" x14ac:dyDescent="0.25">
      <c r="A16" t="s">
        <v>68</v>
      </c>
      <c r="B16">
        <v>56.5</v>
      </c>
    </row>
    <row r="22" spans="1:8" x14ac:dyDescent="0.25">
      <c r="A22" s="3"/>
      <c r="B22" s="3" t="s">
        <v>14</v>
      </c>
      <c r="C22" s="3" t="s">
        <v>4</v>
      </c>
      <c r="D22" s="3"/>
      <c r="E22" s="3" t="s">
        <v>6</v>
      </c>
      <c r="F22" s="3" t="s">
        <v>7</v>
      </c>
      <c r="G22" s="3" t="s">
        <v>8</v>
      </c>
      <c r="H22" s="5" t="s">
        <v>55</v>
      </c>
    </row>
    <row r="23" spans="1:8" x14ac:dyDescent="0.25">
      <c r="A23" s="4" t="s">
        <v>3</v>
      </c>
      <c r="B23" s="1"/>
      <c r="C23" s="1"/>
      <c r="D23" s="1"/>
      <c r="E23" s="1"/>
      <c r="F23" s="1"/>
      <c r="G23" s="1"/>
    </row>
    <row r="24" spans="1:8" x14ac:dyDescent="0.25">
      <c r="A24" s="7" t="s">
        <v>5</v>
      </c>
      <c r="B24" s="1">
        <v>2</v>
      </c>
      <c r="C24" s="2" t="s">
        <v>15</v>
      </c>
      <c r="D24" s="1">
        <f>40*B3</f>
        <v>2640</v>
      </c>
      <c r="E24" s="1">
        <v>3.67</v>
      </c>
      <c r="F24" s="1">
        <v>159.84</v>
      </c>
      <c r="G24" s="1">
        <f t="shared" ref="G24:G30" si="0">$E$2*F24</f>
        <v>46.065888000000001</v>
      </c>
      <c r="H24">
        <f>D24+F24+G24</f>
        <v>2845.9058880000002</v>
      </c>
    </row>
    <row r="25" spans="1:8" x14ac:dyDescent="0.25">
      <c r="A25" s="7" t="s">
        <v>11</v>
      </c>
      <c r="B25" s="1">
        <v>2</v>
      </c>
      <c r="C25" s="2" t="s">
        <v>12</v>
      </c>
      <c r="D25" s="1">
        <f>30*B3+5*B4</f>
        <v>2075</v>
      </c>
      <c r="E25" s="1">
        <v>9.01</v>
      </c>
      <c r="F25" s="1">
        <v>65.12</v>
      </c>
      <c r="G25" s="1">
        <f t="shared" si="0"/>
        <v>18.767584000000003</v>
      </c>
      <c r="H25">
        <f t="shared" ref="H25:H52" si="1">D25+F25+G25</f>
        <v>2158.8875840000001</v>
      </c>
    </row>
    <row r="26" spans="1:8" x14ac:dyDescent="0.25">
      <c r="A26" s="5" t="s">
        <v>13</v>
      </c>
      <c r="B26" s="5">
        <v>1</v>
      </c>
      <c r="C26" s="2" t="s">
        <v>16</v>
      </c>
      <c r="D26" s="1">
        <f>50*B4+250*B5</f>
        <v>9450</v>
      </c>
      <c r="E26" s="1">
        <v>5</v>
      </c>
      <c r="F26" s="1">
        <v>117.22</v>
      </c>
      <c r="G26" s="1">
        <f t="shared" si="0"/>
        <v>33.782803999999999</v>
      </c>
      <c r="H26">
        <f t="shared" si="1"/>
        <v>9601.0028039999997</v>
      </c>
    </row>
    <row r="27" spans="1:8" x14ac:dyDescent="0.25">
      <c r="A27" s="5" t="s">
        <v>18</v>
      </c>
      <c r="B27" s="1">
        <v>1</v>
      </c>
      <c r="C27" s="2" t="s">
        <v>19</v>
      </c>
      <c r="D27" s="1">
        <f>20*B8+30*B9</f>
        <v>454</v>
      </c>
      <c r="E27" s="1">
        <v>13.34</v>
      </c>
      <c r="F27" s="1">
        <v>43.96</v>
      </c>
      <c r="G27" s="1">
        <f t="shared" si="0"/>
        <v>12.669272000000001</v>
      </c>
      <c r="H27">
        <f t="shared" si="1"/>
        <v>510.62927199999996</v>
      </c>
    </row>
    <row r="28" spans="1:8" x14ac:dyDescent="0.25">
      <c r="A28" s="5" t="s">
        <v>20</v>
      </c>
      <c r="B28" s="1">
        <v>20</v>
      </c>
      <c r="C28" s="2" t="s">
        <v>21</v>
      </c>
      <c r="D28" s="1">
        <f>8*H24+2*H26+2*H33+4*H41+2*H35</f>
        <v>100316.59010000002</v>
      </c>
      <c r="E28" s="1">
        <v>3.34</v>
      </c>
      <c r="F28" s="1">
        <v>175.82</v>
      </c>
      <c r="G28" s="1">
        <f t="shared" si="0"/>
        <v>50.671323999999998</v>
      </c>
      <c r="H28">
        <f t="shared" si="1"/>
        <v>100543.08142400002</v>
      </c>
    </row>
    <row r="29" spans="1:8" x14ac:dyDescent="0.25">
      <c r="A29" s="5" t="s">
        <v>24</v>
      </c>
      <c r="B29" s="1">
        <v>100</v>
      </c>
      <c r="C29" s="2" t="s">
        <v>22</v>
      </c>
      <c r="D29" s="1">
        <f>40*H24+16*H26+34*H40</f>
        <v>618766.05109199998</v>
      </c>
      <c r="E29" s="1">
        <v>1.67</v>
      </c>
      <c r="F29" s="1">
        <v>351.65</v>
      </c>
      <c r="G29" s="1">
        <f t="shared" si="0"/>
        <v>101.34553</v>
      </c>
      <c r="H29">
        <f t="shared" si="1"/>
        <v>619219.04662200005</v>
      </c>
    </row>
    <row r="30" spans="1:8" x14ac:dyDescent="0.25">
      <c r="A30" s="5" t="s">
        <v>23</v>
      </c>
      <c r="B30" s="1">
        <v>100</v>
      </c>
      <c r="C30" s="2" t="s">
        <v>25</v>
      </c>
      <c r="D30" s="1">
        <f>2*H34+10*H27+4*H35+6*H26+7*H40</f>
        <v>151183.570198</v>
      </c>
      <c r="E30" s="1">
        <v>0.33</v>
      </c>
      <c r="F30" s="1">
        <v>1758.23</v>
      </c>
      <c r="G30" s="1">
        <f t="shared" si="0"/>
        <v>506.72188600000004</v>
      </c>
      <c r="H30">
        <f t="shared" si="1"/>
        <v>153448.52208400003</v>
      </c>
    </row>
    <row r="31" spans="1:8" x14ac:dyDescent="0.25">
      <c r="A31" s="1"/>
      <c r="B31" s="1"/>
      <c r="C31" s="1"/>
      <c r="D31" s="1"/>
      <c r="E31" s="1"/>
      <c r="F31" s="1"/>
      <c r="G31" s="1"/>
    </row>
    <row r="32" spans="1:8" x14ac:dyDescent="0.25">
      <c r="A32" s="4" t="s">
        <v>26</v>
      </c>
      <c r="B32" s="1"/>
      <c r="C32" s="1"/>
      <c r="D32" s="1"/>
      <c r="E32" s="1"/>
      <c r="F32" s="1"/>
      <c r="G32" s="1"/>
    </row>
    <row r="33" spans="1:8" x14ac:dyDescent="0.25">
      <c r="A33" s="5" t="s">
        <v>27</v>
      </c>
      <c r="B33" s="1">
        <v>1</v>
      </c>
      <c r="C33" s="2" t="s">
        <v>28</v>
      </c>
      <c r="D33" s="1">
        <f>4*B10+2*B11</f>
        <v>4596</v>
      </c>
      <c r="E33" s="1">
        <v>2.56</v>
      </c>
      <c r="F33" s="1">
        <v>283.24</v>
      </c>
      <c r="G33" s="1">
        <f>$E$2*F33</f>
        <v>81.629768000000013</v>
      </c>
      <c r="H33">
        <f t="shared" si="1"/>
        <v>4960.8697679999996</v>
      </c>
    </row>
    <row r="34" spans="1:8" x14ac:dyDescent="0.25">
      <c r="A34" s="7" t="s">
        <v>29</v>
      </c>
      <c r="B34" s="1">
        <v>1</v>
      </c>
      <c r="C34" s="2" t="s">
        <v>30</v>
      </c>
      <c r="D34" s="1">
        <f>4*B10+8*B12+B6</f>
        <v>4922</v>
      </c>
      <c r="E34" s="1">
        <v>2.56</v>
      </c>
      <c r="F34" s="1">
        <v>283.24</v>
      </c>
      <c r="G34" s="1">
        <f>$E$2*F34</f>
        <v>81.629768000000013</v>
      </c>
      <c r="H34">
        <f t="shared" si="1"/>
        <v>5286.8697679999996</v>
      </c>
    </row>
    <row r="35" spans="1:8" x14ac:dyDescent="0.25">
      <c r="A35" s="5" t="s">
        <v>31</v>
      </c>
      <c r="B35" s="1">
        <v>1</v>
      </c>
      <c r="C35" s="2" t="s">
        <v>32</v>
      </c>
      <c r="D35" s="1">
        <f>3*B8+5*B13+3*B14</f>
        <v>1088</v>
      </c>
      <c r="E35" s="1">
        <v>3.07</v>
      </c>
      <c r="F35" s="1">
        <v>236.03</v>
      </c>
      <c r="G35" s="1">
        <f>$E$2*F35</f>
        <v>68.023846000000006</v>
      </c>
      <c r="H35">
        <f t="shared" si="1"/>
        <v>1392.053846</v>
      </c>
    </row>
    <row r="36" spans="1:8" x14ac:dyDescent="0.25">
      <c r="A36" s="5" t="s">
        <v>33</v>
      </c>
      <c r="B36" s="1">
        <v>10</v>
      </c>
      <c r="C36" s="2" t="s">
        <v>34</v>
      </c>
      <c r="D36" s="1">
        <f>8*B10+4*H33+H41+2*H35</f>
        <v>41397.959303999996</v>
      </c>
      <c r="E36" s="1">
        <v>0.13</v>
      </c>
      <c r="F36" s="1">
        <v>5664.7</v>
      </c>
      <c r="G36" s="1">
        <f>$E$2*F36</f>
        <v>1632.56654</v>
      </c>
      <c r="H36">
        <f t="shared" si="1"/>
        <v>48695.225843999993</v>
      </c>
    </row>
    <row r="37" spans="1:8" x14ac:dyDescent="0.25">
      <c r="A37" s="1"/>
      <c r="B37" s="1"/>
      <c r="C37" s="1"/>
      <c r="D37" s="1"/>
      <c r="E37" s="1"/>
      <c r="F37" s="1"/>
      <c r="G37" s="1"/>
    </row>
    <row r="38" spans="1:8" x14ac:dyDescent="0.25">
      <c r="A38" s="4" t="s">
        <v>35</v>
      </c>
      <c r="B38" s="1"/>
      <c r="C38" s="1"/>
      <c r="D38" s="1"/>
      <c r="E38" s="1"/>
      <c r="F38" s="1"/>
      <c r="G38" s="1"/>
    </row>
    <row r="39" spans="1:8" x14ac:dyDescent="0.25">
      <c r="A39" s="5" t="s">
        <v>36</v>
      </c>
      <c r="B39" s="1">
        <v>1</v>
      </c>
      <c r="C39" s="2" t="s">
        <v>37</v>
      </c>
      <c r="D39" s="1">
        <f>30*B4+100*B5+50*B15</f>
        <v>4700</v>
      </c>
      <c r="E39" s="1">
        <v>0.31</v>
      </c>
      <c r="F39" s="1">
        <v>1989.41</v>
      </c>
      <c r="G39" s="1">
        <f>$E$2*F39</f>
        <v>573.34796200000005</v>
      </c>
      <c r="H39">
        <f t="shared" si="1"/>
        <v>7262.7579619999997</v>
      </c>
    </row>
    <row r="40" spans="1:8" x14ac:dyDescent="0.25">
      <c r="A40" s="5" t="s">
        <v>38</v>
      </c>
      <c r="B40" s="1">
        <v>1</v>
      </c>
      <c r="C40" s="2" t="s">
        <v>39</v>
      </c>
      <c r="D40" s="1">
        <f>20*B8+8*B10+10*B4</f>
        <v>7770</v>
      </c>
      <c r="E40" s="1">
        <v>0.31</v>
      </c>
      <c r="F40" s="1">
        <v>1989.41</v>
      </c>
      <c r="G40" s="1">
        <f>$E$2*F40</f>
        <v>573.34796200000005</v>
      </c>
      <c r="H40">
        <f t="shared" si="1"/>
        <v>10332.757962</v>
      </c>
    </row>
    <row r="41" spans="1:8" x14ac:dyDescent="0.25">
      <c r="A41" s="5" t="s">
        <v>40</v>
      </c>
      <c r="B41" s="1">
        <v>1</v>
      </c>
      <c r="C41" s="2" t="s">
        <v>41</v>
      </c>
      <c r="D41" s="1">
        <f>8*B10+30*B13+15*B15</f>
        <v>10129</v>
      </c>
      <c r="E41" s="1">
        <v>0.62</v>
      </c>
      <c r="F41" s="1">
        <v>994.7</v>
      </c>
      <c r="G41" s="1">
        <f>$E$2*F41</f>
        <v>286.67254000000003</v>
      </c>
      <c r="H41">
        <f t="shared" si="1"/>
        <v>11410.37254</v>
      </c>
    </row>
    <row r="42" spans="1:8" x14ac:dyDescent="0.25">
      <c r="A42" s="5" t="s">
        <v>42</v>
      </c>
      <c r="B42" s="1">
        <v>1</v>
      </c>
      <c r="C42" s="2" t="s">
        <v>43</v>
      </c>
      <c r="D42" s="1">
        <f>4*B10+5*B4</f>
        <v>3775</v>
      </c>
      <c r="E42" s="1">
        <v>0.94</v>
      </c>
      <c r="F42" s="1">
        <v>663.14</v>
      </c>
      <c r="G42" s="1">
        <f>$E$2*F42</f>
        <v>191.11694800000001</v>
      </c>
      <c r="H42">
        <f t="shared" si="1"/>
        <v>4629.2569480000002</v>
      </c>
    </row>
    <row r="43" spans="1:8" x14ac:dyDescent="0.25">
      <c r="A43" s="7" t="s">
        <v>66</v>
      </c>
      <c r="B43" s="1">
        <v>2</v>
      </c>
      <c r="C43" s="2" t="s">
        <v>67</v>
      </c>
      <c r="D43" s="1">
        <f>6*B8+5*B15+5*B16</f>
        <v>421.5</v>
      </c>
      <c r="E43" s="1">
        <v>6.24</v>
      </c>
      <c r="F43" s="1">
        <v>99.47</v>
      </c>
      <c r="G43" s="1">
        <f>$E$2*F43</f>
        <v>28.667254</v>
      </c>
      <c r="H43">
        <f t="shared" si="1"/>
        <v>549.63725399999998</v>
      </c>
    </row>
    <row r="44" spans="1:8" x14ac:dyDescent="0.25">
      <c r="A44" s="1"/>
      <c r="B44" s="1"/>
      <c r="C44" s="1"/>
      <c r="D44" s="1"/>
      <c r="E44" s="1"/>
      <c r="F44" s="1"/>
      <c r="G44" s="1"/>
    </row>
    <row r="45" spans="1:8" x14ac:dyDescent="0.25">
      <c r="A45" s="4" t="s">
        <v>44</v>
      </c>
      <c r="B45" s="1"/>
      <c r="C45" s="1"/>
      <c r="D45" s="1"/>
      <c r="E45" s="1"/>
      <c r="F45" s="1"/>
      <c r="G45" s="1"/>
    </row>
    <row r="46" spans="1:8" x14ac:dyDescent="0.25">
      <c r="A46" s="5" t="s">
        <v>45</v>
      </c>
      <c r="B46" s="1">
        <v>20</v>
      </c>
      <c r="C46" s="2" t="s">
        <v>46</v>
      </c>
      <c r="D46" s="1">
        <f>H39+H28</f>
        <v>107805.83938600002</v>
      </c>
      <c r="E46" s="1">
        <v>0.72</v>
      </c>
      <c r="F46" s="1">
        <v>1056.95</v>
      </c>
      <c r="G46" s="1">
        <f>$E$2*F46</f>
        <v>304.61299000000002</v>
      </c>
      <c r="H46">
        <f t="shared" si="1"/>
        <v>109167.40237600001</v>
      </c>
    </row>
    <row r="47" spans="1:8" x14ac:dyDescent="0.25">
      <c r="A47" s="5" t="s">
        <v>47</v>
      </c>
      <c r="B47" s="1">
        <v>2000</v>
      </c>
      <c r="C47" s="2" t="s">
        <v>48</v>
      </c>
      <c r="D47" s="1">
        <f>H29+H30</f>
        <v>772667.56870600011</v>
      </c>
      <c r="E47" s="1">
        <v>0.24</v>
      </c>
      <c r="F47" s="1">
        <v>3170.85</v>
      </c>
      <c r="G47" s="1">
        <f>$E$2*F47</f>
        <v>913.83897000000002</v>
      </c>
      <c r="H47">
        <f t="shared" si="1"/>
        <v>776752.25767600012</v>
      </c>
    </row>
    <row r="48" spans="1:8" x14ac:dyDescent="0.25">
      <c r="A48" s="1"/>
      <c r="B48" s="1"/>
      <c r="C48" s="1"/>
      <c r="D48" s="1"/>
      <c r="E48" s="1"/>
      <c r="F48" s="1"/>
      <c r="G48" s="1"/>
    </row>
    <row r="49" spans="1:8" x14ac:dyDescent="0.25">
      <c r="A49" s="4" t="s">
        <v>49</v>
      </c>
      <c r="B49" s="1"/>
      <c r="C49" s="1"/>
      <c r="D49" s="1"/>
      <c r="E49" s="1"/>
      <c r="F49" s="1"/>
      <c r="G49" s="1"/>
    </row>
    <row r="50" spans="1:8" x14ac:dyDescent="0.25">
      <c r="A50" s="1" t="s">
        <v>50</v>
      </c>
      <c r="B50" s="1">
        <v>2000</v>
      </c>
      <c r="C50" s="2" t="s">
        <v>51</v>
      </c>
      <c r="D50" s="1">
        <f>40*H24+10*H25+2*H34+140*B6+4*H42</f>
        <v>207355.87868800003</v>
      </c>
      <c r="E50" s="1">
        <v>7.0000000000000007E-2</v>
      </c>
      <c r="F50" s="1">
        <v>10569.51</v>
      </c>
      <c r="G50" s="1">
        <f>$E$2*F50</f>
        <v>3046.1327820000001</v>
      </c>
      <c r="H50">
        <f t="shared" si="1"/>
        <v>220971.52147000004</v>
      </c>
    </row>
    <row r="51" spans="1:8" x14ac:dyDescent="0.25">
      <c r="A51" s="5" t="s">
        <v>52</v>
      </c>
      <c r="B51" s="1">
        <v>1000</v>
      </c>
      <c r="C51" s="2" t="s">
        <v>53</v>
      </c>
      <c r="D51" s="1">
        <f>14*H24+2*H25+H34+2*B7+2*H42</f>
        <v>70705.841264000002</v>
      </c>
      <c r="E51" s="1">
        <v>0.19</v>
      </c>
      <c r="F51" s="1">
        <v>3963.57</v>
      </c>
      <c r="G51" s="1">
        <f>$E$2*F51</f>
        <v>1142.300874</v>
      </c>
      <c r="H51">
        <f t="shared" si="1"/>
        <v>75811.712138000003</v>
      </c>
    </row>
    <row r="52" spans="1:8" x14ac:dyDescent="0.25">
      <c r="A52" s="6" t="s">
        <v>54</v>
      </c>
      <c r="B52" s="5">
        <v>100</v>
      </c>
      <c r="C52" s="2" t="s">
        <v>69</v>
      </c>
      <c r="D52" s="1">
        <f>8*H24+2*H25+H34+H43</f>
        <v>32921.529294</v>
      </c>
      <c r="E52" s="1">
        <v>1.68</v>
      </c>
      <c r="F52" s="1">
        <v>452.98</v>
      </c>
      <c r="G52" s="1">
        <f>$E$2*F52</f>
        <v>130.54883600000002</v>
      </c>
      <c r="H52">
        <f t="shared" si="1"/>
        <v>33505.058130000005</v>
      </c>
    </row>
  </sheetData>
  <conditionalFormatting sqref="H24:H5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1"/>
  <sheetViews>
    <sheetView topLeftCell="A14" zoomScale="70" zoomScaleNormal="70" workbookViewId="0">
      <selection activeCell="J21" sqref="J21"/>
    </sheetView>
  </sheetViews>
  <sheetFormatPr baseColWidth="10" defaultRowHeight="15" x14ac:dyDescent="0.25"/>
  <cols>
    <col min="1" max="1" width="23.85546875" bestFit="1" customWidth="1"/>
    <col min="2" max="2" width="17.140625" customWidth="1"/>
    <col min="3" max="3" width="75.140625" bestFit="1" customWidth="1"/>
    <col min="4" max="4" width="19.5703125" customWidth="1"/>
    <col min="10" max="10" width="40.5703125" bestFit="1" customWidth="1"/>
  </cols>
  <sheetData>
    <row r="2" spans="1:5" x14ac:dyDescent="0.25">
      <c r="A2" t="s">
        <v>1</v>
      </c>
      <c r="B2" t="s">
        <v>2</v>
      </c>
      <c r="D2" t="s">
        <v>9</v>
      </c>
      <c r="E2">
        <v>0.28820000000000001</v>
      </c>
    </row>
    <row r="3" spans="1:5" x14ac:dyDescent="0.25">
      <c r="A3" t="s">
        <v>0</v>
      </c>
      <c r="B3">
        <v>66</v>
      </c>
    </row>
    <row r="4" spans="1:5" x14ac:dyDescent="0.25">
      <c r="A4" t="s">
        <v>10</v>
      </c>
      <c r="B4">
        <v>19</v>
      </c>
    </row>
    <row r="5" spans="1:5" x14ac:dyDescent="0.25">
      <c r="A5" t="s">
        <v>17</v>
      </c>
      <c r="B5">
        <v>34</v>
      </c>
    </row>
    <row r="6" spans="1:5" x14ac:dyDescent="0.25">
      <c r="A6" t="s">
        <v>56</v>
      </c>
      <c r="B6">
        <v>306</v>
      </c>
      <c r="D6" t="s">
        <v>70</v>
      </c>
    </row>
    <row r="7" spans="1:5" x14ac:dyDescent="0.25">
      <c r="A7" t="s">
        <v>57</v>
      </c>
      <c r="B7">
        <v>6000</v>
      </c>
    </row>
    <row r="8" spans="1:5" x14ac:dyDescent="0.25">
      <c r="A8" t="s">
        <v>58</v>
      </c>
      <c r="B8">
        <v>11</v>
      </c>
    </row>
    <row r="9" spans="1:5" x14ac:dyDescent="0.25">
      <c r="A9" t="s">
        <v>59</v>
      </c>
      <c r="B9">
        <v>7.8</v>
      </c>
    </row>
    <row r="10" spans="1:5" x14ac:dyDescent="0.25">
      <c r="A10" t="s">
        <v>60</v>
      </c>
      <c r="B10">
        <v>920</v>
      </c>
    </row>
    <row r="11" spans="1:5" x14ac:dyDescent="0.25">
      <c r="A11" t="s">
        <v>61</v>
      </c>
      <c r="B11">
        <v>458</v>
      </c>
    </row>
    <row r="12" spans="1:5" x14ac:dyDescent="0.25">
      <c r="A12" t="s">
        <v>62</v>
      </c>
      <c r="B12">
        <v>117</v>
      </c>
    </row>
    <row r="13" spans="1:5" x14ac:dyDescent="0.25">
      <c r="A13" t="s">
        <v>63</v>
      </c>
      <c r="B13">
        <v>85</v>
      </c>
    </row>
    <row r="14" spans="1:5" x14ac:dyDescent="0.25">
      <c r="A14" t="s">
        <v>64</v>
      </c>
      <c r="B14">
        <v>210</v>
      </c>
    </row>
    <row r="15" spans="1:5" x14ac:dyDescent="0.25">
      <c r="A15" t="s">
        <v>65</v>
      </c>
      <c r="B15">
        <v>14.6</v>
      </c>
    </row>
    <row r="16" spans="1:5" x14ac:dyDescent="0.25">
      <c r="A16" t="s">
        <v>68</v>
      </c>
      <c r="B16">
        <v>56.5</v>
      </c>
    </row>
    <row r="22" spans="1:12" x14ac:dyDescent="0.25">
      <c r="A22" s="13"/>
      <c r="B22" s="3" t="s">
        <v>14</v>
      </c>
      <c r="C22" s="3" t="s">
        <v>4</v>
      </c>
      <c r="D22" s="3"/>
      <c r="E22" s="3" t="s">
        <v>6</v>
      </c>
      <c r="F22" s="3" t="s">
        <v>7</v>
      </c>
      <c r="G22" s="3" t="s">
        <v>8</v>
      </c>
      <c r="H22" s="5" t="s">
        <v>55</v>
      </c>
    </row>
    <row r="23" spans="1:12" x14ac:dyDescent="0.25">
      <c r="A23" s="9" t="s">
        <v>3</v>
      </c>
      <c r="B23" s="1"/>
      <c r="C23" s="1"/>
      <c r="D23" s="1"/>
      <c r="E23" s="1"/>
      <c r="F23" s="1"/>
      <c r="G23" s="1"/>
    </row>
    <row r="24" spans="1:12" x14ac:dyDescent="0.25">
      <c r="A24" s="22" t="s">
        <v>5</v>
      </c>
      <c r="B24" s="1">
        <v>2</v>
      </c>
      <c r="C24" s="2" t="s">
        <v>15</v>
      </c>
      <c r="D24" s="1">
        <f>40*B3</f>
        <v>2640</v>
      </c>
      <c r="E24" s="1">
        <v>3.67</v>
      </c>
      <c r="F24" s="1">
        <v>159.84</v>
      </c>
      <c r="G24" s="1">
        <f t="shared" ref="G24:G28" si="0">$E$2*F24</f>
        <v>46.065888000000001</v>
      </c>
      <c r="H24">
        <f>D24+F24+G24</f>
        <v>2845.9058880000002</v>
      </c>
      <c r="J24">
        <f>1/E24*40</f>
        <v>10.899182561307903</v>
      </c>
    </row>
    <row r="25" spans="1:12" x14ac:dyDescent="0.25">
      <c r="A25" s="22" t="s">
        <v>13</v>
      </c>
      <c r="B25" s="23">
        <v>1</v>
      </c>
      <c r="C25" s="2" t="s">
        <v>16</v>
      </c>
      <c r="D25" s="1">
        <f>50*B4+250*B5</f>
        <v>9450</v>
      </c>
      <c r="E25" s="1">
        <v>5</v>
      </c>
      <c r="F25" s="1">
        <v>117.22</v>
      </c>
      <c r="G25" s="1">
        <f t="shared" si="0"/>
        <v>33.782803999999999</v>
      </c>
      <c r="H25">
        <f t="shared" ref="H25:H38" si="1">D25+F25+G25</f>
        <v>9601.0028039999997</v>
      </c>
      <c r="J25">
        <f>1/E25*(16+6)</f>
        <v>4.4000000000000004</v>
      </c>
    </row>
    <row r="26" spans="1:12" x14ac:dyDescent="0.25">
      <c r="A26" s="23" t="s">
        <v>18</v>
      </c>
      <c r="B26" s="1">
        <v>1</v>
      </c>
      <c r="C26" s="2" t="s">
        <v>19</v>
      </c>
      <c r="D26" s="1">
        <f>20*B8+30*B9</f>
        <v>454</v>
      </c>
      <c r="E26" s="1">
        <v>13.34</v>
      </c>
      <c r="F26" s="1">
        <v>43.96</v>
      </c>
      <c r="G26" s="1">
        <f t="shared" si="0"/>
        <v>12.669272000000001</v>
      </c>
      <c r="H26">
        <f t="shared" si="1"/>
        <v>510.62927199999996</v>
      </c>
      <c r="J26">
        <f>1/E26*10</f>
        <v>0.74962518740629691</v>
      </c>
      <c r="L26" s="19"/>
    </row>
    <row r="27" spans="1:12" x14ac:dyDescent="0.25">
      <c r="A27" s="6" t="s">
        <v>24</v>
      </c>
      <c r="B27" s="1">
        <v>100</v>
      </c>
      <c r="C27" s="2" t="s">
        <v>22</v>
      </c>
      <c r="D27" s="1">
        <f>40*H24+16*H25+34*H35</f>
        <v>618766.05109199998</v>
      </c>
      <c r="E27" s="1">
        <v>1.67</v>
      </c>
      <c r="F27" s="1">
        <v>351.65</v>
      </c>
      <c r="G27" s="1">
        <f t="shared" si="0"/>
        <v>101.34553</v>
      </c>
      <c r="H27">
        <f t="shared" si="1"/>
        <v>619219.04662200005</v>
      </c>
      <c r="J27">
        <f>1/E27</f>
        <v>0.5988023952095809</v>
      </c>
      <c r="L27" s="19"/>
    </row>
    <row r="28" spans="1:12" x14ac:dyDescent="0.25">
      <c r="A28" s="12" t="s">
        <v>23</v>
      </c>
      <c r="B28" s="1">
        <v>100</v>
      </c>
      <c r="C28" s="2" t="s">
        <v>25</v>
      </c>
      <c r="D28" s="1">
        <f>2*H31+10*H26+4*H32+6*H25+7*H35</f>
        <v>151183.570198</v>
      </c>
      <c r="E28" s="1">
        <v>0.33</v>
      </c>
      <c r="F28" s="1">
        <v>1758.23</v>
      </c>
      <c r="G28" s="1">
        <f t="shared" si="0"/>
        <v>506.72188600000004</v>
      </c>
      <c r="H28">
        <f t="shared" si="1"/>
        <v>153448.52208400003</v>
      </c>
      <c r="J28" s="17">
        <f>1/E28</f>
        <v>3.0303030303030303</v>
      </c>
      <c r="K28" s="17"/>
      <c r="L28" s="19"/>
    </row>
    <row r="29" spans="1:12" x14ac:dyDescent="0.25">
      <c r="A29" s="5"/>
      <c r="B29" s="1"/>
      <c r="C29" s="1"/>
      <c r="D29" s="1"/>
      <c r="E29" s="1"/>
      <c r="F29" s="1"/>
      <c r="G29" s="1"/>
      <c r="J29" s="16" t="s">
        <v>78</v>
      </c>
      <c r="K29" s="19">
        <f>SUM(J24:J28)</f>
        <v>19.677913174226813</v>
      </c>
      <c r="L29">
        <f>K29/$K$41</f>
        <v>0.12439666233684535</v>
      </c>
    </row>
    <row r="30" spans="1:12" x14ac:dyDescent="0.25">
      <c r="A30" s="9" t="s">
        <v>26</v>
      </c>
      <c r="B30" s="1"/>
      <c r="C30" s="1"/>
      <c r="D30" s="1"/>
      <c r="E30" s="1"/>
      <c r="F30" s="1"/>
      <c r="G30" s="1"/>
      <c r="K30" s="20"/>
    </row>
    <row r="31" spans="1:12" x14ac:dyDescent="0.25">
      <c r="A31" s="23" t="s">
        <v>29</v>
      </c>
      <c r="B31" s="1">
        <v>1</v>
      </c>
      <c r="C31" s="2" t="s">
        <v>30</v>
      </c>
      <c r="D31" s="1">
        <f>4*B10+8*B12+B6</f>
        <v>4922</v>
      </c>
      <c r="E31" s="1">
        <v>2.56</v>
      </c>
      <c r="F31" s="1">
        <v>283.24</v>
      </c>
      <c r="G31" s="1">
        <f>$E$2*F31</f>
        <v>81.629768000000013</v>
      </c>
      <c r="H31">
        <f t="shared" si="1"/>
        <v>5286.8697679999996</v>
      </c>
      <c r="J31">
        <f>1/E31*2</f>
        <v>0.78125</v>
      </c>
      <c r="K31" s="19"/>
    </row>
    <row r="32" spans="1:12" x14ac:dyDescent="0.25">
      <c r="A32" s="23" t="s">
        <v>31</v>
      </c>
      <c r="B32" s="1">
        <v>1</v>
      </c>
      <c r="C32" s="2" t="s">
        <v>32</v>
      </c>
      <c r="D32" s="1">
        <f>3*B8+5*B13+3*B14</f>
        <v>1088</v>
      </c>
      <c r="E32" s="1">
        <v>3.07</v>
      </c>
      <c r="F32" s="1">
        <v>236.03</v>
      </c>
      <c r="G32" s="1">
        <f>$E$2*F32</f>
        <v>68.023846000000006</v>
      </c>
      <c r="H32">
        <f t="shared" si="1"/>
        <v>1392.053846</v>
      </c>
      <c r="J32" s="17">
        <f>1/E32*4</f>
        <v>1.3029315960912053</v>
      </c>
      <c r="K32" s="17"/>
    </row>
    <row r="33" spans="1:12" x14ac:dyDescent="0.25">
      <c r="A33" s="5"/>
      <c r="B33" s="1"/>
      <c r="C33" s="1"/>
      <c r="D33" s="1"/>
      <c r="E33" s="1"/>
      <c r="F33" s="1"/>
      <c r="G33" s="1"/>
      <c r="J33" s="16" t="s">
        <v>79</v>
      </c>
      <c r="K33" s="19">
        <f>SUM(J31:J32)</f>
        <v>2.0841815960912053</v>
      </c>
      <c r="L33">
        <f t="shared" ref="L33:L39" si="2">K33/$K$41</f>
        <v>1.3175443552479855E-2</v>
      </c>
    </row>
    <row r="34" spans="1:12" x14ac:dyDescent="0.25">
      <c r="A34" s="9" t="s">
        <v>35</v>
      </c>
      <c r="B34" s="1"/>
      <c r="C34" s="1"/>
      <c r="D34" s="1"/>
      <c r="E34" s="1"/>
      <c r="F34" s="1"/>
      <c r="G34" s="1"/>
      <c r="K34" s="19"/>
    </row>
    <row r="35" spans="1:12" x14ac:dyDescent="0.25">
      <c r="A35" s="22" t="s">
        <v>38</v>
      </c>
      <c r="B35" s="23">
        <v>1</v>
      </c>
      <c r="C35" s="2" t="s">
        <v>39</v>
      </c>
      <c r="D35" s="1">
        <f>20*B8+8*B10+10*B4</f>
        <v>7770</v>
      </c>
      <c r="E35" s="1">
        <v>0.31</v>
      </c>
      <c r="F35" s="1">
        <v>1989.41</v>
      </c>
      <c r="G35" s="1">
        <f>$E$2*F35</f>
        <v>573.34796200000005</v>
      </c>
      <c r="H35">
        <f t="shared" si="1"/>
        <v>10332.757962</v>
      </c>
      <c r="J35" s="17">
        <f>1/E35*(34+7)</f>
        <v>132.25806451612905</v>
      </c>
      <c r="K35" s="21"/>
    </row>
    <row r="36" spans="1:12" x14ac:dyDescent="0.25">
      <c r="A36" s="5"/>
      <c r="B36" s="1"/>
      <c r="C36" s="1"/>
      <c r="D36" s="1"/>
      <c r="E36" s="1"/>
      <c r="F36" s="1"/>
      <c r="G36" s="1"/>
      <c r="J36" s="16" t="s">
        <v>77</v>
      </c>
      <c r="K36">
        <f>SUM(J35)</f>
        <v>132.25806451612905</v>
      </c>
      <c r="L36">
        <f t="shared" si="2"/>
        <v>0.83608773182749174</v>
      </c>
    </row>
    <row r="37" spans="1:12" x14ac:dyDescent="0.25">
      <c r="A37" s="9" t="s">
        <v>44</v>
      </c>
      <c r="B37" s="1"/>
      <c r="C37" s="1"/>
      <c r="D37" s="1"/>
      <c r="E37" s="1"/>
      <c r="F37" s="1"/>
      <c r="G37" s="1"/>
    </row>
    <row r="38" spans="1:12" x14ac:dyDescent="0.25">
      <c r="A38" s="18" t="s">
        <v>47</v>
      </c>
      <c r="B38" s="1">
        <v>2000</v>
      </c>
      <c r="C38" s="2" t="s">
        <v>48</v>
      </c>
      <c r="D38" s="1">
        <f>H27+H28</f>
        <v>772667.56870600011</v>
      </c>
      <c r="E38" s="1">
        <v>0.24</v>
      </c>
      <c r="F38" s="1">
        <v>3170.85</v>
      </c>
      <c r="G38" s="1">
        <f>$E$2*F38</f>
        <v>913.83897000000002</v>
      </c>
      <c r="H38">
        <f t="shared" si="1"/>
        <v>776752.25767600012</v>
      </c>
      <c r="J38" s="17">
        <f>1/E38</f>
        <v>4.166666666666667</v>
      </c>
      <c r="K38" s="17"/>
    </row>
    <row r="39" spans="1:12" x14ac:dyDescent="0.25">
      <c r="J39" s="16" t="s">
        <v>76</v>
      </c>
      <c r="K39">
        <f>SUM(J38)</f>
        <v>4.166666666666667</v>
      </c>
      <c r="L39">
        <f t="shared" si="2"/>
        <v>2.6340162283183172E-2</v>
      </c>
    </row>
    <row r="40" spans="1:12" x14ac:dyDescent="0.25">
      <c r="L40" s="19"/>
    </row>
    <row r="41" spans="1:12" x14ac:dyDescent="0.25">
      <c r="J41" s="16" t="s">
        <v>80</v>
      </c>
      <c r="K41">
        <f>SUM(K29:K39)</f>
        <v>158.18682595311373</v>
      </c>
    </row>
  </sheetData>
  <conditionalFormatting sqref="K3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4:H43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9:L39">
    <cfRule type="dataBar" priority="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{BDF16AA2-396F-4E5D-AEC7-EB8761326BA0}</x14:id>
        </ext>
      </extLst>
    </cfRule>
  </conditionalFormatting>
  <conditionalFormatting sqref="J24:J28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{395963F4-3B66-4324-8957-914DA4852A0F}</x14:id>
        </ext>
      </extLst>
    </cfRule>
  </conditionalFormatting>
  <conditionalFormatting sqref="J31:J32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{07F4C7B8-9D97-44FB-A34F-7919208335C4}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DF16AA2-396F-4E5D-AEC7-EB8761326BA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L29:L39</xm:sqref>
        </x14:conditionalFormatting>
        <x14:conditionalFormatting xmlns:xm="http://schemas.microsoft.com/office/excel/2006/main">
          <x14:cfRule type="dataBar" id="{395963F4-3B66-4324-8957-914DA4852A0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J24:J28</xm:sqref>
        </x14:conditionalFormatting>
        <x14:conditionalFormatting xmlns:xm="http://schemas.microsoft.com/office/excel/2006/main">
          <x14:cfRule type="dataBar" id="{07F4C7B8-9D97-44FB-A34F-7919208335C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J31:J32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0"/>
  <sheetViews>
    <sheetView topLeftCell="A13" zoomScale="70" zoomScaleNormal="70" workbookViewId="0">
      <selection activeCell="L33" sqref="L33"/>
    </sheetView>
  </sheetViews>
  <sheetFormatPr baseColWidth="10" defaultRowHeight="15" x14ac:dyDescent="0.25"/>
  <cols>
    <col min="1" max="1" width="23.85546875" bestFit="1" customWidth="1"/>
    <col min="2" max="2" width="17.140625" customWidth="1"/>
    <col min="3" max="3" width="75.140625" bestFit="1" customWidth="1"/>
    <col min="4" max="4" width="19.5703125" customWidth="1"/>
    <col min="5" max="5" width="18.140625" bestFit="1" customWidth="1"/>
    <col min="10" max="10" width="44" bestFit="1" customWidth="1"/>
  </cols>
  <sheetData>
    <row r="2" spans="1:5" x14ac:dyDescent="0.25">
      <c r="A2" t="s">
        <v>1</v>
      </c>
      <c r="B2" t="s">
        <v>2</v>
      </c>
      <c r="D2" t="s">
        <v>9</v>
      </c>
      <c r="E2">
        <v>0.28820000000000001</v>
      </c>
    </row>
    <row r="3" spans="1:5" x14ac:dyDescent="0.25">
      <c r="A3" t="s">
        <v>0</v>
      </c>
      <c r="B3">
        <v>66</v>
      </c>
    </row>
    <row r="4" spans="1:5" x14ac:dyDescent="0.25">
      <c r="A4" s="8" t="s">
        <v>10</v>
      </c>
      <c r="B4">
        <v>19</v>
      </c>
    </row>
    <row r="5" spans="1:5" x14ac:dyDescent="0.25">
      <c r="A5" s="8" t="s">
        <v>17</v>
      </c>
      <c r="B5">
        <v>34</v>
      </c>
    </row>
    <row r="6" spans="1:5" x14ac:dyDescent="0.25">
      <c r="A6" t="s">
        <v>56</v>
      </c>
      <c r="B6">
        <v>306</v>
      </c>
      <c r="D6" t="s">
        <v>70</v>
      </c>
    </row>
    <row r="7" spans="1:5" x14ac:dyDescent="0.25">
      <c r="A7" t="s">
        <v>57</v>
      </c>
      <c r="B7">
        <v>6000</v>
      </c>
    </row>
    <row r="8" spans="1:5" x14ac:dyDescent="0.25">
      <c r="A8" t="s">
        <v>58</v>
      </c>
      <c r="B8">
        <v>11</v>
      </c>
    </row>
    <row r="9" spans="1:5" x14ac:dyDescent="0.25">
      <c r="A9" t="s">
        <v>59</v>
      </c>
      <c r="B9">
        <v>7.8</v>
      </c>
    </row>
    <row r="10" spans="1:5" x14ac:dyDescent="0.25">
      <c r="A10" t="s">
        <v>60</v>
      </c>
      <c r="B10">
        <v>920</v>
      </c>
    </row>
    <row r="11" spans="1:5" x14ac:dyDescent="0.25">
      <c r="A11" t="s">
        <v>61</v>
      </c>
      <c r="B11">
        <v>458</v>
      </c>
    </row>
    <row r="12" spans="1:5" x14ac:dyDescent="0.25">
      <c r="A12" t="s">
        <v>62</v>
      </c>
      <c r="B12">
        <v>117</v>
      </c>
    </row>
    <row r="13" spans="1:5" x14ac:dyDescent="0.25">
      <c r="A13" t="s">
        <v>63</v>
      </c>
      <c r="B13">
        <v>85</v>
      </c>
    </row>
    <row r="14" spans="1:5" x14ac:dyDescent="0.25">
      <c r="A14" t="s">
        <v>64</v>
      </c>
      <c r="B14">
        <v>210</v>
      </c>
    </row>
    <row r="15" spans="1:5" x14ac:dyDescent="0.25">
      <c r="A15" s="8" t="s">
        <v>65</v>
      </c>
      <c r="B15">
        <v>14.6</v>
      </c>
    </row>
    <row r="16" spans="1:5" x14ac:dyDescent="0.25">
      <c r="A16" t="s">
        <v>68</v>
      </c>
      <c r="B16">
        <v>56.5</v>
      </c>
    </row>
    <row r="17" spans="1:12" x14ac:dyDescent="0.25">
      <c r="A17" s="5"/>
    </row>
    <row r="22" spans="1:12" x14ac:dyDescent="0.25">
      <c r="A22" s="3"/>
      <c r="B22" s="3" t="s">
        <v>14</v>
      </c>
      <c r="C22" s="3" t="s">
        <v>4</v>
      </c>
      <c r="D22" s="3"/>
      <c r="E22" s="3" t="s">
        <v>6</v>
      </c>
      <c r="F22" s="3" t="s">
        <v>7</v>
      </c>
      <c r="G22" s="3" t="s">
        <v>8</v>
      </c>
      <c r="H22" s="5" t="s">
        <v>55</v>
      </c>
      <c r="K22" t="s">
        <v>81</v>
      </c>
      <c r="L22" t="s">
        <v>82</v>
      </c>
    </row>
    <row r="23" spans="1:12" x14ac:dyDescent="0.25">
      <c r="A23" s="9" t="s">
        <v>3</v>
      </c>
      <c r="B23" s="1"/>
      <c r="C23" s="1"/>
      <c r="D23" s="1"/>
      <c r="E23" s="1"/>
      <c r="F23" s="1"/>
      <c r="G23" s="1"/>
    </row>
    <row r="24" spans="1:12" x14ac:dyDescent="0.25">
      <c r="A24" s="15" t="s">
        <v>5</v>
      </c>
      <c r="B24" s="1">
        <v>2</v>
      </c>
      <c r="C24" s="2" t="s">
        <v>15</v>
      </c>
      <c r="D24" s="1">
        <f>40*B3</f>
        <v>2640</v>
      </c>
      <c r="E24" s="1">
        <v>3.67</v>
      </c>
      <c r="F24" s="1">
        <v>159.84</v>
      </c>
      <c r="G24" s="1">
        <f t="shared" ref="G24:G26" si="0">$E$2*F24</f>
        <v>46.065888000000001</v>
      </c>
      <c r="H24">
        <f>D24+F24+G24</f>
        <v>2845.9058880000002</v>
      </c>
      <c r="J24">
        <f>1/E24*8</f>
        <v>2.1798365122615806</v>
      </c>
    </row>
    <row r="25" spans="1:12" x14ac:dyDescent="0.25">
      <c r="A25" s="15" t="s">
        <v>13</v>
      </c>
      <c r="B25" s="1">
        <v>1</v>
      </c>
      <c r="C25" s="2" t="s">
        <v>16</v>
      </c>
      <c r="D25" s="1">
        <f>50*B4+250*B5</f>
        <v>9450</v>
      </c>
      <c r="E25" s="1">
        <v>5</v>
      </c>
      <c r="F25" s="1">
        <v>117.22</v>
      </c>
      <c r="G25" s="1">
        <f t="shared" si="0"/>
        <v>33.782803999999999</v>
      </c>
      <c r="H25">
        <f t="shared" ref="H25:H37" si="1">D25+F25+G25</f>
        <v>9601.0028039999997</v>
      </c>
      <c r="J25">
        <f>1/E25*2</f>
        <v>0.4</v>
      </c>
    </row>
    <row r="26" spans="1:12" x14ac:dyDescent="0.25">
      <c r="A26" s="12" t="s">
        <v>20</v>
      </c>
      <c r="B26" s="1">
        <v>20</v>
      </c>
      <c r="C26" s="2" t="s">
        <v>21</v>
      </c>
      <c r="D26" s="1">
        <f>8*H24+2*H25+2*H29+4*H34+2*H30</f>
        <v>100316.59010000002</v>
      </c>
      <c r="E26" s="1">
        <v>3.34</v>
      </c>
      <c r="F26" s="1">
        <v>175.82</v>
      </c>
      <c r="G26" s="1">
        <f t="shared" si="0"/>
        <v>50.671323999999998</v>
      </c>
      <c r="H26">
        <f t="shared" si="1"/>
        <v>100543.08142400002</v>
      </c>
      <c r="J26" s="17">
        <f>1/E26</f>
        <v>0.29940119760479045</v>
      </c>
      <c r="K26" s="17"/>
    </row>
    <row r="27" spans="1:12" x14ac:dyDescent="0.25">
      <c r="A27" s="1"/>
      <c r="B27" s="1"/>
      <c r="C27" s="1"/>
      <c r="D27" s="1"/>
      <c r="E27" s="1"/>
      <c r="F27" s="1"/>
      <c r="G27" s="1"/>
      <c r="J27" s="16" t="s">
        <v>72</v>
      </c>
      <c r="K27">
        <f>SUM(J24:J26)</f>
        <v>2.8792377098663708</v>
      </c>
      <c r="L27">
        <f>K27/$K$40</f>
        <v>0.20581606753315429</v>
      </c>
    </row>
    <row r="28" spans="1:12" x14ac:dyDescent="0.25">
      <c r="A28" s="9" t="s">
        <v>26</v>
      </c>
      <c r="B28" s="1"/>
      <c r="C28" s="1"/>
      <c r="D28" s="1"/>
      <c r="E28" s="1"/>
      <c r="F28" s="1"/>
      <c r="G28" s="1"/>
    </row>
    <row r="29" spans="1:12" x14ac:dyDescent="0.25">
      <c r="A29" s="15" t="s">
        <v>27</v>
      </c>
      <c r="B29" s="1">
        <v>1</v>
      </c>
      <c r="C29" s="2" t="s">
        <v>28</v>
      </c>
      <c r="D29" s="1">
        <f>4*B10+2*B11</f>
        <v>4596</v>
      </c>
      <c r="E29" s="1">
        <v>2.56</v>
      </c>
      <c r="F29" s="1">
        <v>283.24</v>
      </c>
      <c r="G29" s="1">
        <f>$E$2*F29</f>
        <v>81.629768000000013</v>
      </c>
      <c r="H29">
        <f t="shared" si="1"/>
        <v>4960.8697679999996</v>
      </c>
      <c r="J29">
        <f>1/E29*2</f>
        <v>0.78125</v>
      </c>
    </row>
    <row r="30" spans="1:12" x14ac:dyDescent="0.25">
      <c r="A30" s="15" t="s">
        <v>31</v>
      </c>
      <c r="B30" s="1">
        <v>1</v>
      </c>
      <c r="C30" s="2" t="s">
        <v>32</v>
      </c>
      <c r="D30" s="1">
        <f>3*B8+5*B13+3*B14</f>
        <v>1088</v>
      </c>
      <c r="E30" s="1">
        <v>3.07</v>
      </c>
      <c r="F30" s="1">
        <v>236.03</v>
      </c>
      <c r="G30" s="1">
        <f>$E$2*F30</f>
        <v>68.023846000000006</v>
      </c>
      <c r="H30">
        <f t="shared" si="1"/>
        <v>1392.053846</v>
      </c>
      <c r="J30" s="17">
        <f>1/E30*2</f>
        <v>0.65146579804560267</v>
      </c>
      <c r="K30" s="17"/>
    </row>
    <row r="31" spans="1:12" x14ac:dyDescent="0.25">
      <c r="A31" s="1"/>
      <c r="B31" s="1"/>
      <c r="C31" s="1"/>
      <c r="D31" s="1"/>
      <c r="E31" s="1"/>
      <c r="F31" s="1"/>
      <c r="G31" s="1"/>
      <c r="J31" s="16" t="s">
        <v>75</v>
      </c>
      <c r="K31">
        <f>SUM(J29:J30)</f>
        <v>1.4327157980456027</v>
      </c>
      <c r="L31">
        <f t="shared" ref="L31:L38" si="2">K31/$K$40</f>
        <v>0.10241458370592693</v>
      </c>
    </row>
    <row r="32" spans="1:12" x14ac:dyDescent="0.25">
      <c r="A32" s="9" t="s">
        <v>35</v>
      </c>
      <c r="B32" s="1"/>
      <c r="C32" s="1"/>
      <c r="D32" s="1"/>
      <c r="E32" s="1"/>
      <c r="F32" s="1"/>
      <c r="G32" s="1"/>
    </row>
    <row r="33" spans="1:12" x14ac:dyDescent="0.25">
      <c r="A33" s="11" t="s">
        <v>36</v>
      </c>
      <c r="B33" s="1">
        <v>1</v>
      </c>
      <c r="C33" s="2" t="s">
        <v>37</v>
      </c>
      <c r="D33" s="1">
        <f>30*B4+100*B5+50*B15</f>
        <v>4700</v>
      </c>
      <c r="E33" s="1">
        <v>0.31</v>
      </c>
      <c r="F33" s="1">
        <v>1989.41</v>
      </c>
      <c r="G33" s="1">
        <f>$E$2*F33</f>
        <v>573.34796200000005</v>
      </c>
      <c r="H33">
        <f t="shared" si="1"/>
        <v>7262.7579619999997</v>
      </c>
      <c r="J33">
        <f>1/E33</f>
        <v>3.2258064516129035</v>
      </c>
    </row>
    <row r="34" spans="1:12" x14ac:dyDescent="0.25">
      <c r="A34" s="15" t="s">
        <v>40</v>
      </c>
      <c r="B34" s="1">
        <v>1</v>
      </c>
      <c r="C34" s="2" t="s">
        <v>41</v>
      </c>
      <c r="D34" s="1">
        <f>8*B10+30*B13+15*B15</f>
        <v>10129</v>
      </c>
      <c r="E34" s="1">
        <v>0.62</v>
      </c>
      <c r="F34" s="1">
        <v>994.7</v>
      </c>
      <c r="G34" s="1">
        <f>$E$2*F34</f>
        <v>286.67254000000003</v>
      </c>
      <c r="H34">
        <f t="shared" si="1"/>
        <v>11410.37254</v>
      </c>
      <c r="J34" s="17">
        <f>1/E34*4</f>
        <v>6.4516129032258069</v>
      </c>
      <c r="K34" s="17"/>
    </row>
    <row r="35" spans="1:12" x14ac:dyDescent="0.25">
      <c r="A35" s="1"/>
      <c r="B35" s="1"/>
      <c r="C35" s="1"/>
      <c r="D35" s="1"/>
      <c r="E35" s="1"/>
      <c r="F35" s="1"/>
      <c r="G35" s="1"/>
      <c r="J35" s="16" t="s">
        <v>74</v>
      </c>
      <c r="K35">
        <f>SUM(J33:J34)</f>
        <v>9.67741935483871</v>
      </c>
      <c r="L35">
        <f t="shared" si="2"/>
        <v>0.69176934876091867</v>
      </c>
    </row>
    <row r="36" spans="1:12" x14ac:dyDescent="0.25">
      <c r="A36" s="9" t="s">
        <v>44</v>
      </c>
      <c r="B36" s="1"/>
      <c r="C36" s="1"/>
      <c r="D36" s="1"/>
      <c r="E36" s="1"/>
      <c r="F36" s="1"/>
      <c r="G36" s="1"/>
    </row>
    <row r="37" spans="1:12" x14ac:dyDescent="0.25">
      <c r="A37" s="10" t="s">
        <v>45</v>
      </c>
      <c r="B37" s="1">
        <v>20</v>
      </c>
      <c r="C37" s="2" t="s">
        <v>46</v>
      </c>
      <c r="D37" s="1">
        <f>H33+H26</f>
        <v>107805.83938600002</v>
      </c>
      <c r="E37" s="1">
        <v>0.72</v>
      </c>
      <c r="F37" s="1">
        <v>1056.95</v>
      </c>
      <c r="G37" s="1">
        <f>$E$2*F37</f>
        <v>304.61299000000002</v>
      </c>
      <c r="H37">
        <f t="shared" si="1"/>
        <v>109167.40237600001</v>
      </c>
      <c r="J37" s="17">
        <f>1/E37</f>
        <v>1.3888888888888888</v>
      </c>
      <c r="K37" s="17"/>
    </row>
    <row r="38" spans="1:12" x14ac:dyDescent="0.25">
      <c r="J38" s="16" t="s">
        <v>73</v>
      </c>
      <c r="K38">
        <f>SUM(J37)</f>
        <v>1.3888888888888888</v>
      </c>
      <c r="L38">
        <f t="shared" si="2"/>
        <v>9.9281712090687396E-2</v>
      </c>
    </row>
    <row r="40" spans="1:12" x14ac:dyDescent="0.25">
      <c r="J40" t="s">
        <v>71</v>
      </c>
      <c r="K40">
        <f>SUM(K23:K37)</f>
        <v>13.989372862750685</v>
      </c>
    </row>
  </sheetData>
  <conditionalFormatting sqref="H24:H38 J40 H40:H4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7:L38">
    <cfRule type="dataBar" priority="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{9BAE95EA-14E8-4362-9C45-851007743641}</x14:id>
        </ext>
      </extLst>
    </cfRule>
  </conditionalFormatting>
  <conditionalFormatting sqref="J24:J26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{E33AF4C7-0A01-495A-A581-93B8264FCEF6}</x14:id>
        </ext>
      </extLst>
    </cfRule>
  </conditionalFormatting>
  <conditionalFormatting sqref="J29:J30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{16857896-B1BA-4502-B546-1A8C3AC24EEF}</x14:id>
        </ext>
      </extLst>
    </cfRule>
  </conditionalFormatting>
  <conditionalFormatting sqref="J33:J34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{0E8D3099-D8D3-4D8F-9E07-3AEDEFCD3D0A}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BAE95EA-14E8-4362-9C45-85100774364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L27:L38</xm:sqref>
        </x14:conditionalFormatting>
        <x14:conditionalFormatting xmlns:xm="http://schemas.microsoft.com/office/excel/2006/main">
          <x14:cfRule type="dataBar" id="{E33AF4C7-0A01-495A-A581-93B8264FCEF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J24:J26</xm:sqref>
        </x14:conditionalFormatting>
        <x14:conditionalFormatting xmlns:xm="http://schemas.microsoft.com/office/excel/2006/main">
          <x14:cfRule type="dataBar" id="{16857896-B1BA-4502-B546-1A8C3AC24EE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J29:J30</xm:sqref>
        </x14:conditionalFormatting>
        <x14:conditionalFormatting xmlns:xm="http://schemas.microsoft.com/office/excel/2006/main">
          <x14:cfRule type="dataBar" id="{0E8D3099-D8D3-4D8F-9E07-3AEDEFCD3D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J33:J34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L32"/>
  <sheetViews>
    <sheetView tabSelected="1" topLeftCell="A4" zoomScale="70" zoomScaleNormal="70" workbookViewId="0">
      <selection activeCell="I12" sqref="I12"/>
    </sheetView>
  </sheetViews>
  <sheetFormatPr baseColWidth="10" defaultRowHeight="15" x14ac:dyDescent="0.25"/>
  <cols>
    <col min="3" max="3" width="13.5703125" bestFit="1" customWidth="1"/>
    <col min="4" max="4" width="14.28515625" bestFit="1" customWidth="1"/>
    <col min="5" max="5" width="23.85546875" bestFit="1" customWidth="1"/>
    <col min="8" max="8" width="14.5703125" bestFit="1" customWidth="1"/>
    <col min="9" max="9" width="21.42578125" bestFit="1" customWidth="1"/>
    <col min="10" max="10" width="18.7109375" customWidth="1"/>
    <col min="12" max="12" width="19.5703125" customWidth="1"/>
  </cols>
  <sheetData>
    <row r="4" spans="3:12" x14ac:dyDescent="0.25">
      <c r="C4" t="s">
        <v>85</v>
      </c>
      <c r="D4" t="s">
        <v>83</v>
      </c>
      <c r="E4" t="s">
        <v>86</v>
      </c>
      <c r="I4" t="s">
        <v>89</v>
      </c>
      <c r="J4">
        <v>780000</v>
      </c>
    </row>
    <row r="5" spans="3:12" x14ac:dyDescent="0.25">
      <c r="C5">
        <v>1</v>
      </c>
      <c r="D5">
        <v>124200</v>
      </c>
      <c r="E5">
        <v>128</v>
      </c>
    </row>
    <row r="6" spans="3:12" x14ac:dyDescent="0.25">
      <c r="C6">
        <v>2</v>
      </c>
      <c r="D6">
        <f>124000*(C6-1)+D5</f>
        <v>248200</v>
      </c>
      <c r="E6">
        <f>E5/2</f>
        <v>64</v>
      </c>
      <c r="I6" t="s">
        <v>90</v>
      </c>
      <c r="J6">
        <f>298*2800</f>
        <v>834400</v>
      </c>
    </row>
    <row r="7" spans="3:12" x14ac:dyDescent="0.25">
      <c r="C7">
        <v>3</v>
      </c>
      <c r="D7">
        <f>124000*(C7-1)+D6</f>
        <v>496200</v>
      </c>
      <c r="E7">
        <f t="shared" ref="E7:E14" si="0">E6/2</f>
        <v>32</v>
      </c>
    </row>
    <row r="8" spans="3:12" x14ac:dyDescent="0.25">
      <c r="C8">
        <v>4</v>
      </c>
      <c r="D8">
        <f>124000*(C8-1)+D7</f>
        <v>868200</v>
      </c>
      <c r="E8">
        <f t="shared" si="0"/>
        <v>16</v>
      </c>
    </row>
    <row r="9" spans="3:12" x14ac:dyDescent="0.25">
      <c r="C9">
        <v>5</v>
      </c>
      <c r="D9">
        <f>124000*(C9-1)+D8</f>
        <v>1364200</v>
      </c>
      <c r="E9">
        <f t="shared" si="0"/>
        <v>8</v>
      </c>
      <c r="G9" t="s">
        <v>100</v>
      </c>
      <c r="J9" t="s">
        <v>93</v>
      </c>
      <c r="K9" t="s">
        <v>94</v>
      </c>
    </row>
    <row r="10" spans="3:12" x14ac:dyDescent="0.25">
      <c r="C10">
        <v>6</v>
      </c>
      <c r="D10">
        <f t="shared" ref="D10:D14" si="1">124000*(C10-1)+D9</f>
        <v>1984200</v>
      </c>
      <c r="E10">
        <f t="shared" si="0"/>
        <v>4</v>
      </c>
      <c r="G10">
        <v>6</v>
      </c>
      <c r="H10" t="s">
        <v>91</v>
      </c>
      <c r="I10">
        <v>10</v>
      </c>
      <c r="J10">
        <f>LOOKUP(I10,C5:C14,D5:D14)</f>
        <v>5704200</v>
      </c>
      <c r="K10">
        <f>LOOKUP(J10,D5:D14,E5:E14)</f>
        <v>0.25</v>
      </c>
    </row>
    <row r="11" spans="3:12" x14ac:dyDescent="0.25">
      <c r="C11">
        <v>7</v>
      </c>
      <c r="D11">
        <f t="shared" si="1"/>
        <v>2728200</v>
      </c>
      <c r="E11">
        <f t="shared" si="0"/>
        <v>2</v>
      </c>
      <c r="H11" t="s">
        <v>92</v>
      </c>
      <c r="I11">
        <v>3</v>
      </c>
      <c r="J11">
        <f>LOOKUP(I11,C18:C27,D18:D27)</f>
        <v>1192000</v>
      </c>
      <c r="K11">
        <f>LOOKUP(I11,C18:C27,E18:E27)</f>
        <v>6.25E-2</v>
      </c>
    </row>
    <row r="12" spans="3:12" x14ac:dyDescent="0.25">
      <c r="C12">
        <v>8</v>
      </c>
      <c r="D12">
        <f t="shared" si="1"/>
        <v>3596200</v>
      </c>
      <c r="E12">
        <f t="shared" si="0"/>
        <v>1</v>
      </c>
    </row>
    <row r="13" spans="3:12" x14ac:dyDescent="0.25">
      <c r="C13">
        <v>9</v>
      </c>
      <c r="D13">
        <f t="shared" si="1"/>
        <v>4588200</v>
      </c>
      <c r="E13">
        <f t="shared" si="0"/>
        <v>0.5</v>
      </c>
    </row>
    <row r="14" spans="3:12" x14ac:dyDescent="0.25">
      <c r="C14">
        <v>10</v>
      </c>
      <c r="D14">
        <f t="shared" si="1"/>
        <v>5704200</v>
      </c>
      <c r="E14">
        <f t="shared" si="0"/>
        <v>0.25</v>
      </c>
      <c r="K14" t="s">
        <v>95</v>
      </c>
      <c r="L14" s="24">
        <f>(J6*(1-K11)*24/K10)*G10</f>
        <v>450576000</v>
      </c>
    </row>
    <row r="15" spans="3:12" x14ac:dyDescent="0.25">
      <c r="K15" t="s">
        <v>96</v>
      </c>
      <c r="L15" s="24">
        <f>K11*J6+J11+J10*G10</f>
        <v>35469350</v>
      </c>
    </row>
    <row r="17" spans="3:12" x14ac:dyDescent="0.25">
      <c r="C17" t="s">
        <v>87</v>
      </c>
      <c r="D17" t="s">
        <v>88</v>
      </c>
      <c r="E17" t="s">
        <v>84</v>
      </c>
      <c r="K17" t="s">
        <v>97</v>
      </c>
      <c r="L17">
        <f>L14/L15</f>
        <v>12.703249425207961</v>
      </c>
    </row>
    <row r="18" spans="3:12" x14ac:dyDescent="0.25">
      <c r="C18">
        <v>0</v>
      </c>
      <c r="D18">
        <v>0</v>
      </c>
      <c r="E18">
        <v>0.5</v>
      </c>
    </row>
    <row r="19" spans="3:12" x14ac:dyDescent="0.25">
      <c r="C19">
        <v>1</v>
      </c>
      <c r="D19">
        <f>298*(1/0.125)*12</f>
        <v>28608</v>
      </c>
      <c r="E19">
        <f>E18/2</f>
        <v>0.25</v>
      </c>
    </row>
    <row r="20" spans="3:12" x14ac:dyDescent="0.25">
      <c r="C20">
        <v>2</v>
      </c>
      <c r="D20">
        <f>298*(1/0.125)*50</f>
        <v>119200</v>
      </c>
      <c r="E20">
        <f t="shared" ref="E20:E28" si="2">E19/2</f>
        <v>0.125</v>
      </c>
      <c r="H20" s="25" t="s">
        <v>101</v>
      </c>
      <c r="I20" s="26"/>
      <c r="K20" s="25" t="s">
        <v>102</v>
      </c>
      <c r="L20" s="26"/>
    </row>
    <row r="21" spans="3:12" x14ac:dyDescent="0.25">
      <c r="C21">
        <v>3</v>
      </c>
      <c r="D21">
        <f>298*(1/0.125)*500</f>
        <v>1192000</v>
      </c>
      <c r="E21">
        <f t="shared" si="2"/>
        <v>6.25E-2</v>
      </c>
      <c r="H21" s="27"/>
      <c r="I21" s="28" t="s">
        <v>98</v>
      </c>
      <c r="K21" s="27"/>
      <c r="L21" s="28" t="s">
        <v>98</v>
      </c>
    </row>
    <row r="22" spans="3:12" x14ac:dyDescent="0.25">
      <c r="C22">
        <v>4</v>
      </c>
      <c r="D22">
        <f>298*(1/0.125)*2000</f>
        <v>4768000</v>
      </c>
      <c r="E22">
        <f t="shared" si="2"/>
        <v>3.125E-2</v>
      </c>
      <c r="H22" s="27" t="s">
        <v>91</v>
      </c>
      <c r="I22" s="28">
        <v>10</v>
      </c>
      <c r="K22" s="27" t="s">
        <v>91</v>
      </c>
      <c r="L22" s="28">
        <v>10</v>
      </c>
    </row>
    <row r="23" spans="3:12" x14ac:dyDescent="0.25">
      <c r="C23">
        <v>5</v>
      </c>
      <c r="D23">
        <f>298*(1/0.125)*5000</f>
        <v>11920000</v>
      </c>
      <c r="E23">
        <f t="shared" si="2"/>
        <v>1.5625E-2</v>
      </c>
      <c r="H23" s="27" t="s">
        <v>92</v>
      </c>
      <c r="I23" s="28">
        <v>3</v>
      </c>
      <c r="K23" s="27" t="s">
        <v>92</v>
      </c>
      <c r="L23" s="28">
        <v>3</v>
      </c>
    </row>
    <row r="24" spans="3:12" x14ac:dyDescent="0.25">
      <c r="C24">
        <v>6</v>
      </c>
      <c r="D24">
        <f>298*(1/0.125)*10000</f>
        <v>23840000</v>
      </c>
      <c r="E24">
        <f t="shared" si="2"/>
        <v>7.8125E-3</v>
      </c>
      <c r="H24" s="27"/>
      <c r="I24" s="28"/>
      <c r="K24" s="27" t="s">
        <v>103</v>
      </c>
      <c r="L24" s="28">
        <v>6</v>
      </c>
    </row>
    <row r="25" spans="3:12" x14ac:dyDescent="0.25">
      <c r="C25">
        <v>7</v>
      </c>
      <c r="D25">
        <f t="shared" ref="D25:D28" si="3">298*(1/0.125)*10000</f>
        <v>23840000</v>
      </c>
      <c r="E25">
        <f t="shared" si="2"/>
        <v>3.90625E-3</v>
      </c>
      <c r="H25" s="29"/>
      <c r="I25" s="30"/>
      <c r="K25" s="29"/>
      <c r="L25" s="30"/>
    </row>
    <row r="26" spans="3:12" x14ac:dyDescent="0.25">
      <c r="C26">
        <v>8</v>
      </c>
      <c r="D26">
        <f t="shared" si="3"/>
        <v>23840000</v>
      </c>
      <c r="E26">
        <f t="shared" si="2"/>
        <v>1.953125E-3</v>
      </c>
      <c r="H26" s="29"/>
      <c r="I26" s="30"/>
      <c r="K26" s="29"/>
      <c r="L26" s="30"/>
    </row>
    <row r="27" spans="3:12" x14ac:dyDescent="0.25">
      <c r="C27">
        <v>9</v>
      </c>
      <c r="D27">
        <f t="shared" si="3"/>
        <v>23840000</v>
      </c>
      <c r="E27">
        <f t="shared" si="2"/>
        <v>9.765625E-4</v>
      </c>
      <c r="H27" s="29"/>
      <c r="I27" s="30"/>
      <c r="K27" s="29"/>
      <c r="L27" s="30"/>
    </row>
    <row r="28" spans="3:12" x14ac:dyDescent="0.25">
      <c r="C28">
        <v>10</v>
      </c>
      <c r="D28">
        <f t="shared" si="3"/>
        <v>23840000</v>
      </c>
      <c r="E28">
        <f t="shared" si="2"/>
        <v>4.8828125E-4</v>
      </c>
      <c r="H28" s="27"/>
      <c r="I28" s="28" t="s">
        <v>99</v>
      </c>
      <c r="K28" s="27"/>
      <c r="L28" s="28" t="s">
        <v>99</v>
      </c>
    </row>
    <row r="29" spans="3:12" x14ac:dyDescent="0.25">
      <c r="H29" s="27" t="s">
        <v>91</v>
      </c>
      <c r="I29" s="28">
        <v>10</v>
      </c>
      <c r="K29" s="27" t="s">
        <v>91</v>
      </c>
      <c r="L29" s="28">
        <v>10</v>
      </c>
    </row>
    <row r="30" spans="3:12" x14ac:dyDescent="0.25">
      <c r="H30" s="27" t="s">
        <v>92</v>
      </c>
      <c r="I30" s="28">
        <v>10</v>
      </c>
      <c r="K30" s="27" t="s">
        <v>92</v>
      </c>
      <c r="L30" s="28">
        <v>10</v>
      </c>
    </row>
    <row r="31" spans="3:12" x14ac:dyDescent="0.25">
      <c r="H31" s="27"/>
      <c r="I31" s="28"/>
      <c r="K31" s="27" t="s">
        <v>103</v>
      </c>
      <c r="L31" s="28">
        <v>6</v>
      </c>
    </row>
    <row r="32" spans="3:12" x14ac:dyDescent="0.25">
      <c r="H32" s="31"/>
      <c r="I32" s="32"/>
      <c r="K32" s="31"/>
      <c r="L32" s="3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57"/>
  <sheetViews>
    <sheetView topLeftCell="A25" zoomScale="70" zoomScaleNormal="70" workbookViewId="0">
      <selection activeCell="A50" sqref="A50"/>
    </sheetView>
  </sheetViews>
  <sheetFormatPr baseColWidth="10" defaultRowHeight="15" x14ac:dyDescent="0.25"/>
  <cols>
    <col min="1" max="1" width="23.85546875" bestFit="1" customWidth="1"/>
    <col min="2" max="2" width="17.140625" customWidth="1"/>
    <col min="3" max="3" width="75.140625" bestFit="1" customWidth="1"/>
    <col min="4" max="4" width="19.5703125" customWidth="1"/>
  </cols>
  <sheetData>
    <row r="2" spans="1:5" x14ac:dyDescent="0.25">
      <c r="A2" t="s">
        <v>1</v>
      </c>
      <c r="B2" t="s">
        <v>2</v>
      </c>
      <c r="D2" t="s">
        <v>9</v>
      </c>
      <c r="E2">
        <v>0.28820000000000001</v>
      </c>
    </row>
    <row r="3" spans="1:5" x14ac:dyDescent="0.25">
      <c r="A3" t="s">
        <v>0</v>
      </c>
      <c r="B3">
        <v>66</v>
      </c>
    </row>
    <row r="4" spans="1:5" x14ac:dyDescent="0.25">
      <c r="A4" t="s">
        <v>10</v>
      </c>
      <c r="B4">
        <v>19</v>
      </c>
    </row>
    <row r="5" spans="1:5" x14ac:dyDescent="0.25">
      <c r="A5" t="s">
        <v>17</v>
      </c>
      <c r="B5">
        <v>34</v>
      </c>
    </row>
    <row r="6" spans="1:5" x14ac:dyDescent="0.25">
      <c r="A6" t="s">
        <v>56</v>
      </c>
      <c r="B6">
        <v>306</v>
      </c>
      <c r="D6" t="s">
        <v>70</v>
      </c>
    </row>
    <row r="7" spans="1:5" x14ac:dyDescent="0.25">
      <c r="A7" t="s">
        <v>57</v>
      </c>
      <c r="B7">
        <v>6000</v>
      </c>
    </row>
    <row r="8" spans="1:5" x14ac:dyDescent="0.25">
      <c r="A8" t="s">
        <v>58</v>
      </c>
      <c r="B8">
        <v>11</v>
      </c>
    </row>
    <row r="9" spans="1:5" x14ac:dyDescent="0.25">
      <c r="A9" t="s">
        <v>59</v>
      </c>
      <c r="B9">
        <v>7.8</v>
      </c>
    </row>
    <row r="10" spans="1:5" x14ac:dyDescent="0.25">
      <c r="A10" t="s">
        <v>60</v>
      </c>
      <c r="B10">
        <v>920</v>
      </c>
    </row>
    <row r="11" spans="1:5" x14ac:dyDescent="0.25">
      <c r="A11" t="s">
        <v>61</v>
      </c>
      <c r="B11">
        <v>458</v>
      </c>
    </row>
    <row r="12" spans="1:5" x14ac:dyDescent="0.25">
      <c r="A12" t="s">
        <v>62</v>
      </c>
      <c r="B12">
        <v>117</v>
      </c>
    </row>
    <row r="13" spans="1:5" x14ac:dyDescent="0.25">
      <c r="A13" t="s">
        <v>63</v>
      </c>
      <c r="B13">
        <v>85</v>
      </c>
    </row>
    <row r="14" spans="1:5" x14ac:dyDescent="0.25">
      <c r="A14" t="s">
        <v>64</v>
      </c>
      <c r="B14">
        <v>210</v>
      </c>
    </row>
    <row r="15" spans="1:5" x14ac:dyDescent="0.25">
      <c r="A15" t="s">
        <v>65</v>
      </c>
      <c r="B15">
        <v>14.6</v>
      </c>
    </row>
    <row r="16" spans="1:5" x14ac:dyDescent="0.25">
      <c r="A16" t="s">
        <v>68</v>
      </c>
      <c r="B16">
        <v>56.5</v>
      </c>
    </row>
    <row r="22" spans="1:8" x14ac:dyDescent="0.25">
      <c r="A22" s="13"/>
      <c r="B22" s="3" t="s">
        <v>14</v>
      </c>
      <c r="C22" s="3" t="s">
        <v>4</v>
      </c>
      <c r="D22" s="3"/>
      <c r="E22" s="3" t="s">
        <v>6</v>
      </c>
      <c r="F22" s="3" t="s">
        <v>7</v>
      </c>
      <c r="G22" s="3" t="s">
        <v>8</v>
      </c>
      <c r="H22" s="5" t="s">
        <v>55</v>
      </c>
    </row>
    <row r="23" spans="1:8" x14ac:dyDescent="0.25">
      <c r="A23" s="9" t="s">
        <v>3</v>
      </c>
      <c r="B23" s="1"/>
      <c r="C23" s="1"/>
      <c r="D23" s="1"/>
      <c r="E23" s="1"/>
      <c r="F23" s="1"/>
      <c r="G23" s="1"/>
    </row>
    <row r="24" spans="1:8" x14ac:dyDescent="0.25">
      <c r="A24" s="5" t="s">
        <v>5</v>
      </c>
      <c r="B24" s="1">
        <v>2</v>
      </c>
      <c r="C24" s="2" t="s">
        <v>15</v>
      </c>
      <c r="D24" s="1">
        <f>40*B3</f>
        <v>2640</v>
      </c>
      <c r="E24" s="1">
        <v>3.67</v>
      </c>
      <c r="F24" s="1">
        <v>159.84</v>
      </c>
      <c r="G24" s="1">
        <f t="shared" ref="G24:G30" si="0">$E$2*F24</f>
        <v>46.065888000000001</v>
      </c>
      <c r="H24">
        <f>D24+F24+G24</f>
        <v>2845.9058880000002</v>
      </c>
    </row>
    <row r="25" spans="1:8" x14ac:dyDescent="0.25">
      <c r="A25" s="5" t="s">
        <v>11</v>
      </c>
      <c r="B25" s="1">
        <v>2</v>
      </c>
      <c r="C25" s="2" t="s">
        <v>12</v>
      </c>
      <c r="D25" s="1">
        <f>30*B3+5*B4</f>
        <v>2075</v>
      </c>
      <c r="E25" s="1">
        <v>9.01</v>
      </c>
      <c r="F25" s="1">
        <v>65.12</v>
      </c>
      <c r="G25" s="1">
        <f t="shared" si="0"/>
        <v>18.767584000000003</v>
      </c>
      <c r="H25">
        <f t="shared" ref="H25:H52" si="1">D25+F25+G25</f>
        <v>2158.8875840000001</v>
      </c>
    </row>
    <row r="26" spans="1:8" x14ac:dyDescent="0.25">
      <c r="A26" s="5" t="s">
        <v>13</v>
      </c>
      <c r="B26" s="5">
        <v>1</v>
      </c>
      <c r="C26" s="2" t="s">
        <v>16</v>
      </c>
      <c r="D26" s="1">
        <f>50*B4+250*B5</f>
        <v>9450</v>
      </c>
      <c r="E26" s="1">
        <v>5</v>
      </c>
      <c r="F26" s="1">
        <v>117.22</v>
      </c>
      <c r="G26" s="1">
        <f t="shared" si="0"/>
        <v>33.782803999999999</v>
      </c>
      <c r="H26">
        <f t="shared" si="1"/>
        <v>9601.0028039999997</v>
      </c>
    </row>
    <row r="27" spans="1:8" x14ac:dyDescent="0.25">
      <c r="A27" s="5" t="s">
        <v>18</v>
      </c>
      <c r="B27" s="1">
        <v>1</v>
      </c>
      <c r="C27" s="2" t="s">
        <v>19</v>
      </c>
      <c r="D27" s="1">
        <f>20*B8+30*B9</f>
        <v>454</v>
      </c>
      <c r="E27" s="1">
        <v>13.34</v>
      </c>
      <c r="F27" s="1">
        <v>43.96</v>
      </c>
      <c r="G27" s="1">
        <f t="shared" si="0"/>
        <v>12.669272000000001</v>
      </c>
      <c r="H27">
        <f t="shared" si="1"/>
        <v>510.62927199999996</v>
      </c>
    </row>
    <row r="28" spans="1:8" x14ac:dyDescent="0.25">
      <c r="A28" s="5" t="s">
        <v>20</v>
      </c>
      <c r="B28" s="1">
        <v>20</v>
      </c>
      <c r="C28" s="2" t="s">
        <v>21</v>
      </c>
      <c r="D28" s="1">
        <f>8*H24+2*H26+2*H33+4*H41+2*H35</f>
        <v>100316.59010000002</v>
      </c>
      <c r="E28" s="1">
        <v>3.34</v>
      </c>
      <c r="F28" s="1">
        <v>175.82</v>
      </c>
      <c r="G28" s="1">
        <f t="shared" si="0"/>
        <v>50.671323999999998</v>
      </c>
      <c r="H28">
        <f t="shared" si="1"/>
        <v>100543.08142400002</v>
      </c>
    </row>
    <row r="29" spans="1:8" x14ac:dyDescent="0.25">
      <c r="A29" s="5" t="s">
        <v>24</v>
      </c>
      <c r="B29" s="1">
        <v>100</v>
      </c>
      <c r="C29" s="2" t="s">
        <v>22</v>
      </c>
      <c r="D29" s="1">
        <f>40*H24+16*H26+34*H40</f>
        <v>618766.05109199998</v>
      </c>
      <c r="E29" s="1">
        <v>1.67</v>
      </c>
      <c r="F29" s="1">
        <v>351.65</v>
      </c>
      <c r="G29" s="1">
        <f t="shared" si="0"/>
        <v>101.34553</v>
      </c>
      <c r="H29">
        <f t="shared" si="1"/>
        <v>619219.04662200005</v>
      </c>
    </row>
    <row r="30" spans="1:8" x14ac:dyDescent="0.25">
      <c r="A30" s="5" t="s">
        <v>23</v>
      </c>
      <c r="B30" s="1">
        <v>100</v>
      </c>
      <c r="C30" s="2" t="s">
        <v>25</v>
      </c>
      <c r="D30" s="1">
        <f>2*H34+10*H27+4*H35+6*H26+7*H40</f>
        <v>151183.570198</v>
      </c>
      <c r="E30" s="1">
        <v>0.33</v>
      </c>
      <c r="F30" s="1">
        <v>1758.23</v>
      </c>
      <c r="G30" s="1">
        <f t="shared" si="0"/>
        <v>506.72188600000004</v>
      </c>
      <c r="H30">
        <f t="shared" si="1"/>
        <v>153448.52208400003</v>
      </c>
    </row>
    <row r="31" spans="1:8" x14ac:dyDescent="0.25">
      <c r="A31" s="5"/>
      <c r="B31" s="1"/>
      <c r="C31" s="1"/>
      <c r="D31" s="1"/>
      <c r="E31" s="1"/>
      <c r="F31" s="1"/>
      <c r="G31" s="1"/>
    </row>
    <row r="32" spans="1:8" x14ac:dyDescent="0.25">
      <c r="A32" s="9" t="s">
        <v>26</v>
      </c>
      <c r="B32" s="1"/>
      <c r="C32" s="1"/>
      <c r="D32" s="1"/>
      <c r="E32" s="1"/>
      <c r="F32" s="1"/>
      <c r="G32" s="1"/>
    </row>
    <row r="33" spans="1:8" x14ac:dyDescent="0.25">
      <c r="A33" s="5" t="s">
        <v>27</v>
      </c>
      <c r="B33" s="1">
        <v>1</v>
      </c>
      <c r="C33" s="2" t="s">
        <v>28</v>
      </c>
      <c r="D33" s="1">
        <f>4*B10+2*B11</f>
        <v>4596</v>
      </c>
      <c r="E33" s="1">
        <v>2.56</v>
      </c>
      <c r="F33" s="1">
        <v>283.24</v>
      </c>
      <c r="G33" s="1">
        <f>$E$2*F33</f>
        <v>81.629768000000013</v>
      </c>
      <c r="H33">
        <f t="shared" si="1"/>
        <v>4960.8697679999996</v>
      </c>
    </row>
    <row r="34" spans="1:8" x14ac:dyDescent="0.25">
      <c r="A34" s="5" t="s">
        <v>29</v>
      </c>
      <c r="B34" s="1">
        <v>1</v>
      </c>
      <c r="C34" s="2" t="s">
        <v>30</v>
      </c>
      <c r="D34" s="1">
        <f>4*B10+8*B12+B6</f>
        <v>4922</v>
      </c>
      <c r="E34" s="1">
        <v>2.56</v>
      </c>
      <c r="F34" s="1">
        <v>283.24</v>
      </c>
      <c r="G34" s="1">
        <f>$E$2*F34</f>
        <v>81.629768000000013</v>
      </c>
      <c r="H34">
        <f t="shared" si="1"/>
        <v>5286.8697679999996</v>
      </c>
    </row>
    <row r="35" spans="1:8" x14ac:dyDescent="0.25">
      <c r="A35" s="5" t="s">
        <v>31</v>
      </c>
      <c r="B35" s="1">
        <v>1</v>
      </c>
      <c r="C35" s="2" t="s">
        <v>32</v>
      </c>
      <c r="D35" s="1">
        <f>3*B8+5*B13+3*B14</f>
        <v>1088</v>
      </c>
      <c r="E35" s="1">
        <v>3.07</v>
      </c>
      <c r="F35" s="1">
        <v>236.03</v>
      </c>
      <c r="G35" s="1">
        <f>$E$2*F35</f>
        <v>68.023846000000006</v>
      </c>
      <c r="H35">
        <f t="shared" si="1"/>
        <v>1392.053846</v>
      </c>
    </row>
    <row r="36" spans="1:8" x14ac:dyDescent="0.25">
      <c r="A36" s="5" t="s">
        <v>33</v>
      </c>
      <c r="B36" s="1">
        <v>10</v>
      </c>
      <c r="C36" s="2" t="s">
        <v>34</v>
      </c>
      <c r="D36" s="1">
        <f>8*B10+4*H33+H41+2*H35</f>
        <v>41397.959303999996</v>
      </c>
      <c r="E36" s="1">
        <v>0.13</v>
      </c>
      <c r="F36" s="1">
        <v>5664.7</v>
      </c>
      <c r="G36" s="1">
        <f>$E$2*F36</f>
        <v>1632.56654</v>
      </c>
      <c r="H36">
        <f t="shared" si="1"/>
        <v>48695.225843999993</v>
      </c>
    </row>
    <row r="37" spans="1:8" x14ac:dyDescent="0.25">
      <c r="A37" s="5"/>
      <c r="B37" s="1"/>
      <c r="C37" s="1"/>
      <c r="D37" s="1"/>
      <c r="E37" s="1"/>
      <c r="F37" s="1"/>
      <c r="G37" s="1"/>
    </row>
    <row r="38" spans="1:8" x14ac:dyDescent="0.25">
      <c r="A38" s="9" t="s">
        <v>35</v>
      </c>
      <c r="B38" s="1"/>
      <c r="C38" s="1"/>
      <c r="D38" s="1"/>
      <c r="E38" s="1"/>
      <c r="F38" s="1"/>
      <c r="G38" s="1"/>
    </row>
    <row r="39" spans="1:8" x14ac:dyDescent="0.25">
      <c r="A39" s="5" t="s">
        <v>36</v>
      </c>
      <c r="B39" s="1">
        <v>1</v>
      </c>
      <c r="C39" s="2" t="s">
        <v>37</v>
      </c>
      <c r="D39" s="1">
        <f>30*B4+100*B5+50*B15</f>
        <v>4700</v>
      </c>
      <c r="E39" s="1">
        <v>0.31</v>
      </c>
      <c r="F39" s="1">
        <v>1989.41</v>
      </c>
      <c r="G39" s="1">
        <f>$E$2*F39</f>
        <v>573.34796200000005</v>
      </c>
      <c r="H39">
        <f t="shared" si="1"/>
        <v>7262.7579619999997</v>
      </c>
    </row>
    <row r="40" spans="1:8" x14ac:dyDescent="0.25">
      <c r="A40" s="5" t="s">
        <v>38</v>
      </c>
      <c r="B40" s="1">
        <v>1</v>
      </c>
      <c r="C40" s="2" t="s">
        <v>39</v>
      </c>
      <c r="D40" s="1">
        <f>20*B8+8*B10+10*B4</f>
        <v>7770</v>
      </c>
      <c r="E40" s="1">
        <v>0.31</v>
      </c>
      <c r="F40" s="1">
        <v>1989.41</v>
      </c>
      <c r="G40" s="1">
        <f>$E$2*F40</f>
        <v>573.34796200000005</v>
      </c>
      <c r="H40">
        <f t="shared" si="1"/>
        <v>10332.757962</v>
      </c>
    </row>
    <row r="41" spans="1:8" x14ac:dyDescent="0.25">
      <c r="A41" s="5" t="s">
        <v>40</v>
      </c>
      <c r="B41" s="1">
        <v>1</v>
      </c>
      <c r="C41" s="2" t="s">
        <v>41</v>
      </c>
      <c r="D41" s="1">
        <f>8*B10+30*B13+15*B15</f>
        <v>10129</v>
      </c>
      <c r="E41" s="1">
        <v>0.62</v>
      </c>
      <c r="F41" s="1">
        <v>994.7</v>
      </c>
      <c r="G41" s="1">
        <f>$E$2*F41</f>
        <v>286.67254000000003</v>
      </c>
      <c r="H41">
        <f t="shared" si="1"/>
        <v>11410.37254</v>
      </c>
    </row>
    <row r="42" spans="1:8" x14ac:dyDescent="0.25">
      <c r="A42" s="5" t="s">
        <v>42</v>
      </c>
      <c r="B42" s="1">
        <v>1</v>
      </c>
      <c r="C42" s="2" t="s">
        <v>43</v>
      </c>
      <c r="D42" s="1">
        <f>4*B10+5*B4</f>
        <v>3775</v>
      </c>
      <c r="E42" s="1">
        <v>0.94</v>
      </c>
      <c r="F42" s="1">
        <v>663.14</v>
      </c>
      <c r="G42" s="1">
        <f>$E$2*F42</f>
        <v>191.11694800000001</v>
      </c>
      <c r="H42">
        <f t="shared" si="1"/>
        <v>4629.2569480000002</v>
      </c>
    </row>
    <row r="43" spans="1:8" x14ac:dyDescent="0.25">
      <c r="A43" s="5" t="s">
        <v>66</v>
      </c>
      <c r="B43" s="1">
        <v>2</v>
      </c>
      <c r="C43" s="2" t="s">
        <v>67</v>
      </c>
      <c r="D43" s="1">
        <f>6*B8+5*B15+5*B16</f>
        <v>421.5</v>
      </c>
      <c r="E43" s="1">
        <v>6.24</v>
      </c>
      <c r="F43" s="1">
        <v>99.47</v>
      </c>
      <c r="G43" s="1">
        <f>$E$2*F43</f>
        <v>28.667254</v>
      </c>
      <c r="H43">
        <f t="shared" si="1"/>
        <v>549.63725399999998</v>
      </c>
    </row>
    <row r="44" spans="1:8" x14ac:dyDescent="0.25">
      <c r="A44" s="5"/>
      <c r="B44" s="1"/>
      <c r="C44" s="1"/>
      <c r="D44" s="1"/>
      <c r="E44" s="1"/>
      <c r="F44" s="1"/>
      <c r="G44" s="1"/>
    </row>
    <row r="45" spans="1:8" x14ac:dyDescent="0.25">
      <c r="A45" s="9" t="s">
        <v>44</v>
      </c>
      <c r="B45" s="1"/>
      <c r="C45" s="1"/>
      <c r="D45" s="1"/>
      <c r="E45" s="1"/>
      <c r="F45" s="1"/>
      <c r="G45" s="1"/>
    </row>
    <row r="46" spans="1:8" x14ac:dyDescent="0.25">
      <c r="A46" s="5" t="s">
        <v>45</v>
      </c>
      <c r="B46" s="1">
        <v>20</v>
      </c>
      <c r="C46" s="2" t="s">
        <v>46</v>
      </c>
      <c r="D46" s="1">
        <f>H39+H28</f>
        <v>107805.83938600002</v>
      </c>
      <c r="E46" s="1">
        <v>0.72</v>
      </c>
      <c r="F46" s="1">
        <v>1056.95</v>
      </c>
      <c r="G46" s="1">
        <f>$E$2*F46</f>
        <v>304.61299000000002</v>
      </c>
      <c r="H46">
        <f t="shared" si="1"/>
        <v>109167.40237600001</v>
      </c>
    </row>
    <row r="47" spans="1:8" x14ac:dyDescent="0.25">
      <c r="A47" s="5" t="s">
        <v>47</v>
      </c>
      <c r="B47" s="1">
        <v>2000</v>
      </c>
      <c r="C47" s="2" t="s">
        <v>48</v>
      </c>
      <c r="D47" s="1">
        <f>H29+H30</f>
        <v>772667.56870600011</v>
      </c>
      <c r="E47" s="1">
        <v>0.24</v>
      </c>
      <c r="F47" s="1">
        <v>3170.85</v>
      </c>
      <c r="G47" s="1">
        <f>$E$2*F47</f>
        <v>913.83897000000002</v>
      </c>
      <c r="H47">
        <f t="shared" si="1"/>
        <v>776752.25767600012</v>
      </c>
    </row>
    <row r="48" spans="1:8" x14ac:dyDescent="0.25">
      <c r="A48" s="5"/>
      <c r="B48" s="1"/>
      <c r="C48" s="1"/>
      <c r="D48" s="1"/>
      <c r="E48" s="1"/>
      <c r="F48" s="1"/>
      <c r="G48" s="1"/>
    </row>
    <row r="49" spans="1:8" x14ac:dyDescent="0.25">
      <c r="A49" s="9" t="s">
        <v>49</v>
      </c>
      <c r="B49" s="1"/>
      <c r="C49" s="1"/>
      <c r="D49" s="1"/>
      <c r="E49" s="1"/>
      <c r="F49" s="1"/>
      <c r="G49" s="1"/>
    </row>
    <row r="50" spans="1:8" x14ac:dyDescent="0.25">
      <c r="A50" s="5" t="s">
        <v>50</v>
      </c>
      <c r="B50" s="1">
        <v>2000</v>
      </c>
      <c r="C50" s="2" t="s">
        <v>51</v>
      </c>
      <c r="D50" s="1">
        <f>40*H24+10*H25+2*H34+140*B6+4*H42</f>
        <v>207355.87868800003</v>
      </c>
      <c r="E50" s="1">
        <v>7.0000000000000007E-2</v>
      </c>
      <c r="F50" s="1">
        <v>10569.51</v>
      </c>
      <c r="G50" s="1">
        <f>$E$2*F50</f>
        <v>3046.1327820000001</v>
      </c>
      <c r="H50">
        <f t="shared" si="1"/>
        <v>220971.52147000004</v>
      </c>
    </row>
    <row r="51" spans="1:8" x14ac:dyDescent="0.25">
      <c r="A51" s="5" t="s">
        <v>52</v>
      </c>
      <c r="B51" s="1">
        <v>1000</v>
      </c>
      <c r="C51" s="2" t="s">
        <v>53</v>
      </c>
      <c r="D51" s="1">
        <f>14*H24+2*H25+H34+2*B7+2*H42</f>
        <v>70705.841264000002</v>
      </c>
      <c r="E51" s="1">
        <v>0.19</v>
      </c>
      <c r="F51" s="1">
        <v>3963.57</v>
      </c>
      <c r="G51" s="1">
        <f>$E$2*F51</f>
        <v>1142.300874</v>
      </c>
      <c r="H51">
        <f t="shared" si="1"/>
        <v>75811.712138000003</v>
      </c>
    </row>
    <row r="52" spans="1:8" x14ac:dyDescent="0.25">
      <c r="A52" s="5" t="s">
        <v>54</v>
      </c>
      <c r="B52" s="5">
        <v>100</v>
      </c>
      <c r="C52" s="2" t="s">
        <v>69</v>
      </c>
      <c r="D52" s="1">
        <f>8*H24+2*H25+H34+H43</f>
        <v>32921.529294</v>
      </c>
      <c r="E52" s="1">
        <v>1.68</v>
      </c>
      <c r="F52" s="1">
        <v>452.98</v>
      </c>
      <c r="G52" s="1">
        <f>$E$2*F52</f>
        <v>130.54883600000002</v>
      </c>
      <c r="H52">
        <f t="shared" si="1"/>
        <v>33505.058130000005</v>
      </c>
    </row>
    <row r="53" spans="1:8" x14ac:dyDescent="0.25">
      <c r="A53" s="14"/>
    </row>
    <row r="54" spans="1:8" x14ac:dyDescent="0.25">
      <c r="A54" s="14"/>
    </row>
    <row r="55" spans="1:8" x14ac:dyDescent="0.25">
      <c r="A55" s="14"/>
    </row>
    <row r="56" spans="1:8" x14ac:dyDescent="0.25">
      <c r="A56" s="14"/>
    </row>
    <row r="57" spans="1:8" x14ac:dyDescent="0.25">
      <c r="A57" s="14"/>
    </row>
  </sheetData>
  <conditionalFormatting sqref="H24:H5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Jumbo jet</vt:lpstr>
      <vt:lpstr>Luxury jet</vt:lpstr>
      <vt:lpstr>s. Engine</vt:lpstr>
      <vt:lpstr>BFRs</vt:lpstr>
      <vt:lpstr>SORs</vt:lpstr>
      <vt:lpstr>Launchpad</vt:lpstr>
      <vt:lpstr>All of them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</dc:creator>
  <cp:lastModifiedBy>OF</cp:lastModifiedBy>
  <dcterms:created xsi:type="dcterms:W3CDTF">2021-02-02T03:42:33Z</dcterms:created>
  <dcterms:modified xsi:type="dcterms:W3CDTF">2021-03-12T01:46:37Z</dcterms:modified>
</cp:coreProperties>
</file>