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Production Plans 1st stage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3" l="1"/>
  <c r="B18" i="13" s="1"/>
  <c r="B22" i="13"/>
  <c r="B7" i="13" s="1"/>
  <c r="B10" i="13" l="1"/>
  <c r="B6" i="13"/>
  <c r="B4" i="13"/>
  <c r="B5" i="13"/>
  <c r="B3" i="13"/>
  <c r="B9" i="13"/>
  <c r="B8" i="13"/>
  <c r="C25" i="13"/>
  <c r="C21" i="13" s="1"/>
  <c r="I21" i="13" s="1"/>
  <c r="I25" i="13"/>
  <c r="I26" i="13" s="1"/>
  <c r="H25" i="13"/>
  <c r="H22" i="13"/>
  <c r="H21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C22" i="13" l="1"/>
  <c r="D8" i="13" s="1"/>
  <c r="E8" i="13" s="1"/>
  <c r="I22" i="13"/>
  <c r="I23" i="13" s="1"/>
  <c r="D9" i="13"/>
  <c r="E9" i="13" s="1"/>
  <c r="D10" i="13"/>
  <c r="E10" i="13" s="1"/>
  <c r="D7" i="13"/>
  <c r="E7" i="13" s="1"/>
  <c r="C18" i="13"/>
  <c r="I18" i="13" s="1"/>
  <c r="I19" i="13" s="1"/>
  <c r="D6" i="13"/>
  <c r="E6" i="13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D3" i="13" l="1"/>
  <c r="E3" i="13" s="1"/>
  <c r="D5" i="13"/>
  <c r="E5" i="13" s="1"/>
  <c r="D4" i="13"/>
  <c r="E4" i="13" s="1"/>
  <c r="D53" i="9"/>
  <c r="D57" i="9"/>
  <c r="D54" i="9"/>
  <c r="D58" i="9"/>
  <c r="E11" i="13" l="1"/>
  <c r="H18" i="13"/>
  <c r="E18" i="13"/>
  <c r="J18" i="13" s="1"/>
  <c r="E21" i="13" l="1"/>
  <c r="J21" i="13" s="1"/>
  <c r="E22" i="13"/>
  <c r="J22" i="13" s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E25" i="13" l="1"/>
  <c r="J25" i="13" s="1"/>
  <c r="L25" i="9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<sst xmlns="http://schemas.openxmlformats.org/spreadsheetml/2006/main" count="343" uniqueCount="106">
  <si>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</si>
  <si>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</si>
  <si>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</si>
  <si>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</si>
  <si>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</si>
  <si>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</si>
  <si>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</si>
  <si>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</si>
  <si>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</si>
  <si>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</si>
  <si>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</si>
  <si>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</si>
  <si>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</si>
  <si>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</si>
  <si>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</si>
  <si>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</si>
  <si>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</si>
  <si>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</si>
  <si>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</si>
  <si>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</si>
  <si>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</si>
  <si>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</si>
  <si>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</si>
  <si>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</si>
  <si>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</si>
  <si>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</si>
  <si>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</si>
  <si>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</si>
  <si>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</si>
  <si>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</si>
  <si>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</si>
  <si>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</si>
  <si>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</si>
  <si>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</si>
  <si>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</si>
  <si>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</si>
  <si>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</si>
  <si>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</si>
  <si>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</si>
  <si>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</si>
  <si>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</si>
  <si>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</si>
  <si>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</si>
  <si>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</si>
  <si>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</si>
  <si>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</si>
  <si>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</si>
  <si>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</si>
  <si>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</si>
  <si>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</si>
  <si>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</si>
  <si>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</si>
  <si>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</si>
  <si>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</si>
  <si>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</si>
  <si>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</si>
  <si>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</si>
  <si>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</si>
  <si>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</si>
  <si>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</si>
  <si>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</si>
  <si>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</si>
  <si>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</si>
  <si>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</si>
  <si>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</si>
  <si>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</si>
  <si>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</si>
  <si>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</si>
  <si>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</si>
  <si>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</si>
  <si>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</si>
  <si>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</si>
  <si>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</si>
  <si>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</si>
  <si>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</si>
  <si>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</si>
  <si>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</si>
  <si>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</si>
  <si>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</si>
  <si>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</si>
  <si>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</si>
  <si>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</si>
  <si>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</si>
  <si>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</si>
  <si>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</si>
  <si>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</si>
  <si>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</si>
  <si>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</si>
  <si>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</si>
  <si>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</si>
  <si>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</si>
  <si>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</si>
  <si>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</si>
  <si>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</si>
  <si>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</si>
  <si>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</si>
  <si>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</si>
  <si>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</si>
  <si>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</si>
  <si>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NEEDS PER BFR</t>
  </si>
  <si>
    <t>REQUIRED CASH PER BFR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</si>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</sst>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11" borderId="0" xfId="0" applyFill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9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9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9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9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9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30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1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9" t="s">
        <v>3</v>
      </c>
      <c r="B23" s="29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2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2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3" t="s">
        <v>18</v>
      </c>
      <c r="B26" s="32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4" t="s">
        <v>24</v>
      </c>
      <c r="B27" s="32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5" t="s">
        <v>23</v>
      </c>
      <c r="B28" s="32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2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9" t="s">
        <v>26</v>
      </c>
      <c r="B30" s="29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3" t="s">
        <v>29</v>
      </c>
      <c r="B31" s="32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3" t="s">
        <v>31</v>
      </c>
      <c r="B32" s="32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2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9" t="s">
        <v>35</v>
      </c>
      <c r="B34" s="29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2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2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9" t="s">
        <v>44</v>
      </c>
      <c r="B37" s="29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1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0" zoomScale="70" zoomScaleNormal="70" workbookViewId="0">
      <selection activeCell="H40" sqref="A17:H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9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3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3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5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9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3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3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9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6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3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9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7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70" zoomScaleNormal="70" workbookViewId="0">
      <selection activeCell="D25" sqref="D25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6.7109375" bestFit="1" customWidth="1"/>
    <col min="6" max="6" width="23.28515625" bestFit="1" customWidth="1"/>
    <col min="8" max="8" width="22" bestFit="1" customWidth="1"/>
    <col min="9" max="9" width="15.2851562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102</v>
      </c>
      <c r="C2" s="4" t="s">
        <v>2</v>
      </c>
      <c r="D2" s="4" t="s">
        <v>99</v>
      </c>
      <c r="E2" s="4" t="s">
        <v>100</v>
      </c>
      <c r="G2" s="4"/>
      <c r="H2" s="13" t="s">
        <v>9</v>
      </c>
      <c r="I2" s="14">
        <v>0.14000000000000001</v>
      </c>
    </row>
    <row r="3" spans="1:13" x14ac:dyDescent="0.25">
      <c r="A3" s="4" t="s">
        <v>58</v>
      </c>
      <c r="B3" s="4">
        <f>IF(B18&gt;0,B18-1,0)</f>
        <v>2</v>
      </c>
      <c r="C3" s="12">
        <v>10.5</v>
      </c>
      <c r="D3" s="4">
        <f>20*C18</f>
        <v>34.166666666666657</v>
      </c>
      <c r="E3" s="11">
        <f>D3*C3</f>
        <v>358.74999999999989</v>
      </c>
      <c r="G3" s="4"/>
    </row>
    <row r="4" spans="1:13" x14ac:dyDescent="0.25">
      <c r="A4" s="4" t="s">
        <v>60</v>
      </c>
      <c r="B4" s="4">
        <f>IF(B18&gt;0,B18-1,0)</f>
        <v>2</v>
      </c>
      <c r="C4" s="12">
        <v>890</v>
      </c>
      <c r="D4" s="4">
        <f>8*C18</f>
        <v>13.666666666666664</v>
      </c>
      <c r="E4" s="11">
        <f t="shared" ref="E4:E10" si="0">D4*C4</f>
        <v>12163.333333333332</v>
      </c>
      <c r="G4" s="4"/>
      <c r="K4" t="s">
        <v>97</v>
      </c>
    </row>
    <row r="5" spans="1:13" x14ac:dyDescent="0.25">
      <c r="A5" s="4" t="s">
        <v>10</v>
      </c>
      <c r="B5" s="4">
        <f>IF(B18&gt;0,B18-1,0)</f>
        <v>2</v>
      </c>
      <c r="C5" s="12">
        <v>18.5</v>
      </c>
      <c r="D5" s="4">
        <f>10*C18</f>
        <v>17.083333333333329</v>
      </c>
      <c r="E5" s="11">
        <f t="shared" si="0"/>
        <v>316.04166666666657</v>
      </c>
      <c r="G5" s="4"/>
      <c r="K5" t="s">
        <v>98</v>
      </c>
    </row>
    <row r="6" spans="1:13" x14ac:dyDescent="0.25">
      <c r="A6" s="24" t="s">
        <v>5</v>
      </c>
      <c r="B6" s="24">
        <f>IF(B21&gt;0,B21-1,0)</f>
        <v>3</v>
      </c>
      <c r="C6" s="12">
        <v>3180</v>
      </c>
      <c r="D6" s="4">
        <f>40*C21</f>
        <v>1.6666666666666665</v>
      </c>
      <c r="E6" s="11">
        <f t="shared" si="0"/>
        <v>5299.9999999999991</v>
      </c>
      <c r="G6" s="4"/>
    </row>
    <row r="7" spans="1:13" x14ac:dyDescent="0.25">
      <c r="A7" s="24" t="s">
        <v>13</v>
      </c>
      <c r="B7" s="24">
        <f>IF(B22&gt;0,B22-1,0)</f>
        <v>3</v>
      </c>
      <c r="C7" s="12">
        <v>10300</v>
      </c>
      <c r="D7" s="4">
        <f>16*C21+C22*6</f>
        <v>0.91666666666666663</v>
      </c>
      <c r="E7" s="11">
        <f t="shared" si="0"/>
        <v>9441.6666666666661</v>
      </c>
      <c r="G7" s="4"/>
    </row>
    <row r="8" spans="1:13" x14ac:dyDescent="0.25">
      <c r="A8" s="24" t="s">
        <v>29</v>
      </c>
      <c r="B8" s="24">
        <f>IF(B22&gt;0,B22-1,0)</f>
        <v>3</v>
      </c>
      <c r="C8" s="12">
        <v>5570</v>
      </c>
      <c r="D8" s="4">
        <f>2*C22</f>
        <v>8.3333333333333329E-2</v>
      </c>
      <c r="E8" s="11">
        <f t="shared" si="0"/>
        <v>464.16666666666663</v>
      </c>
      <c r="G8" s="4"/>
      <c r="K8" s="39" t="s">
        <v>104</v>
      </c>
      <c r="L8" t="s">
        <v>105</v>
      </c>
    </row>
    <row r="9" spans="1:13" x14ac:dyDescent="0.25">
      <c r="A9" s="24" t="s">
        <v>18</v>
      </c>
      <c r="B9" s="24">
        <f>IF(B22&gt;0,B22-1,0)</f>
        <v>3</v>
      </c>
      <c r="C9" s="12">
        <v>545</v>
      </c>
      <c r="D9" s="4">
        <f>10*C22</f>
        <v>0.41666666666666663</v>
      </c>
      <c r="E9" s="11">
        <f t="shared" si="0"/>
        <v>227.08333333333331</v>
      </c>
      <c r="G9" s="4"/>
    </row>
    <row r="10" spans="1:13" x14ac:dyDescent="0.25">
      <c r="A10" s="24" t="s">
        <v>96</v>
      </c>
      <c r="B10" s="24">
        <f>IF(B22&gt;0,B22-1,0)</f>
        <v>3</v>
      </c>
      <c r="C10" s="12">
        <v>1730</v>
      </c>
      <c r="D10" s="4">
        <f>4*C22</f>
        <v>0.16666666666666666</v>
      </c>
      <c r="E10" s="11">
        <f t="shared" si="0"/>
        <v>288.33333333333331</v>
      </c>
      <c r="G10" s="4"/>
    </row>
    <row r="11" spans="1:13" x14ac:dyDescent="0.25">
      <c r="A11" s="4"/>
      <c r="B11" s="4"/>
      <c r="C11" s="4"/>
      <c r="D11" s="4"/>
      <c r="E11" s="27">
        <f>SUM(E3:E10)</f>
        <v>28559.374999999996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102</v>
      </c>
      <c r="C16" s="24" t="s">
        <v>95</v>
      </c>
      <c r="D16" s="24" t="s">
        <v>4</v>
      </c>
      <c r="E16" s="24" t="s">
        <v>84</v>
      </c>
      <c r="F16" s="24" t="s">
        <v>6</v>
      </c>
      <c r="G16" s="24" t="s">
        <v>7</v>
      </c>
      <c r="H16" s="24" t="s">
        <v>8</v>
      </c>
      <c r="I16" s="24" t="s">
        <v>101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IF(B21&gt;0,B21-1,0)</f>
        <v>3</v>
      </c>
      <c r="C18" s="24">
        <f>34*C21+7*C22</f>
        <v>1.708333333333333</v>
      </c>
      <c r="D18" s="28" t="s">
        <v>39</v>
      </c>
      <c r="E18" s="24">
        <f>20*C3+8*C4+10*C5</f>
        <v>7515</v>
      </c>
      <c r="F18" s="24">
        <v>0.28999999999999998</v>
      </c>
      <c r="G18" s="24">
        <v>1989.41</v>
      </c>
      <c r="H18" s="24">
        <f>$I$2*G18</f>
        <v>278.51740000000007</v>
      </c>
      <c r="I18">
        <f>C18/F18</f>
        <v>5.8908045977011492</v>
      </c>
      <c r="J18" s="4">
        <f>E18+G18+H18</f>
        <v>9782.9274000000005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103</v>
      </c>
      <c r="G19" s="38">
        <v>8</v>
      </c>
      <c r="H19" s="39" t="s">
        <v>104</v>
      </c>
      <c r="I19" s="39">
        <f>I18/G19</f>
        <v>0.73635057471264365</v>
      </c>
      <c r="J19" s="24"/>
      <c r="K19" s="24"/>
      <c r="L19" s="4"/>
      <c r="M19" s="4"/>
    </row>
    <row r="20" spans="1:13" x14ac:dyDescent="0.25">
      <c r="A20" s="29" t="s">
        <v>94</v>
      </c>
      <c r="B20" s="29"/>
      <c r="C20" s="24"/>
      <c r="D20" s="24"/>
      <c r="E20" s="24"/>
      <c r="F20" s="24"/>
      <c r="G20" s="24"/>
      <c r="H20" s="24"/>
      <c r="J20" s="24"/>
      <c r="K20" s="24"/>
      <c r="L20" s="4"/>
      <c r="M20" s="4"/>
    </row>
    <row r="21" spans="1:13" x14ac:dyDescent="0.25">
      <c r="A21" s="24" t="s">
        <v>24</v>
      </c>
      <c r="B21" s="24">
        <f>IF(B25&gt;0,B25-1,0)</f>
        <v>4</v>
      </c>
      <c r="C21" s="4">
        <f>C25</f>
        <v>4.1666666666666664E-2</v>
      </c>
      <c r="D21" s="26" t="s">
        <v>22</v>
      </c>
      <c r="E21" s="4">
        <f>40*C6+16*C7+34*J18</f>
        <v>624619.53159999999</v>
      </c>
      <c r="F21" s="4">
        <v>1.67</v>
      </c>
      <c r="G21" s="4">
        <v>351.65</v>
      </c>
      <c r="H21" s="4">
        <f>$I$2*G21</f>
        <v>49.231000000000002</v>
      </c>
      <c r="I21">
        <f>C21/F21</f>
        <v>2.4950099800399202E-2</v>
      </c>
      <c r="J21" s="4">
        <f>E21+G21+H21</f>
        <v>625020.41260000004</v>
      </c>
      <c r="K21" s="24"/>
      <c r="L21" s="4"/>
      <c r="M21" s="4"/>
    </row>
    <row r="22" spans="1:13" x14ac:dyDescent="0.25">
      <c r="A22" s="24" t="s">
        <v>23</v>
      </c>
      <c r="B22" s="24">
        <f>IF(B25&gt;0,B25-1,0)</f>
        <v>4</v>
      </c>
      <c r="C22" s="4">
        <f>C25</f>
        <v>4.1666666666666664E-2</v>
      </c>
      <c r="D22" s="26" t="s">
        <v>25</v>
      </c>
      <c r="E22" s="4">
        <f>2*C8+10*C9+4*C10+6*C7+7*J18</f>
        <v>153790.49180000002</v>
      </c>
      <c r="F22" s="4">
        <v>0.33</v>
      </c>
      <c r="G22" s="4">
        <v>1758.23</v>
      </c>
      <c r="H22" s="4">
        <f>$I$2*G22</f>
        <v>246.15220000000002</v>
      </c>
      <c r="I22">
        <f>C22/F22</f>
        <v>0.12626262626262624</v>
      </c>
      <c r="J22" s="4">
        <f>E22+G22+H22</f>
        <v>155794.87400000004</v>
      </c>
      <c r="K22" s="24"/>
      <c r="L22" s="4"/>
      <c r="M22" s="4"/>
    </row>
    <row r="23" spans="1:13" x14ac:dyDescent="0.25">
      <c r="A23" s="24"/>
      <c r="B23" s="24"/>
      <c r="C23" s="24"/>
      <c r="D23" s="28"/>
      <c r="E23" s="24"/>
      <c r="F23" s="38" t="s">
        <v>103</v>
      </c>
      <c r="G23" s="38">
        <v>1</v>
      </c>
      <c r="H23" s="39" t="s">
        <v>104</v>
      </c>
      <c r="I23" s="39">
        <f>(I21+I22)/G23</f>
        <v>0.15121272606302544</v>
      </c>
      <c r="J23" s="24"/>
      <c r="K23" s="24"/>
      <c r="L23" s="4"/>
      <c r="M23" s="4"/>
    </row>
    <row r="24" spans="1:13" x14ac:dyDescent="0.25">
      <c r="A24" s="29" t="s">
        <v>44</v>
      </c>
      <c r="B24" s="29"/>
      <c r="C24" s="29"/>
      <c r="D24" s="24"/>
      <c r="E24" s="24"/>
      <c r="F24" s="24"/>
      <c r="G24" s="24"/>
      <c r="H24" s="24"/>
      <c r="J24" s="24"/>
      <c r="K24" s="24"/>
      <c r="L24" s="4"/>
      <c r="M24" s="4"/>
    </row>
    <row r="25" spans="1:13" x14ac:dyDescent="0.25">
      <c r="A25" s="24" t="s">
        <v>47</v>
      </c>
      <c r="B25" s="12">
        <v>5</v>
      </c>
      <c r="C25" s="12">
        <f>1/24</f>
        <v>4.1666666666666664E-2</v>
      </c>
      <c r="D25" s="28" t="s">
        <v>48</v>
      </c>
      <c r="E25" s="24">
        <f>J21+J22</f>
        <v>780815.28660000011</v>
      </c>
      <c r="F25" s="24">
        <v>0.24</v>
      </c>
      <c r="G25" s="24">
        <v>3170.85</v>
      </c>
      <c r="H25" s="24">
        <f>$I$2*G25</f>
        <v>443.91900000000004</v>
      </c>
      <c r="I25">
        <f>C25/F25</f>
        <v>0.1736111111111111</v>
      </c>
      <c r="J25" s="24">
        <f>E25+G25+H25</f>
        <v>784430.05560000008</v>
      </c>
      <c r="K25" s="4"/>
      <c r="L25" s="4"/>
      <c r="M25" s="4"/>
    </row>
    <row r="26" spans="1:13" x14ac:dyDescent="0.25">
      <c r="A26" s="24"/>
      <c r="B26" s="24"/>
      <c r="C26" s="24"/>
      <c r="D26" s="26"/>
      <c r="E26" s="4"/>
      <c r="F26" s="38" t="s">
        <v>103</v>
      </c>
      <c r="G26" s="38">
        <v>1</v>
      </c>
      <c r="H26" s="39" t="s">
        <v>104</v>
      </c>
      <c r="I26" s="39">
        <f>I25/G26</f>
        <v>0.1736111111111111</v>
      </c>
      <c r="K26" s="4"/>
      <c r="L26" s="4"/>
      <c r="M26" s="4"/>
    </row>
    <row r="27" spans="1:13" x14ac:dyDescent="0.25">
      <c r="A27" s="24"/>
      <c r="B27" s="24"/>
      <c r="C27" s="24"/>
      <c r="D27" s="26"/>
      <c r="E27" s="4"/>
      <c r="F27" s="4"/>
      <c r="G27" s="4"/>
      <c r="H27" s="4"/>
      <c r="I27" s="24"/>
      <c r="K27" s="4"/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4"/>
      <c r="I28" s="24"/>
      <c r="K28" s="4"/>
      <c r="L28" s="4"/>
      <c r="M28" s="4"/>
    </row>
    <row r="29" spans="1:13" x14ac:dyDescent="0.25">
      <c r="A29" s="24"/>
      <c r="B29" s="24"/>
      <c r="C29" s="24"/>
      <c r="D29" s="24"/>
      <c r="E29" s="24"/>
      <c r="I29" s="1"/>
    </row>
    <row r="30" spans="1:13" x14ac:dyDescent="0.25">
      <c r="A30" s="24"/>
      <c r="B30" s="24"/>
      <c r="C30" s="24"/>
      <c r="D30" s="24"/>
      <c r="E30" s="24"/>
      <c r="I30" s="1"/>
    </row>
    <row r="31" spans="1:13" x14ac:dyDescent="0.25">
      <c r="A31" s="24"/>
      <c r="B31" s="24"/>
      <c r="C31" s="24"/>
      <c r="D31" s="24"/>
      <c r="E31" s="24"/>
    </row>
    <row r="32" spans="1:13" x14ac:dyDescent="0.25">
      <c r="A32" s="24"/>
      <c r="B32" s="24"/>
      <c r="C32" s="24"/>
      <c r="D32" s="24"/>
      <c r="E32" s="24"/>
    </row>
    <row r="33" spans="1:5" x14ac:dyDescent="0.25">
      <c r="A33" s="24"/>
      <c r="B33" s="24"/>
      <c r="C33" s="24"/>
      <c r="D33" s="24"/>
      <c r="E33" s="24"/>
    </row>
    <row r="34" spans="1:5" x14ac:dyDescent="0.25">
      <c r="A34" s="24"/>
      <c r="B34" s="24"/>
      <c r="C34" s="24"/>
      <c r="D34" s="24"/>
      <c r="E34" s="24"/>
    </row>
    <row r="35" spans="1:5" x14ac:dyDescent="0.25">
      <c r="A35" s="24"/>
      <c r="B35" s="24"/>
      <c r="C35" s="24"/>
      <c r="D35" s="24"/>
      <c r="E35" s="24"/>
    </row>
    <row r="36" spans="1:5" x14ac:dyDescent="0.25">
      <c r="A36" s="24"/>
      <c r="B36" s="24"/>
      <c r="C36" s="24"/>
      <c r="D36" s="24"/>
      <c r="E36" s="24"/>
    </row>
  </sheetData>
  <conditionalFormatting sqref="M16:M17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conditionalFormatting sqref="J21:J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 of them</vt:lpstr>
      <vt:lpstr>Jumbo jet</vt:lpstr>
      <vt:lpstr>Luxury jet</vt:lpstr>
      <vt:lpstr>s. Engine</vt:lpstr>
      <vt:lpstr>BFRs</vt:lpstr>
      <vt:lpstr>SORs</vt:lpstr>
      <vt:lpstr>Production Plans 1st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2021-04-02T03:23:44Z</dcterms:modified>
</cp:coreProperties>
</file>