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4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definedNames>
    <definedName name="solver_adj" localSheetId="6" hidden="1">'Rocket production'!$C$13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'Rocket production'!$B$31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'Rocket production'!$C$20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hs1" localSheetId="6" hidden="1">0.02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3" l="1"/>
  <c r="J4" i="13"/>
  <c r="J5" i="13" s="1"/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C34" i="16"/>
  <c r="I30" i="16"/>
  <c r="I31" i="16" s="1"/>
  <c r="I32" i="16" s="1"/>
  <c r="G30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C7" i="16"/>
  <c r="C6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J2" i="16" s="1"/>
  <c r="D4" i="16"/>
  <c r="D5" i="16"/>
  <c r="B5" i="16"/>
  <c r="B3" i="16"/>
  <c r="B4" i="16"/>
  <c r="H30" i="16" l="1"/>
  <c r="H22" i="16"/>
  <c r="H18" i="16"/>
  <c r="J18" i="16" s="1"/>
  <c r="H23" i="16"/>
  <c r="E3" i="16"/>
  <c r="F3" i="16"/>
  <c r="F5" i="16"/>
  <c r="G5" i="16" s="1"/>
  <c r="E5" i="16"/>
  <c r="F4" i="16"/>
  <c r="G4" i="16" s="1"/>
  <c r="E4" i="16"/>
  <c r="F11" i="16" l="1"/>
  <c r="G11" i="16" s="1"/>
  <c r="G3" i="16"/>
  <c r="E23" i="16"/>
  <c r="J23" i="16" s="1"/>
  <c r="E22" i="16"/>
  <c r="J22" i="16" s="1"/>
  <c r="E27" i="16" s="1"/>
  <c r="J27" i="16" s="1"/>
  <c r="C18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G31" i="14"/>
  <c r="I31" i="14"/>
  <c r="I32" i="14" s="1"/>
  <c r="I33" i="14" s="1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C7" i="14"/>
  <c r="C6" i="14"/>
  <c r="B8" i="15" l="1"/>
  <c r="B10" i="15"/>
  <c r="B7" i="15"/>
  <c r="C36" i="16"/>
  <c r="C37" i="16" s="1"/>
  <c r="E30" i="16"/>
  <c r="J30" i="16" s="1"/>
  <c r="C44" i="16" s="1"/>
  <c r="C45" i="16" s="1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F6" i="14" l="1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F9" i="14" l="1"/>
  <c r="G9" i="14" s="1"/>
  <c r="E9" i="14"/>
  <c r="F8" i="14"/>
  <c r="G8" i="14" s="1"/>
  <c r="E8" i="14"/>
  <c r="F7" i="14"/>
  <c r="G7" i="14" s="1"/>
  <c r="E7" i="14"/>
  <c r="F10" i="14"/>
  <c r="G10" i="14" s="1"/>
  <c r="E10" i="14"/>
  <c r="H18" i="15"/>
  <c r="J18" i="15" s="1"/>
  <c r="H23" i="15"/>
  <c r="H22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D5" i="14"/>
  <c r="F3" i="14" l="1"/>
  <c r="G3" i="14" s="1"/>
  <c r="E3" i="14"/>
  <c r="F5" i="14"/>
  <c r="G5" i="14" s="1"/>
  <c r="E5" i="14"/>
  <c r="H23" i="14"/>
  <c r="H31" i="14"/>
  <c r="H22" i="14"/>
  <c r="H18" i="14"/>
  <c r="J18" i="14" s="1"/>
  <c r="H27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E31" i="14"/>
  <c r="J31" i="14" s="1"/>
  <c r="C45" i="14" s="1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E13" i="13"/>
  <c r="I14" i="13" l="1"/>
  <c r="B30" i="13" s="1"/>
  <c r="J2" i="13"/>
  <c r="F4" i="13"/>
  <c r="E4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I15" i="13" l="1"/>
  <c r="H13" i="13" s="1"/>
  <c r="F6" i="13" s="1"/>
  <c r="G6" i="13" s="1"/>
  <c r="G4" i="13"/>
  <c r="L25" i="9"/>
  <c r="G7" i="13" l="1"/>
  <c r="J13" i="13"/>
  <c r="C19" i="13" s="1"/>
  <c r="F7" i="13"/>
  <c r="L31" i="5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C20" i="13" l="1"/>
  <c r="M39" i="9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<sst xmlns="http://schemas.openxmlformats.org/spreadsheetml/2006/main" count="545" uniqueCount="152">
  <si>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</si>
  <si>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</si>
  <si>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</si>
  <si>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</si>
  <si>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</si>
  <si>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</si>
  <si>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</si>
  <si>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</si>
  <si>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</si>
  <si>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</si>
  <si>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</si>
  <si>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</si>
  <si>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</si>
  <si>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</si>
  <si>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</si>
  <si>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</si>
  <si>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</si>
  <si>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</si>
  <si>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</si>
  <si>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</si>
  <si>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</si>
  <si>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</si>
  <si>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</si>
  <si>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</si>
  <si>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</si>
  <si>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</si>
  <si>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</si>
  <si>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</si>
  <si>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</si>
  <si>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</si>
  <si>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</si>
  <si>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</si>
  <si>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</si>
  <si>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</si>
  <si>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</si>
  <si>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</si>
  <si>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</si>
  <si>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</si>
  <si>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</si>
  <si>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</si>
  <si>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</si>
  <si>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</si>
  <si>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</si>
  <si>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</si>
  <si>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</si>
  <si>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</si>
  <si>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</si>
  <si>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</si>
  <si>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</si>
  <si>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</si>
  <si>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</si>
  <si>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</si>
  <si>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</si>
  <si>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</si>
  <si>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</si>
  <si>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</si>
  <si>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</si>
  <si>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</si>
  <si>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</si>
  <si>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</si>
  <si>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</si>
  <si>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</si>
  <si>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</si>
  <si>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</si>
  <si>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</si>
  <si>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</si>
  <si>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</si>
  <si>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</si>
  <si>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</si>
  <si>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</si>
  <si>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</si>
  <si>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</si>
  <si>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</si>
  <si>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</si>
  <si>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</si>
  <si>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</si>
  <si>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</si>
  <si>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</si>
  <si>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</si>
  <si>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</si>
  <si>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</si>
  <si>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</si>
  <si>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</si>
  <si>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</si>
  <si>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</si>
  <si>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</si>
  <si>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</si>
  <si>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</si>
  <si>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</si>
  <si>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</si>
  <si>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</si>
  <si>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</si>
  <si>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</si>
  <si>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</si>
  <si>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</si>
  <si>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</si>
  <si>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</si>
  <si>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</si>
  <si>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</si>
  <si>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</si>
  <si>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</si>
  <si>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</si>
  <si>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</si>
  <si>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</si>
  <si>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</si>
  <si>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</si>
  <si>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</si>
  <si>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</si>
  <si>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</si>
  <si>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</si>
  <si>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</si>
  <si>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</si>
  <si>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</si>
  <si>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</si>
  <si>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</si>
  <si>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</si>
  <si>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</si>
  <si>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</si>
  <si>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</si>
  <si>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</si>
  <si>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</si>
  <si>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</si>
  <si>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</si>
  <si>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</si>
  <si>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</si>
  <si>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</si>
  <si>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</si>
  <si>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</si>
  <si>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</si>
  <si>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launch our own BFRs on our own Launchpads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</si>
  <si>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</si>
  <si>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</si>
  <si>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</si>
  <si>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</si>
  <si>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</si>
  <si>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</si>
  <si>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</si>
  <si>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</si>
  <si>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</si>
  <si>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</si>
  <si>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</si>
  <si>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</si>
  <si>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</si>
  <si>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</si>
  <si>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</si>
  <si>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</si>
  <si>
    <t>Propulsion factory building price</t>
  </si>
  <si>
    <t>Total buildings price</t>
  </si>
  <si>
    <t>COO skill</t>
  </si>
  <si>
    <t>Adjusted adm. Overhead</t>
  </si>
  <si>
    <t>COO discount overhead</t>
  </si>
  <si>
    <t>earnings / buildings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</si>
</sst>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5" fillId="0" borderId="0" xfId="0" applyFont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  <xf numFmtId="164" fontId="0" fillId="0" borderId="0" xfId="0" applyNumberFormat="1"/>
    <xf numFmtId="44" fontId="0" fillId="2" borderId="0" xfId="2" applyFont="1" applyFill="1"/>
    <xf numFmtId="4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8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8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8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8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8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0" zoomScaleNormal="70" workbookViewId="0">
      <selection activeCell="C28" sqref="C28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SUM(I20,I25,I29,I33)/170</f>
        <v>0.27353579796703847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SUM(G3:G10)</f>
        <v>5026539.743999999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544.174851833606</v>
      </c>
      <c r="I18">
        <f>C18/F18</f>
        <v>43.997241379310346</v>
      </c>
      <c r="J18" s="42">
        <f>E18+G18+H18</f>
        <v>10128.584851833606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10</v>
      </c>
      <c r="H19" s="38" t="s">
        <v>102</v>
      </c>
      <c r="I19" s="38">
        <f>I18/G19</f>
        <v>4.3997241379310346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624259.88496234268</v>
      </c>
      <c r="F22" s="4">
        <v>1.67</v>
      </c>
      <c r="G22" s="4">
        <v>351.65</v>
      </c>
      <c r="H22" s="4">
        <f>$J$2*G22</f>
        <v>96.188863355109078</v>
      </c>
      <c r="I22">
        <f>C22/F22</f>
        <v>0.18634730538922156</v>
      </c>
      <c r="J22" s="42">
        <f>E22+G22+H22</f>
        <v>624707.72382569779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152622.09396283524</v>
      </c>
      <c r="F23" s="4">
        <v>0.33</v>
      </c>
      <c r="G23" s="4">
        <v>1758.23</v>
      </c>
      <c r="H23" s="4">
        <f>$J$2*G23</f>
        <v>480.93884605958607</v>
      </c>
      <c r="I23">
        <f>C23/F23</f>
        <v>0.94303030303030289</v>
      </c>
      <c r="J23" s="42">
        <f>E23+G23+H23</f>
        <v>154861.26280889483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0.31119999999999998</v>
      </c>
      <c r="D27" s="27" t="s">
        <v>48</v>
      </c>
      <c r="E27" s="24">
        <f>J22+J23</f>
        <v>779568.98663459264</v>
      </c>
      <c r="F27" s="24">
        <v>0.24</v>
      </c>
      <c r="G27" s="24">
        <v>3170.85</v>
      </c>
      <c r="H27" s="24">
        <f>$J$2*G27</f>
        <v>867.34098498378387</v>
      </c>
      <c r="I27">
        <f>C27/F27</f>
        <v>1.2966666666666666</v>
      </c>
      <c r="J27" s="42">
        <f>E27+G27+H27</f>
        <v>783607.17761957645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7" t="s">
        <v>101</v>
      </c>
      <c r="G28" s="39">
        <v>1</v>
      </c>
      <c r="H28" s="38" t="s">
        <v>102</v>
      </c>
      <c r="I28" s="38">
        <f>I27/G28</f>
        <v>1.2966666666666666</v>
      </c>
      <c r="K28" t="s">
        <v>130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8" t="s">
        <v>108</v>
      </c>
      <c r="I29" s="38">
        <f>I28*G28</f>
        <v>1.2966666666666666</v>
      </c>
      <c r="K29" s="4"/>
      <c r="L29" s="4"/>
      <c r="M29" s="4"/>
    </row>
    <row r="30" spans="1:13" x14ac:dyDescent="0.25">
      <c r="A30" s="28" t="s">
        <v>116</v>
      </c>
      <c r="B30" s="28"/>
      <c r="C30" s="28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118</v>
      </c>
      <c r="B31" s="12">
        <v>10</v>
      </c>
      <c r="C31" s="24"/>
      <c r="D31" s="27" t="s">
        <v>117</v>
      </c>
      <c r="E31" s="24">
        <f>J27</f>
        <v>783607.17761957645</v>
      </c>
      <c r="F31" s="24">
        <v>4</v>
      </c>
      <c r="G31" s="40">
        <f>518*B31*(128/(2^(B31-1)))</f>
        <v>1295</v>
      </c>
      <c r="H31" s="24">
        <f>G31*J2</f>
        <v>354.22885836731484</v>
      </c>
      <c r="I31">
        <f>C27/F31</f>
        <v>7.7799999999999994E-2</v>
      </c>
      <c r="J31" s="42">
        <f>E31+G31+H31</f>
        <v>785256.40647794376</v>
      </c>
      <c r="K31" t="s">
        <v>129</v>
      </c>
    </row>
    <row r="32" spans="1:13" x14ac:dyDescent="0.25">
      <c r="A32" s="24"/>
      <c r="B32" s="24"/>
      <c r="C32" s="24"/>
      <c r="D32" s="26"/>
      <c r="E32" s="4"/>
      <c r="F32" s="37" t="s">
        <v>101</v>
      </c>
      <c r="G32" s="39">
        <v>1</v>
      </c>
      <c r="H32" s="38" t="s">
        <v>102</v>
      </c>
      <c r="I32" s="38">
        <f>(I31)/G32</f>
        <v>7.7799999999999994E-2</v>
      </c>
    </row>
    <row r="33" spans="1:9" x14ac:dyDescent="0.25">
      <c r="A33" s="24"/>
      <c r="B33" s="24"/>
      <c r="C33" s="24"/>
      <c r="D33" s="26"/>
      <c r="E33" s="4"/>
      <c r="G33" s="4"/>
      <c r="H33" s="38" t="s">
        <v>108</v>
      </c>
      <c r="I33" s="38">
        <f>I32*G32</f>
        <v>7.7799999999999994E-2</v>
      </c>
    </row>
    <row r="34" spans="1:9" x14ac:dyDescent="0.25">
      <c r="A34" s="24"/>
      <c r="B34" s="24" t="s">
        <v>109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105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124</v>
      </c>
      <c r="C36" s="24">
        <f>24*C27</f>
        <v>7.4687999999999999</v>
      </c>
      <c r="D36" s="24"/>
      <c r="E36" s="24"/>
      <c r="I36" s="1"/>
    </row>
    <row r="37" spans="1:9" x14ac:dyDescent="0.25">
      <c r="A37" s="24"/>
      <c r="B37" s="24" t="s">
        <v>106</v>
      </c>
      <c r="C37" s="42">
        <f>(C35-J27)*C27</f>
        <v>20661.446324787805</v>
      </c>
      <c r="D37" s="24"/>
      <c r="E37" s="24"/>
      <c r="I37" s="1"/>
    </row>
    <row r="38" spans="1:9" x14ac:dyDescent="0.25">
      <c r="A38" s="24"/>
      <c r="B38" s="24" t="s">
        <v>107</v>
      </c>
      <c r="C38" s="42">
        <f>C37*24</f>
        <v>495874.71179490734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110</v>
      </c>
      <c r="C40" s="24"/>
      <c r="D40" s="24"/>
      <c r="E40" s="24"/>
    </row>
    <row r="41" spans="1:9" x14ac:dyDescent="0.25">
      <c r="A41" s="24"/>
      <c r="B41" s="24" t="s">
        <v>105</v>
      </c>
      <c r="C41" s="12">
        <v>307</v>
      </c>
      <c r="D41" s="24"/>
      <c r="E41" s="24"/>
    </row>
    <row r="42" spans="1:9" x14ac:dyDescent="0.25">
      <c r="A42" s="24"/>
      <c r="B42" s="24" t="s">
        <v>111</v>
      </c>
      <c r="C42" s="24">
        <v>2800</v>
      </c>
      <c r="D42" s="24"/>
      <c r="E42" s="24"/>
    </row>
    <row r="43" spans="1:9" x14ac:dyDescent="0.25">
      <c r="A43" s="24"/>
      <c r="B43" s="24" t="s">
        <v>112</v>
      </c>
      <c r="C43" s="24">
        <f>(0.5)^(B27+1)</f>
        <v>3.125E-2</v>
      </c>
      <c r="D43" s="24"/>
      <c r="E43" s="24"/>
    </row>
    <row r="44" spans="1:9" x14ac:dyDescent="0.25">
      <c r="B44" s="24" t="s">
        <v>113</v>
      </c>
      <c r="C44" s="1">
        <f>C41*C42*(1-C43)</f>
        <v>832737.5</v>
      </c>
    </row>
    <row r="45" spans="1:9" x14ac:dyDescent="0.25">
      <c r="B45" s="24" t="s">
        <v>114</v>
      </c>
      <c r="C45" s="43">
        <f>(C44-J31)*C27</f>
        <v>14776.1163040639</v>
      </c>
    </row>
    <row r="46" spans="1:9" x14ac:dyDescent="0.25">
      <c r="B46" s="24" t="s">
        <v>115</v>
      </c>
      <c r="C46" s="43">
        <f>C45*24</f>
        <v>354626.79129753361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9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0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29" zoomScale="70" zoomScaleNormal="70" workbookViewId="0">
      <selection activeCell="D40" sqref="D40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8" t="s">
        <v>3</v>
      </c>
      <c r="B23" s="28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1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1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2" t="s">
        <v>18</v>
      </c>
      <c r="B26" s="31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3" t="s">
        <v>24</v>
      </c>
      <c r="B27" s="31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4" t="s">
        <v>23</v>
      </c>
      <c r="B28" s="31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1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8" t="s">
        <v>26</v>
      </c>
      <c r="B30" s="28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2" t="s">
        <v>29</v>
      </c>
      <c r="B31" s="31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2" t="s">
        <v>31</v>
      </c>
      <c r="B32" s="31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1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8" t="s">
        <v>35</v>
      </c>
      <c r="B34" s="28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1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1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8" t="s">
        <v>44</v>
      </c>
      <c r="B37" s="28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0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8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2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2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4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8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2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2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8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5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2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8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6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70" zoomScaleNormal="70" workbookViewId="0">
      <selection activeCell="D31" sqref="D31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25.425781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24" t="s">
        <v>126</v>
      </c>
      <c r="F2" s="4" t="s">
        <v>120</v>
      </c>
      <c r="G2" s="4" t="s">
        <v>121</v>
      </c>
      <c r="H2" s="4"/>
      <c r="I2" s="24" t="s">
        <v>9</v>
      </c>
      <c r="J2" s="4">
        <f>I13/170</f>
        <v>0.38240000000000007</v>
      </c>
    </row>
    <row r="3" spans="1:13" x14ac:dyDescent="0.25">
      <c r="A3" s="4" t="s">
        <v>58</v>
      </c>
      <c r="B3" s="4">
        <f>IF(B13&gt;0,B13-1,0)</f>
        <v>2</v>
      </c>
      <c r="C3" s="12">
        <v>10.5</v>
      </c>
      <c r="D3" s="4">
        <f>20*C13</f>
        <v>377.04640000000006</v>
      </c>
      <c r="E3">
        <f>D3*24</f>
        <v>9049.1136000000006</v>
      </c>
      <c r="F3" s="41">
        <f>D3*C3</f>
        <v>3958.9872000000005</v>
      </c>
      <c r="G3" s="41">
        <f>F3*24</f>
        <v>95015.692800000019</v>
      </c>
      <c r="H3" s="4"/>
      <c r="I3" s="4" t="s">
        <v>148</v>
      </c>
      <c r="J3" s="12">
        <v>14</v>
      </c>
    </row>
    <row r="4" spans="1:13" x14ac:dyDescent="0.25">
      <c r="A4" s="4" t="s">
        <v>60</v>
      </c>
      <c r="B4" s="4">
        <f>IF(B13&gt;0,B13-1,0)</f>
        <v>2</v>
      </c>
      <c r="C4" s="12">
        <v>890</v>
      </c>
      <c r="D4" s="4">
        <f>8*C13</f>
        <v>150.81856000000002</v>
      </c>
      <c r="E4">
        <f t="shared" ref="E4:E5" si="0">D4*24</f>
        <v>3619.6454400000002</v>
      </c>
      <c r="F4" s="41">
        <f>D4*C4</f>
        <v>134228.51840000003</v>
      </c>
      <c r="G4" s="41">
        <f t="shared" ref="G4:G5" si="1">F4*24</f>
        <v>3221484.4416000005</v>
      </c>
      <c r="H4" s="4"/>
      <c r="I4" t="s">
        <v>150</v>
      </c>
      <c r="J4">
        <f>J3*J2/100</f>
        <v>5.3536000000000007E-2</v>
      </c>
      <c r="L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18</v>
      </c>
      <c r="D5" s="4">
        <f>10*C13</f>
        <v>188.52320000000003</v>
      </c>
      <c r="E5">
        <f t="shared" si="0"/>
        <v>4524.5568000000003</v>
      </c>
      <c r="F5" s="41">
        <f>D5*C5</f>
        <v>3393.4176000000007</v>
      </c>
      <c r="G5" s="41">
        <f t="shared" si="1"/>
        <v>81442.022400000016</v>
      </c>
      <c r="H5" s="4"/>
      <c r="I5" s="4" t="s">
        <v>149</v>
      </c>
      <c r="J5" s="4">
        <f>J2-J4</f>
        <v>0.32886400000000005</v>
      </c>
      <c r="L5" t="s">
        <v>98</v>
      </c>
    </row>
    <row r="6" spans="1:13" x14ac:dyDescent="0.25">
      <c r="A6" s="24" t="s">
        <v>125</v>
      </c>
      <c r="B6" s="4"/>
      <c r="C6" s="4"/>
      <c r="D6" s="4"/>
      <c r="F6" s="41">
        <f>(G13+H13)*C13</f>
        <v>49839.036255390165</v>
      </c>
      <c r="G6" s="41">
        <f>F6*24</f>
        <v>1196136.8701293641</v>
      </c>
      <c r="H6" s="4"/>
    </row>
    <row r="7" spans="1:13" x14ac:dyDescent="0.25">
      <c r="A7" s="4"/>
      <c r="B7" s="4"/>
      <c r="C7" s="4"/>
      <c r="D7" s="4"/>
      <c r="F7" s="42">
        <f>SUM(F3:F6)</f>
        <v>191419.95945539017</v>
      </c>
      <c r="G7" s="42">
        <f>SUM(G3:G6)</f>
        <v>4594079.0269293645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100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99</v>
      </c>
      <c r="J11" s="24" t="s">
        <v>55</v>
      </c>
      <c r="K11" s="24"/>
      <c r="L11" s="4"/>
      <c r="M11" s="4"/>
    </row>
    <row r="12" spans="1:13" x14ac:dyDescent="0.25">
      <c r="A12" s="28" t="s">
        <v>35</v>
      </c>
      <c r="B12" s="28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18.852320000000002</v>
      </c>
      <c r="D13" s="27" t="s">
        <v>39</v>
      </c>
      <c r="E13" s="24">
        <f>20*C3+8*C4+10*C5</f>
        <v>7510</v>
      </c>
      <c r="F13" s="24">
        <v>0.28999999999999998</v>
      </c>
      <c r="G13" s="24">
        <v>1989.41</v>
      </c>
      <c r="H13" s="24">
        <f>$J$5*G13</f>
        <v>654.24533024000016</v>
      </c>
      <c r="I13">
        <f>C13/F13</f>
        <v>65.00800000000001</v>
      </c>
      <c r="J13" s="42">
        <f>E13+G13+H13</f>
        <v>10153.655330240001</v>
      </c>
      <c r="K13" s="24"/>
      <c r="L13" s="4"/>
      <c r="M13" s="4"/>
    </row>
    <row r="14" spans="1:13" x14ac:dyDescent="0.25">
      <c r="A14" s="24"/>
      <c r="B14" s="24"/>
      <c r="C14" s="24"/>
      <c r="D14" s="27"/>
      <c r="E14" s="24"/>
      <c r="F14" s="37" t="s">
        <v>101</v>
      </c>
      <c r="G14" s="39">
        <v>13</v>
      </c>
      <c r="H14" s="38" t="s">
        <v>102</v>
      </c>
      <c r="I14" s="38">
        <f>I13/G14</f>
        <v>5.0006153846153856</v>
      </c>
      <c r="J14" s="24"/>
      <c r="K14" s="24" t="s">
        <v>104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8" t="s">
        <v>108</v>
      </c>
      <c r="I15" s="38">
        <f>I14*G14</f>
        <v>65.00800000000001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105</v>
      </c>
      <c r="C17" s="12">
        <v>11300</v>
      </c>
      <c r="D17" s="24"/>
      <c r="E17" s="24"/>
    </row>
    <row r="18" spans="1:5" x14ac:dyDescent="0.25">
      <c r="A18" s="24"/>
      <c r="B18" s="24" t="s">
        <v>124</v>
      </c>
      <c r="C18" s="24">
        <f>C13*24</f>
        <v>452.45568000000003</v>
      </c>
      <c r="D18" s="24"/>
      <c r="E18" s="24"/>
    </row>
    <row r="19" spans="1:5" x14ac:dyDescent="0.25">
      <c r="A19" s="24"/>
      <c r="B19" s="24" t="s">
        <v>106</v>
      </c>
      <c r="C19" s="42">
        <f>(C17-J13)*C13</f>
        <v>21611.256544609834</v>
      </c>
      <c r="D19" s="24"/>
      <c r="E19" s="24"/>
    </row>
    <row r="20" spans="1:5" x14ac:dyDescent="0.25">
      <c r="A20" s="24"/>
      <c r="B20" s="24" t="s">
        <v>107</v>
      </c>
      <c r="C20" s="42">
        <f>C19*24</f>
        <v>518670.15707063605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  <row r="29" spans="1:5" x14ac:dyDescent="0.25">
      <c r="A29" t="s">
        <v>146</v>
      </c>
      <c r="B29" s="45">
        <v>105000</v>
      </c>
    </row>
    <row r="30" spans="1:5" x14ac:dyDescent="0.25">
      <c r="A30" t="s">
        <v>147</v>
      </c>
      <c r="B30" s="46">
        <f>((I14+1)*I14/2+1)*B29*G14</f>
        <v>21844620.258461546</v>
      </c>
    </row>
    <row r="31" spans="1:5" x14ac:dyDescent="0.25">
      <c r="A31" t="s">
        <v>151</v>
      </c>
      <c r="B31" s="21">
        <f>C20/B30</f>
        <v>2.3743610597658633E-2</v>
      </c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5" zoomScale="70" zoomScaleNormal="70" workbookViewId="0">
      <selection activeCell="D47" sqref="D4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SUM(I20,I25)/170</f>
        <v>0.30166743596412232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289.99999999999994</v>
      </c>
      <c r="E3">
        <f>D3*24</f>
        <v>6959.9999999999982</v>
      </c>
      <c r="F3" s="41">
        <f t="shared" ref="F3:F10" si="0">D3*C3</f>
        <v>3160.9999999999995</v>
      </c>
      <c r="G3" s="41">
        <f>F3*24</f>
        <v>75863.999999999985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820</v>
      </c>
      <c r="D4" s="4">
        <f>8*C18</f>
        <v>115.99999999999997</v>
      </c>
      <c r="E4">
        <f t="shared" ref="E4:E10" si="1">D4*24</f>
        <v>2783.9999999999991</v>
      </c>
      <c r="F4" s="41">
        <f t="shared" si="0"/>
        <v>95119.999999999971</v>
      </c>
      <c r="G4" s="41">
        <f t="shared" ref="G4:G10" si="2">F4*24</f>
        <v>2282879.9999999991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19</v>
      </c>
      <c r="D5" s="4">
        <f>10*C18</f>
        <v>144.99999999999997</v>
      </c>
      <c r="E5">
        <f t="shared" si="1"/>
        <v>3479.9999999999991</v>
      </c>
      <c r="F5" s="41">
        <f t="shared" si="0"/>
        <v>2754.9999999999995</v>
      </c>
      <c r="G5" s="41">
        <f t="shared" si="2"/>
        <v>66119.999999999985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v>2700</v>
      </c>
      <c r="D6" s="4">
        <f>40*C22</f>
        <v>14.146341463414631</v>
      </c>
      <c r="E6">
        <f t="shared" si="1"/>
        <v>339.51219512195115</v>
      </c>
      <c r="F6" s="41">
        <f t="shared" si="0"/>
        <v>38195.121951219502</v>
      </c>
      <c r="G6" s="41">
        <f t="shared" si="2"/>
        <v>916682.92682926799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v>8800</v>
      </c>
      <c r="D7" s="4">
        <f>16*C22+C23*6</f>
        <v>7.7804878048780477</v>
      </c>
      <c r="E7">
        <f t="shared" si="1"/>
        <v>186.73170731707313</v>
      </c>
      <c r="F7" s="41">
        <f t="shared" si="0"/>
        <v>68468.292682926825</v>
      </c>
      <c r="G7" s="41">
        <f t="shared" si="2"/>
        <v>1643239.0243902439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0.70731707317073156</v>
      </c>
      <c r="E8">
        <f t="shared" si="1"/>
        <v>16.975609756097558</v>
      </c>
      <c r="F8" s="41">
        <f t="shared" si="0"/>
        <v>3939.7560975609749</v>
      </c>
      <c r="G8" s="41">
        <f t="shared" si="2"/>
        <v>94554.146341463405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3.5365853658536577</v>
      </c>
      <c r="E9">
        <f t="shared" si="1"/>
        <v>84.878048780487788</v>
      </c>
      <c r="F9" s="41">
        <f t="shared" si="0"/>
        <v>1927.4390243902435</v>
      </c>
      <c r="G9" s="41">
        <f t="shared" si="2"/>
        <v>46258.536585365844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1.4146341463414631</v>
      </c>
      <c r="E10">
        <f t="shared" si="1"/>
        <v>33.951219512195117</v>
      </c>
      <c r="F10" s="41">
        <f t="shared" si="0"/>
        <v>2447.3170731707314</v>
      </c>
      <c r="G10" s="41">
        <f t="shared" si="2"/>
        <v>58735.609756097554</v>
      </c>
      <c r="H10" s="4"/>
    </row>
    <row r="11" spans="1:13" x14ac:dyDescent="0.25">
      <c r="A11" s="4"/>
      <c r="B11" s="4"/>
      <c r="C11" s="4"/>
      <c r="D11" s="4"/>
      <c r="F11" s="42">
        <f>SUM(F3:F10)</f>
        <v>216013.92682926828</v>
      </c>
      <c r="G11" s="42">
        <f>F11*24</f>
        <v>5184334.2439024393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14.499999999999996</v>
      </c>
      <c r="D18" s="27" t="s">
        <v>39</v>
      </c>
      <c r="E18" s="24">
        <f>20*C3+8*C4+10*C5</f>
        <v>6968</v>
      </c>
      <c r="F18" s="24">
        <v>0.28999999999999998</v>
      </c>
      <c r="G18" s="24">
        <v>1989.41</v>
      </c>
      <c r="H18" s="24">
        <f>$J$2*G18</f>
        <v>600.14021378138466</v>
      </c>
      <c r="I18">
        <f>C18/F18</f>
        <v>49.999999999999993</v>
      </c>
      <c r="J18" s="42">
        <f>E18+G18+H18</f>
        <v>9557.5502137813837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12</v>
      </c>
      <c r="H19" s="38" t="s">
        <v>102</v>
      </c>
      <c r="I19" s="38">
        <f>I18/G19</f>
        <v>4.1666666666666661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49.999999999999993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0.35365853658536578</v>
      </c>
      <c r="D22" s="26" t="s">
        <v>22</v>
      </c>
      <c r="E22" s="4">
        <f>40*C6+16*C7+34*J18</f>
        <v>573756.70726856706</v>
      </c>
      <c r="F22" s="4">
        <v>1.67</v>
      </c>
      <c r="G22" s="4">
        <v>351.65</v>
      </c>
      <c r="H22" s="4">
        <f>$J$2*G22</f>
        <v>106.08135385678361</v>
      </c>
      <c r="I22">
        <f>C22/F22</f>
        <v>0.2117715787936322</v>
      </c>
      <c r="J22" s="42">
        <f>E22+G22+H22</f>
        <v>574214.43862242391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0.35365853658536578</v>
      </c>
      <c r="D23" s="26" t="s">
        <v>25</v>
      </c>
      <c r="E23" s="4">
        <f>2*C8+10*C9+4*C10+6*C7+7*J18</f>
        <v>143212.8514964697</v>
      </c>
      <c r="F23" s="4">
        <v>0.33</v>
      </c>
      <c r="G23" s="4">
        <v>1758.23</v>
      </c>
      <c r="H23" s="4">
        <f>$J$2*G23</f>
        <v>530.40073593519878</v>
      </c>
      <c r="I23">
        <f>C23/F23</f>
        <v>1.0716925351071689</v>
      </c>
      <c r="J23" s="42">
        <f>E23+G23+H23</f>
        <v>145501.4822324049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1.2834641139008012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1.2834641139008012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0.35365853658536578</v>
      </c>
      <c r="D27" s="27"/>
      <c r="E27" s="24">
        <f>J22+J23</f>
        <v>719715.92085482879</v>
      </c>
      <c r="F27" s="24">
        <f>C27</f>
        <v>0.35365853658536578</v>
      </c>
      <c r="G27" s="24">
        <v>12500</v>
      </c>
      <c r="H27" s="24"/>
      <c r="I27">
        <f>C27/F27</f>
        <v>1</v>
      </c>
      <c r="J27" s="42">
        <f>E27+G27+H27</f>
        <v>732215.92085482879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4"/>
      <c r="D29" s="26"/>
      <c r="E29" s="4"/>
      <c r="F29" s="4"/>
      <c r="G29" s="4"/>
      <c r="H29" s="4"/>
      <c r="I29" s="24"/>
    </row>
    <row r="30" spans="1:13" x14ac:dyDescent="0.25">
      <c r="A30" s="24"/>
      <c r="D30" s="24"/>
      <c r="E30" s="24"/>
      <c r="I30" s="1"/>
    </row>
    <row r="31" spans="1:13" x14ac:dyDescent="0.25">
      <c r="A31" s="24"/>
      <c r="D31" s="24"/>
    </row>
    <row r="32" spans="1:13" x14ac:dyDescent="0.25">
      <c r="A32" s="24"/>
      <c r="D32" s="24"/>
    </row>
    <row r="33" spans="1:11" x14ac:dyDescent="0.25">
      <c r="A33" s="24"/>
      <c r="D33" s="24"/>
    </row>
    <row r="34" spans="1:11" x14ac:dyDescent="0.25">
      <c r="A34" s="24"/>
      <c r="B34" s="24" t="s">
        <v>109</v>
      </c>
      <c r="C34" s="24"/>
      <c r="D34" s="24"/>
    </row>
    <row r="35" spans="1:11" x14ac:dyDescent="0.25">
      <c r="A35" s="24"/>
      <c r="B35" s="24" t="s">
        <v>105</v>
      </c>
      <c r="C35" s="12">
        <v>780000</v>
      </c>
      <c r="D35" s="24"/>
      <c r="E35" s="24"/>
      <c r="I35" s="1"/>
    </row>
    <row r="36" spans="1:11" x14ac:dyDescent="0.25">
      <c r="A36" s="24"/>
      <c r="B36" s="24" t="s">
        <v>124</v>
      </c>
      <c r="C36" s="24">
        <f>24*C27</f>
        <v>8.4878048780487791</v>
      </c>
      <c r="D36" s="24"/>
      <c r="E36" s="24" t="s">
        <v>133</v>
      </c>
      <c r="F36" t="s">
        <v>135</v>
      </c>
      <c r="I36" s="1"/>
    </row>
    <row r="37" spans="1:11" x14ac:dyDescent="0.25">
      <c r="A37" s="24"/>
      <c r="B37" s="24" t="s">
        <v>106</v>
      </c>
      <c r="C37" s="42">
        <f>(C35-J27)*C27</f>
        <v>16899.247502560549</v>
      </c>
      <c r="D37" s="24"/>
      <c r="E37" s="24" t="s">
        <v>100</v>
      </c>
      <c r="F37" t="s">
        <v>134</v>
      </c>
      <c r="G37" t="s">
        <v>137</v>
      </c>
      <c r="H37" t="s">
        <v>138</v>
      </c>
      <c r="I37" t="s">
        <v>139</v>
      </c>
      <c r="K37" t="s">
        <v>145</v>
      </c>
    </row>
    <row r="38" spans="1:11" x14ac:dyDescent="0.25">
      <c r="A38" s="24"/>
      <c r="B38" s="24" t="s">
        <v>107</v>
      </c>
      <c r="C38" s="42">
        <f>C37*24</f>
        <v>405581.94006145315</v>
      </c>
      <c r="D38" s="24"/>
      <c r="E38" s="24">
        <v>2</v>
      </c>
      <c r="F38">
        <v>2426</v>
      </c>
      <c r="G38" s="44">
        <f t="shared" ref="G38:H42" si="3">$J$27/2800/F52</f>
        <v>301.82024767305393</v>
      </c>
      <c r="H38" s="44">
        <f t="shared" si="3"/>
        <v>298.86364116523629</v>
      </c>
      <c r="I38">
        <f>(G38-H38)*$C$42</f>
        <v>8278.4982218893892</v>
      </c>
    </row>
    <row r="39" spans="1:11" x14ac:dyDescent="0.25">
      <c r="B39" s="24"/>
      <c r="C39" s="24"/>
      <c r="E39" s="24">
        <v>3</v>
      </c>
      <c r="F39">
        <v>2604</v>
      </c>
      <c r="G39" s="44">
        <f t="shared" si="3"/>
        <v>281.18890969847496</v>
      </c>
      <c r="H39" s="44">
        <f t="shared" si="3"/>
        <v>278.93939842088719</v>
      </c>
      <c r="I39">
        <f t="shared" ref="I39:I42" si="4">(G39-H39)*$C$42</f>
        <v>6298.6315772457601</v>
      </c>
    </row>
    <row r="40" spans="1:11" x14ac:dyDescent="0.25">
      <c r="B40" s="24" t="s">
        <v>110</v>
      </c>
      <c r="C40" s="24"/>
      <c r="E40" s="24">
        <v>4</v>
      </c>
      <c r="F40">
        <v>2699</v>
      </c>
      <c r="G40" s="44">
        <f t="shared" si="3"/>
        <v>271.29156015369722</v>
      </c>
      <c r="H40" s="44">
        <f t="shared" si="3"/>
        <v>269.94135331053599</v>
      </c>
      <c r="I40">
        <f t="shared" si="4"/>
        <v>3780.5791608514483</v>
      </c>
    </row>
    <row r="41" spans="1:11" x14ac:dyDescent="0.25">
      <c r="B41" s="24" t="s">
        <v>105</v>
      </c>
      <c r="C41" s="12">
        <v>282</v>
      </c>
      <c r="E41" s="24">
        <v>5</v>
      </c>
      <c r="F41">
        <v>2742</v>
      </c>
      <c r="G41" s="44">
        <f t="shared" si="3"/>
        <v>267.03717026069614</v>
      </c>
      <c r="H41" s="44">
        <f t="shared" si="3"/>
        <v>265.65656992465443</v>
      </c>
      <c r="I41">
        <f t="shared" si="4"/>
        <v>3865.6809409167863</v>
      </c>
    </row>
    <row r="42" spans="1:11" x14ac:dyDescent="0.25">
      <c r="B42" s="24" t="s">
        <v>111</v>
      </c>
      <c r="C42" s="24">
        <v>2800</v>
      </c>
      <c r="E42" s="24">
        <v>6</v>
      </c>
      <c r="F42">
        <v>2765</v>
      </c>
      <c r="G42" s="44">
        <f t="shared" si="3"/>
        <v>264.81588457679163</v>
      </c>
      <c r="H42" s="44">
        <f t="shared" si="3"/>
        <v>263.56478590949968</v>
      </c>
      <c r="I42">
        <f t="shared" si="4"/>
        <v>3503.0762684174761</v>
      </c>
    </row>
    <row r="43" spans="1:11" x14ac:dyDescent="0.25">
      <c r="B43" s="24" t="s">
        <v>112</v>
      </c>
      <c r="C43" s="24">
        <f>LOOKUP(B27,E38:E42,F45:F49)</f>
        <v>3.6071428571428532E-2</v>
      </c>
    </row>
    <row r="44" spans="1:11" x14ac:dyDescent="0.25">
      <c r="B44" s="24" t="s">
        <v>113</v>
      </c>
      <c r="C44" s="1">
        <f>C42*C41*(1-C43)</f>
        <v>761118</v>
      </c>
      <c r="F44" t="s">
        <v>142</v>
      </c>
      <c r="G44" t="s">
        <v>141</v>
      </c>
    </row>
    <row r="45" spans="1:11" x14ac:dyDescent="0.25">
      <c r="B45" s="24" t="s">
        <v>114</v>
      </c>
      <c r="C45" s="43">
        <f>(C44-J27)*C27</f>
        <v>10221.467014755672</v>
      </c>
      <c r="E45" s="24">
        <v>2</v>
      </c>
      <c r="F45">
        <f t="shared" ref="F45:G49" si="5">1-F52</f>
        <v>0.13357142857142856</v>
      </c>
      <c r="G45">
        <f t="shared" si="5"/>
        <v>0.125</v>
      </c>
    </row>
    <row r="46" spans="1:11" x14ac:dyDescent="0.25">
      <c r="B46" s="24" t="s">
        <v>115</v>
      </c>
      <c r="C46" s="43">
        <f>C45*24</f>
        <v>245315.20835413612</v>
      </c>
      <c r="E46" s="24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4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4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4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140</v>
      </c>
      <c r="G51" t="s">
        <v>136</v>
      </c>
    </row>
    <row r="52" spans="5:7" x14ac:dyDescent="0.25">
      <c r="E52" s="24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4">
        <v>3</v>
      </c>
      <c r="F53">
        <f>F39/2800</f>
        <v>0.93</v>
      </c>
      <c r="G53">
        <f>1- (0.5)^(E39+1)</f>
        <v>0.9375</v>
      </c>
    </row>
    <row r="54" spans="5:7" x14ac:dyDescent="0.25">
      <c r="E54" s="24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4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4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70" zoomScaleNormal="70" workbookViewId="0">
      <selection activeCell="L32" sqref="L32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SUM(I20,I25,I32)/170</f>
        <v>0.26590834698664634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F11*24</f>
        <v>5026539.7439999999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529.00072457870408</v>
      </c>
      <c r="I18">
        <f>C18/F18</f>
        <v>43.997241379310346</v>
      </c>
      <c r="J18" s="42">
        <f>E18+G18+H18</f>
        <v>10113.410724578704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11</v>
      </c>
      <c r="H19" s="38" t="s">
        <v>102</v>
      </c>
      <c r="I19" s="38">
        <f>I18/G19</f>
        <v>3.9997492163009407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623743.96463567601</v>
      </c>
      <c r="F22" s="4">
        <v>1.67</v>
      </c>
      <c r="G22" s="4">
        <v>351.65</v>
      </c>
      <c r="H22" s="4">
        <f>$J$2*G22</f>
        <v>93.506670217854179</v>
      </c>
      <c r="I22">
        <f>C22/F22</f>
        <v>0.18634730538922156</v>
      </c>
      <c r="J22" s="42">
        <f>E22+G22+H22</f>
        <v>624189.12130589387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152515.87507205093</v>
      </c>
      <c r="F23" s="4">
        <v>0.33</v>
      </c>
      <c r="G23" s="4">
        <v>1758.23</v>
      </c>
      <c r="H23" s="4">
        <f>$J$2*G23</f>
        <v>467.52803292233119</v>
      </c>
      <c r="I23">
        <f>C23/F23</f>
        <v>0.94303030303030289</v>
      </c>
      <c r="J23" s="42">
        <f>E23+G23+H23</f>
        <v>154741.63310497327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0.31119999999999998</v>
      </c>
      <c r="D27" s="27"/>
      <c r="E27" s="24">
        <f>J22+J23</f>
        <v>778930.75441086711</v>
      </c>
      <c r="F27" s="24">
        <f>C27</f>
        <v>0.31119999999999998</v>
      </c>
      <c r="G27" s="24">
        <v>12500</v>
      </c>
      <c r="H27" s="24"/>
      <c r="I27">
        <f>C27/F27</f>
        <v>1</v>
      </c>
      <c r="J27" s="42">
        <f>E27+G27+H27</f>
        <v>791430.75441086711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8" t="s">
        <v>116</v>
      </c>
      <c r="B29" s="28"/>
      <c r="C29" s="28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118</v>
      </c>
      <c r="B30" s="12">
        <v>8</v>
      </c>
      <c r="C30" s="24"/>
      <c r="D30" s="27" t="s">
        <v>117</v>
      </c>
      <c r="E30" s="24">
        <f>J27</f>
        <v>791430.75441086711</v>
      </c>
      <c r="F30" s="24">
        <v>4</v>
      </c>
      <c r="G30" s="40">
        <f>518*B30*(128/(2^(B30-1)))</f>
        <v>4144</v>
      </c>
      <c r="H30" s="24">
        <f>G30*J2</f>
        <v>1101.9241899126623</v>
      </c>
      <c r="I30">
        <f>C27/F30</f>
        <v>7.7799999999999994E-2</v>
      </c>
      <c r="J30" s="42">
        <f>E30+H30+G30</f>
        <v>796676.67860077973</v>
      </c>
      <c r="K30" t="s">
        <v>132</v>
      </c>
      <c r="L30" t="s">
        <v>143</v>
      </c>
    </row>
    <row r="31" spans="1:13" x14ac:dyDescent="0.25">
      <c r="A31" s="24"/>
      <c r="B31" s="24"/>
      <c r="C31" s="24"/>
      <c r="D31" s="26"/>
      <c r="E31" s="4"/>
      <c r="F31" s="37" t="s">
        <v>101</v>
      </c>
      <c r="G31" s="39">
        <v>1</v>
      </c>
      <c r="H31" s="38" t="s">
        <v>102</v>
      </c>
      <c r="I31" s="38">
        <f>(I30)/G31</f>
        <v>7.7799999999999994E-2</v>
      </c>
      <c r="L31" t="s">
        <v>144</v>
      </c>
    </row>
    <row r="32" spans="1:13" x14ac:dyDescent="0.25">
      <c r="A32" s="24"/>
      <c r="B32" s="24"/>
      <c r="C32" s="24"/>
      <c r="D32" s="26"/>
      <c r="E32" s="4"/>
      <c r="G32" s="4"/>
      <c r="H32" s="38" t="s">
        <v>108</v>
      </c>
      <c r="I32" s="38">
        <f>I31*G31</f>
        <v>7.7799999999999994E-2</v>
      </c>
    </row>
    <row r="33" spans="1:9" x14ac:dyDescent="0.25">
      <c r="A33" s="24"/>
      <c r="B33" s="24" t="s">
        <v>109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105</v>
      </c>
      <c r="C34" s="12">
        <f>780000+10000*B27</f>
        <v>820000</v>
      </c>
      <c r="D34" s="24"/>
      <c r="E34" s="24"/>
      <c r="I34" s="1"/>
    </row>
    <row r="35" spans="1:9" x14ac:dyDescent="0.25">
      <c r="A35" s="24"/>
      <c r="B35" s="24" t="s">
        <v>124</v>
      </c>
      <c r="C35" s="24">
        <f>24*C27</f>
        <v>7.4687999999999999</v>
      </c>
      <c r="D35" s="24"/>
      <c r="E35" s="24"/>
      <c r="I35" s="1"/>
    </row>
    <row r="36" spans="1:9" x14ac:dyDescent="0.25">
      <c r="A36" s="24"/>
      <c r="B36" s="24" t="s">
        <v>106</v>
      </c>
      <c r="C36" s="42">
        <f>(C34-J27)*C27</f>
        <v>8890.749227338154</v>
      </c>
      <c r="D36" s="24"/>
      <c r="E36" s="24"/>
      <c r="I36" s="1"/>
    </row>
    <row r="37" spans="1:9" x14ac:dyDescent="0.25">
      <c r="A37" s="24"/>
      <c r="B37" s="24" t="s">
        <v>107</v>
      </c>
      <c r="C37" s="42">
        <f>C36*24</f>
        <v>213377.9814561157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110</v>
      </c>
      <c r="C39" s="24"/>
      <c r="D39" s="24"/>
      <c r="E39" s="24"/>
    </row>
    <row r="40" spans="1:9" x14ac:dyDescent="0.25">
      <c r="A40" s="24"/>
      <c r="B40" s="24" t="s">
        <v>105</v>
      </c>
      <c r="C40" s="12">
        <v>307</v>
      </c>
      <c r="D40" s="24"/>
      <c r="E40" s="24"/>
    </row>
    <row r="41" spans="1:9" x14ac:dyDescent="0.25">
      <c r="A41" s="24"/>
      <c r="B41" s="24" t="s">
        <v>111</v>
      </c>
      <c r="C41" s="24">
        <v>2800</v>
      </c>
      <c r="D41" s="24"/>
      <c r="E41" s="24"/>
    </row>
    <row r="42" spans="1:9" x14ac:dyDescent="0.25">
      <c r="A42" s="24"/>
      <c r="B42" s="24" t="s">
        <v>112</v>
      </c>
      <c r="C42" s="24">
        <f>(0.5)^(B27+1)</f>
        <v>3.125E-2</v>
      </c>
      <c r="D42" s="24"/>
      <c r="E42" s="24"/>
    </row>
    <row r="43" spans="1:9" x14ac:dyDescent="0.25">
      <c r="B43" s="24" t="s">
        <v>113</v>
      </c>
      <c r="C43" s="1">
        <f>C40*C41*(1-C42)</f>
        <v>832737.5</v>
      </c>
    </row>
    <row r="44" spans="1:9" x14ac:dyDescent="0.25">
      <c r="B44" s="24" t="s">
        <v>114</v>
      </c>
      <c r="C44" s="43">
        <f>(C43-J30)*C27</f>
        <v>11222.127619437346</v>
      </c>
    </row>
    <row r="45" spans="1:9" x14ac:dyDescent="0.25">
      <c r="B45" s="24" t="s">
        <v>115</v>
      </c>
      <c r="C45" s="43">
        <f>C44*24</f>
        <v>269331.06286649627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2021-05-26T06:00:02Z</dcterms:modified>
</cp:coreProperties>
</file>