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GitHub\SimCompanies\"/>
    </mc:Choice>
  </mc:AlternateContent>
  <bookViews>
    <workbookView xWindow="0" yWindow="0" windowWidth="28800" windowHeight="12330"/>
  </bookViews>
  <sheets>
    <sheet name="Archive" sheetId="4" r:id="rId1"/>
    <sheet name="BonusPrice" sheetId="2" r:id="rId2"/>
    <sheet name="Expected sold units" sheetId="3" r:id="rId3"/>
    <sheet name="Production plans" sheetId="5" r:id="rId4"/>
    <sheet name="Production plans optimization" sheetId="6" r:id="rId5"/>
  </sheets>
  <definedNames>
    <definedName name="solver_adj" localSheetId="4" hidden="1">'Production plans optimization'!$B$7:$B$11</definedName>
    <definedName name="solver_cvg" localSheetId="4" hidden="1">0.01</definedName>
    <definedName name="solver_drv" localSheetId="4" hidden="1">1</definedName>
    <definedName name="solver_eng" localSheetId="4" hidden="1">3</definedName>
    <definedName name="solver_est" localSheetId="4" hidden="1">1</definedName>
    <definedName name="solver_itr" localSheetId="4" hidden="1">2147483647</definedName>
    <definedName name="solver_lhs1" localSheetId="4" hidden="1">'Production plans optimization'!$B$10</definedName>
    <definedName name="solver_lhs10" localSheetId="4" hidden="1">'Production plans optimization'!$B$9</definedName>
    <definedName name="solver_lhs2" localSheetId="4" hidden="1">'Production plans optimization'!$B$10</definedName>
    <definedName name="solver_lhs3" localSheetId="4" hidden="1">'Production plans optimization'!$B$11</definedName>
    <definedName name="solver_lhs4" localSheetId="4" hidden="1">'Production plans optimization'!$B$11</definedName>
    <definedName name="solver_lhs5" localSheetId="4" hidden="1">'Production plans optimization'!$B$7</definedName>
    <definedName name="solver_lhs6" localSheetId="4" hidden="1">'Production plans optimization'!$B$7</definedName>
    <definedName name="solver_lhs7" localSheetId="4" hidden="1">'Production plans optimization'!$B$8</definedName>
    <definedName name="solver_lhs8" localSheetId="4" hidden="1">'Production plans optimization'!$B$8</definedName>
    <definedName name="solver_lhs9" localSheetId="4" hidden="1">'Production plans optimization'!$B$9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10</definedName>
    <definedName name="solver_nwt" localSheetId="4" hidden="1">1</definedName>
    <definedName name="solver_opt" localSheetId="4" hidden="1">'Production plans optimization'!$S$15</definedName>
    <definedName name="solver_pre" localSheetId="4" hidden="1">0.001</definedName>
    <definedName name="solver_rbv" localSheetId="4" hidden="1">1</definedName>
    <definedName name="solver_rel1" localSheetId="4" hidden="1">1</definedName>
    <definedName name="solver_rel10" localSheetId="4" hidden="1">3</definedName>
    <definedName name="solver_rel2" localSheetId="4" hidden="1">3</definedName>
    <definedName name="solver_rel3" localSheetId="4" hidden="1">1</definedName>
    <definedName name="solver_rel4" localSheetId="4" hidden="1">3</definedName>
    <definedName name="solver_rel5" localSheetId="4" hidden="1">1</definedName>
    <definedName name="solver_rel6" localSheetId="4" hidden="1">3</definedName>
    <definedName name="solver_rel7" localSheetId="4" hidden="1">1</definedName>
    <definedName name="solver_rel8" localSheetId="4" hidden="1">3</definedName>
    <definedName name="solver_rel9" localSheetId="4" hidden="1">1</definedName>
    <definedName name="solver_rhs1" localSheetId="4" hidden="1">15</definedName>
    <definedName name="solver_rhs10" localSheetId="4" hidden="1">0</definedName>
    <definedName name="solver_rhs2" localSheetId="4" hidden="1">0</definedName>
    <definedName name="solver_rhs3" localSheetId="4" hidden="1">15</definedName>
    <definedName name="solver_rhs4" localSheetId="4" hidden="1">0</definedName>
    <definedName name="solver_rhs5" localSheetId="4" hidden="1">15</definedName>
    <definedName name="solver_rhs6" localSheetId="4" hidden="1">0</definedName>
    <definedName name="solver_rhs7" localSheetId="4" hidden="1">15</definedName>
    <definedName name="solver_rhs8" localSheetId="4" hidden="1">0</definedName>
    <definedName name="solver_rhs9" localSheetId="4" hidden="1">15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1" i="4" l="1"/>
  <c r="V52" i="4"/>
  <c r="V44" i="4"/>
  <c r="U44" i="4"/>
  <c r="U51" i="4"/>
  <c r="U52" i="4"/>
  <c r="U53" i="4"/>
  <c r="V53" i="4" s="1"/>
  <c r="U54" i="4"/>
  <c r="V54" i="4" s="1"/>
  <c r="U55" i="4"/>
  <c r="V55" i="4" s="1"/>
  <c r="U50" i="4"/>
  <c r="V50" i="4" s="1"/>
  <c r="T50" i="4"/>
  <c r="T51" i="4"/>
  <c r="T52" i="4"/>
  <c r="T53" i="4"/>
  <c r="T54" i="4"/>
  <c r="T55" i="4"/>
  <c r="S51" i="4"/>
  <c r="S52" i="4"/>
  <c r="S53" i="4"/>
  <c r="S54" i="4"/>
  <c r="S55" i="4"/>
  <c r="S50" i="4"/>
  <c r="U38" i="4"/>
  <c r="V38" i="4"/>
  <c r="U39" i="4"/>
  <c r="V39" i="4"/>
  <c r="U40" i="4"/>
  <c r="V40" i="4"/>
  <c r="U41" i="4"/>
  <c r="V41" i="4"/>
  <c r="U42" i="4"/>
  <c r="V42" i="4"/>
  <c r="U43" i="4"/>
  <c r="V43" i="4"/>
  <c r="V37" i="4"/>
  <c r="U37" i="4"/>
  <c r="T43" i="4"/>
  <c r="T44" i="4"/>
  <c r="T41" i="4"/>
  <c r="T42" i="4"/>
  <c r="S38" i="4"/>
  <c r="S39" i="4"/>
  <c r="S40" i="4"/>
  <c r="S41" i="4"/>
  <c r="S42" i="4"/>
  <c r="S37" i="4"/>
  <c r="T38" i="4"/>
  <c r="T39" i="4"/>
  <c r="T40" i="4"/>
  <c r="T37" i="4"/>
  <c r="S29" i="4"/>
  <c r="S30" i="4"/>
  <c r="S31" i="4"/>
  <c r="S32" i="4"/>
  <c r="S33" i="4"/>
  <c r="S28" i="4"/>
  <c r="T29" i="4"/>
  <c r="T30" i="4"/>
  <c r="T31" i="4"/>
  <c r="T32" i="4"/>
  <c r="T33" i="4"/>
  <c r="T28" i="4"/>
  <c r="U33" i="4" l="1"/>
  <c r="U32" i="4"/>
  <c r="U31" i="4"/>
  <c r="U30" i="4"/>
  <c r="U29" i="4"/>
  <c r="U28" i="4"/>
  <c r="S44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O420" i="4" s="1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O508" i="4" s="1"/>
  <c r="K509" i="4"/>
  <c r="K510" i="4"/>
  <c r="K511" i="4"/>
  <c r="K512" i="4"/>
  <c r="K513" i="4"/>
  <c r="K514" i="4"/>
  <c r="K515" i="4"/>
  <c r="K516" i="4"/>
  <c r="K517" i="4"/>
  <c r="K518" i="4"/>
  <c r="K519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O458" i="4" s="1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O482" i="4" s="1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O416" i="4" s="1"/>
  <c r="M417" i="4"/>
  <c r="M418" i="4"/>
  <c r="M419" i="4"/>
  <c r="M420" i="4"/>
  <c r="M421" i="4"/>
  <c r="M422" i="4"/>
  <c r="M423" i="4"/>
  <c r="M424" i="4"/>
  <c r="O424" i="4" s="1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O472" i="4" s="1"/>
  <c r="M473" i="4"/>
  <c r="M474" i="4"/>
  <c r="M475" i="4"/>
  <c r="M476" i="4"/>
  <c r="M477" i="4"/>
  <c r="M478" i="4"/>
  <c r="M479" i="4"/>
  <c r="M480" i="4"/>
  <c r="O480" i="4" s="1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O430" i="4" s="1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O446" i="4" s="1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O462" i="4" s="1"/>
  <c r="N463" i="4"/>
  <c r="N464" i="4"/>
  <c r="N465" i="4"/>
  <c r="N466" i="4"/>
  <c r="N467" i="4"/>
  <c r="N468" i="4"/>
  <c r="N469" i="4"/>
  <c r="N470" i="4"/>
  <c r="O470" i="4" s="1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O486" i="4" s="1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O510" i="4" s="1"/>
  <c r="N511" i="4"/>
  <c r="N512" i="4"/>
  <c r="N513" i="4"/>
  <c r="N514" i="4"/>
  <c r="N515" i="4"/>
  <c r="N516" i="4"/>
  <c r="N517" i="4"/>
  <c r="N518" i="4"/>
  <c r="O518" i="4" s="1"/>
  <c r="N519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O441" i="4" l="1"/>
  <c r="O514" i="4"/>
  <c r="O506" i="4"/>
  <c r="O498" i="4"/>
  <c r="O474" i="4"/>
  <c r="O450" i="4"/>
  <c r="O442" i="4"/>
  <c r="O434" i="4"/>
  <c r="O418" i="4"/>
  <c r="O500" i="4"/>
  <c r="O484" i="4"/>
  <c r="O468" i="4"/>
  <c r="O436" i="4"/>
  <c r="O428" i="4"/>
  <c r="O502" i="4"/>
  <c r="O494" i="4"/>
  <c r="O454" i="4"/>
  <c r="O512" i="4"/>
  <c r="O504" i="4"/>
  <c r="O496" i="4"/>
  <c r="O488" i="4"/>
  <c r="O464" i="4"/>
  <c r="O456" i="4"/>
  <c r="O448" i="4"/>
  <c r="O440" i="4"/>
  <c r="O432" i="4"/>
  <c r="O466" i="4"/>
  <c r="O513" i="4"/>
  <c r="O497" i="4"/>
  <c r="O481" i="4"/>
  <c r="O425" i="4"/>
  <c r="O519" i="4"/>
  <c r="O511" i="4"/>
  <c r="O503" i="4"/>
  <c r="O495" i="4"/>
  <c r="O487" i="4"/>
  <c r="O479" i="4"/>
  <c r="O471" i="4"/>
  <c r="O463" i="4"/>
  <c r="O455" i="4"/>
  <c r="O447" i="4"/>
  <c r="O439" i="4"/>
  <c r="O431" i="4"/>
  <c r="O423" i="4"/>
  <c r="O415" i="4"/>
  <c r="O505" i="4"/>
  <c r="O489" i="4"/>
  <c r="O473" i="4"/>
  <c r="O457" i="4"/>
  <c r="O449" i="4"/>
  <c r="O433" i="4"/>
  <c r="O417" i="4"/>
  <c r="O361" i="4"/>
  <c r="O490" i="4"/>
  <c r="O426" i="4"/>
  <c r="O492" i="4"/>
  <c r="O476" i="4"/>
  <c r="O460" i="4"/>
  <c r="O444" i="4"/>
  <c r="O438" i="4"/>
  <c r="O422" i="4"/>
  <c r="O516" i="4"/>
  <c r="O452" i="4"/>
  <c r="O465" i="4"/>
  <c r="O294" i="4"/>
  <c r="O286" i="4"/>
  <c r="O478" i="4"/>
  <c r="O517" i="4"/>
  <c r="O509" i="4"/>
  <c r="O501" i="4"/>
  <c r="O493" i="4"/>
  <c r="O485" i="4"/>
  <c r="O477" i="4"/>
  <c r="O469" i="4"/>
  <c r="O461" i="4"/>
  <c r="O453" i="4"/>
  <c r="O445" i="4"/>
  <c r="O437" i="4"/>
  <c r="O429" i="4"/>
  <c r="O421" i="4"/>
  <c r="O372" i="4"/>
  <c r="O515" i="4"/>
  <c r="O507" i="4"/>
  <c r="O499" i="4"/>
  <c r="O491" i="4"/>
  <c r="O483" i="4"/>
  <c r="O475" i="4"/>
  <c r="O467" i="4"/>
  <c r="O459" i="4"/>
  <c r="O451" i="4"/>
  <c r="O443" i="4"/>
  <c r="O435" i="4"/>
  <c r="O427" i="4"/>
  <c r="O419" i="4"/>
  <c r="O366" i="4"/>
  <c r="O400" i="4"/>
  <c r="O376" i="4"/>
  <c r="O345" i="4"/>
  <c r="O411" i="4"/>
  <c r="O391" i="4"/>
  <c r="O386" i="4"/>
  <c r="O354" i="4"/>
  <c r="O358" i="4"/>
  <c r="O350" i="4"/>
  <c r="O342" i="4"/>
  <c r="O414" i="4"/>
  <c r="O413" i="4"/>
  <c r="O412" i="4"/>
  <c r="O410" i="4"/>
  <c r="O409" i="4"/>
  <c r="O408" i="4"/>
  <c r="O407" i="4"/>
  <c r="O406" i="4"/>
  <c r="O405" i="4"/>
  <c r="O404" i="4"/>
  <c r="O403" i="4"/>
  <c r="O402" i="4"/>
  <c r="O401" i="4"/>
  <c r="O399" i="4"/>
  <c r="O398" i="4"/>
  <c r="O397" i="4"/>
  <c r="O396" i="4"/>
  <c r="O395" i="4"/>
  <c r="O394" i="4"/>
  <c r="O393" i="4"/>
  <c r="O392" i="4"/>
  <c r="O390" i="4"/>
  <c r="O389" i="4"/>
  <c r="O388" i="4"/>
  <c r="O387" i="4"/>
  <c r="O385" i="4"/>
  <c r="O384" i="4"/>
  <c r="O383" i="4"/>
  <c r="O382" i="4"/>
  <c r="O381" i="4"/>
  <c r="O380" i="4"/>
  <c r="O379" i="4"/>
  <c r="O378" i="4"/>
  <c r="O377" i="4"/>
  <c r="O375" i="4"/>
  <c r="O374" i="4"/>
  <c r="O373" i="4"/>
  <c r="O371" i="4"/>
  <c r="O370" i="4"/>
  <c r="O369" i="4"/>
  <c r="O368" i="4"/>
  <c r="O367" i="4"/>
  <c r="O365" i="4"/>
  <c r="O364" i="4"/>
  <c r="O363" i="4"/>
  <c r="O362" i="4"/>
  <c r="O360" i="4"/>
  <c r="O359" i="4"/>
  <c r="O357" i="4"/>
  <c r="O356" i="4"/>
  <c r="O355" i="4"/>
  <c r="O353" i="4"/>
  <c r="O352" i="4"/>
  <c r="O351" i="4"/>
  <c r="O349" i="4"/>
  <c r="O348" i="4"/>
  <c r="O347" i="4"/>
  <c r="O346" i="4"/>
  <c r="O344" i="4"/>
  <c r="O343" i="4"/>
  <c r="O341" i="4"/>
  <c r="O340" i="4"/>
  <c r="O339" i="4"/>
  <c r="O338" i="4"/>
  <c r="O337" i="4"/>
  <c r="O336" i="4"/>
  <c r="O335" i="4"/>
  <c r="O334" i="4"/>
  <c r="O333" i="4"/>
  <c r="O332" i="4"/>
  <c r="O281" i="4"/>
  <c r="O280" i="4"/>
  <c r="O308" i="4"/>
  <c r="O292" i="4"/>
  <c r="O298" i="4"/>
  <c r="O331" i="4"/>
  <c r="O330" i="4"/>
  <c r="O329" i="4"/>
  <c r="O328" i="4"/>
  <c r="O327" i="4"/>
  <c r="O326" i="4"/>
  <c r="O325" i="4"/>
  <c r="O324" i="4"/>
  <c r="O323" i="4"/>
  <c r="O322" i="4"/>
  <c r="O321" i="4"/>
  <c r="O320" i="4"/>
  <c r="O319" i="4"/>
  <c r="O318" i="4"/>
  <c r="O317" i="4"/>
  <c r="O316" i="4"/>
  <c r="O315" i="4"/>
  <c r="O314" i="4"/>
  <c r="O313" i="4"/>
  <c r="O312" i="4"/>
  <c r="O311" i="4"/>
  <c r="O310" i="4"/>
  <c r="O309" i="4"/>
  <c r="O307" i="4"/>
  <c r="O306" i="4"/>
  <c r="O305" i="4"/>
  <c r="O304" i="4"/>
  <c r="O303" i="4"/>
  <c r="O302" i="4"/>
  <c r="O301" i="4"/>
  <c r="O300" i="4"/>
  <c r="O299" i="4"/>
  <c r="O297" i="4"/>
  <c r="O296" i="4"/>
  <c r="O295" i="4"/>
  <c r="O293" i="4"/>
  <c r="O291" i="4"/>
  <c r="O290" i="4"/>
  <c r="O289" i="4"/>
  <c r="O288" i="4"/>
  <c r="O287" i="4"/>
  <c r="O285" i="4"/>
  <c r="O284" i="4"/>
  <c r="O283" i="4"/>
  <c r="O282" i="4"/>
  <c r="B12" i="6"/>
  <c r="U11" i="6"/>
  <c r="T11" i="6"/>
  <c r="T10" i="6"/>
  <c r="U10" i="6" s="1"/>
  <c r="U9" i="6"/>
  <c r="T9" i="6"/>
  <c r="T8" i="6"/>
  <c r="U8" i="6" s="1"/>
  <c r="U7" i="6"/>
  <c r="T7" i="6"/>
  <c r="S6" i="6"/>
  <c r="T6" i="6" s="1"/>
  <c r="S6" i="5"/>
  <c r="T6" i="5" s="1"/>
  <c r="U12" i="5"/>
  <c r="U7" i="5"/>
  <c r="T8" i="5"/>
  <c r="U8" i="5" s="1"/>
  <c r="T10" i="5"/>
  <c r="U10" i="5" s="1"/>
  <c r="T11" i="5"/>
  <c r="U11" i="5" s="1"/>
  <c r="T12" i="5"/>
  <c r="T7" i="5"/>
  <c r="B13" i="5"/>
  <c r="G13" i="5" l="1"/>
  <c r="G14" i="5" s="1"/>
  <c r="G15" i="5" s="1"/>
  <c r="G17" i="5" s="1"/>
  <c r="C13" i="5"/>
  <c r="C14" i="5" s="1"/>
  <c r="C15" i="5" s="1"/>
  <c r="C17" i="5" s="1"/>
  <c r="D13" i="5"/>
  <c r="D14" i="5" s="1"/>
  <c r="D15" i="5" s="1"/>
  <c r="D17" i="5" s="1"/>
  <c r="N13" i="5"/>
  <c r="N14" i="5" s="1"/>
  <c r="N15" i="5" s="1"/>
  <c r="N17" i="5" s="1"/>
  <c r="E13" i="5"/>
  <c r="E14" i="5" s="1"/>
  <c r="E15" i="5" s="1"/>
  <c r="E17" i="5" s="1"/>
  <c r="K13" i="5"/>
  <c r="K14" i="5" s="1"/>
  <c r="K15" i="5" s="1"/>
  <c r="K17" i="5" s="1"/>
  <c r="L13" i="5"/>
  <c r="L14" i="5" s="1"/>
  <c r="L15" i="5" s="1"/>
  <c r="L17" i="5" s="1"/>
  <c r="R13" i="5"/>
  <c r="R14" i="5" s="1"/>
  <c r="R15" i="5" s="1"/>
  <c r="R17" i="5" s="1"/>
  <c r="P12" i="6"/>
  <c r="P13" i="6" s="1"/>
  <c r="P14" i="6" s="1"/>
  <c r="H12" i="6"/>
  <c r="H13" i="6" s="1"/>
  <c r="H14" i="6" s="1"/>
  <c r="O12" i="6"/>
  <c r="O13" i="6" s="1"/>
  <c r="O14" i="6" s="1"/>
  <c r="G12" i="6"/>
  <c r="G13" i="6" s="1"/>
  <c r="G14" i="6" s="1"/>
  <c r="G15" i="6" s="1"/>
  <c r="N12" i="6"/>
  <c r="N13" i="6" s="1"/>
  <c r="N14" i="6" s="1"/>
  <c r="F12" i="6"/>
  <c r="F13" i="6" s="1"/>
  <c r="F14" i="6" s="1"/>
  <c r="M12" i="6"/>
  <c r="M13" i="6" s="1"/>
  <c r="M14" i="6" s="1"/>
  <c r="E12" i="6"/>
  <c r="E13" i="6" s="1"/>
  <c r="E14" i="6" s="1"/>
  <c r="E15" i="6" s="1"/>
  <c r="L12" i="6"/>
  <c r="L13" i="6" s="1"/>
  <c r="L14" i="6" s="1"/>
  <c r="L15" i="6" s="1"/>
  <c r="D12" i="6"/>
  <c r="D13" i="6" s="1"/>
  <c r="D14" i="6" s="1"/>
  <c r="K12" i="6"/>
  <c r="K13" i="6" s="1"/>
  <c r="K14" i="6" s="1"/>
  <c r="K15" i="6" s="1"/>
  <c r="C12" i="6"/>
  <c r="C13" i="6" s="1"/>
  <c r="C14" i="6" s="1"/>
  <c r="C15" i="6" s="1"/>
  <c r="R12" i="6"/>
  <c r="R13" i="6" s="1"/>
  <c r="R14" i="6" s="1"/>
  <c r="J12" i="6"/>
  <c r="J13" i="6" s="1"/>
  <c r="J14" i="6" s="1"/>
  <c r="Q12" i="6"/>
  <c r="Q13" i="6" s="1"/>
  <c r="Q14" i="6" s="1"/>
  <c r="I12" i="6"/>
  <c r="I13" i="6" s="1"/>
  <c r="I14" i="6" s="1"/>
  <c r="J13" i="5"/>
  <c r="J14" i="5" s="1"/>
  <c r="J15" i="5" s="1"/>
  <c r="J17" i="5" s="1"/>
  <c r="F13" i="5"/>
  <c r="F14" i="5" s="1"/>
  <c r="F15" i="5" s="1"/>
  <c r="F17" i="5" s="1"/>
  <c r="M13" i="5"/>
  <c r="M14" i="5" s="1"/>
  <c r="M15" i="5" s="1"/>
  <c r="M17" i="5" s="1"/>
  <c r="I13" i="5"/>
  <c r="I14" i="5" s="1"/>
  <c r="I15" i="5" s="1"/>
  <c r="I17" i="5" s="1"/>
  <c r="P13" i="5"/>
  <c r="P14" i="5" s="1"/>
  <c r="P15" i="5" s="1"/>
  <c r="P17" i="5" s="1"/>
  <c r="H13" i="5"/>
  <c r="H14" i="5" s="1"/>
  <c r="H15" i="5" s="1"/>
  <c r="H17" i="5" s="1"/>
  <c r="Q13" i="5"/>
  <c r="Q14" i="5" s="1"/>
  <c r="Q15" i="5" s="1"/>
  <c r="Q17" i="5" s="1"/>
  <c r="O13" i="5"/>
  <c r="O14" i="5" s="1"/>
  <c r="O15" i="5" s="1"/>
  <c r="O17" i="5" s="1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S15" i="6" l="1"/>
  <c r="O278" i="4"/>
  <c r="O270" i="4"/>
  <c r="O262" i="4"/>
  <c r="O254" i="4"/>
  <c r="O209" i="4"/>
  <c r="O269" i="4"/>
  <c r="O272" i="4"/>
  <c r="O264" i="4"/>
  <c r="O256" i="4"/>
  <c r="O275" i="4"/>
  <c r="O267" i="4"/>
  <c r="O259" i="4"/>
  <c r="O273" i="4"/>
  <c r="O265" i="4"/>
  <c r="O257" i="4"/>
  <c r="O279" i="4"/>
  <c r="O271" i="4"/>
  <c r="O263" i="4"/>
  <c r="O255" i="4"/>
  <c r="O277" i="4"/>
  <c r="O261" i="4"/>
  <c r="O276" i="4"/>
  <c r="O268" i="4"/>
  <c r="O260" i="4"/>
  <c r="O220" i="4"/>
  <c r="O274" i="4"/>
  <c r="O266" i="4"/>
  <c r="O258" i="4"/>
  <c r="O226" i="4"/>
  <c r="O240" i="4"/>
  <c r="O224" i="4"/>
  <c r="O213" i="4"/>
  <c r="O205" i="4"/>
  <c r="O253" i="4"/>
  <c r="O252" i="4"/>
  <c r="O251" i="4"/>
  <c r="O250" i="4"/>
  <c r="O249" i="4"/>
  <c r="O248" i="4"/>
  <c r="O247" i="4"/>
  <c r="O246" i="4"/>
  <c r="O245" i="4"/>
  <c r="O244" i="4"/>
  <c r="O243" i="4"/>
  <c r="O242" i="4"/>
  <c r="O241" i="4"/>
  <c r="O239" i="4"/>
  <c r="O238" i="4"/>
  <c r="O237" i="4"/>
  <c r="O236" i="4"/>
  <c r="O235" i="4"/>
  <c r="O234" i="4"/>
  <c r="O233" i="4"/>
  <c r="O232" i="4"/>
  <c r="O231" i="4"/>
  <c r="O230" i="4"/>
  <c r="O229" i="4"/>
  <c r="O228" i="4"/>
  <c r="O227" i="4"/>
  <c r="O225" i="4"/>
  <c r="O223" i="4"/>
  <c r="O222" i="4"/>
  <c r="O221" i="4"/>
  <c r="O219" i="4"/>
  <c r="O218" i="4"/>
  <c r="O217" i="4"/>
  <c r="O216" i="4"/>
  <c r="O215" i="4"/>
  <c r="O214" i="4"/>
  <c r="O212" i="4"/>
  <c r="O211" i="4"/>
  <c r="O210" i="4"/>
  <c r="O208" i="4"/>
  <c r="O207" i="4"/>
  <c r="O206" i="4"/>
  <c r="O204" i="4"/>
  <c r="O203" i="4"/>
  <c r="O202" i="4"/>
  <c r="O201" i="4"/>
  <c r="D26" i="3" l="1"/>
  <c r="E26" i="3"/>
  <c r="F26" i="3"/>
  <c r="G26" i="3"/>
  <c r="H26" i="3"/>
  <c r="C26" i="3"/>
  <c r="O6" i="4" l="1"/>
  <c r="P6" i="4" s="1"/>
  <c r="O5" i="4"/>
  <c r="P5" i="4" s="1"/>
  <c r="J137" i="4" l="1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N137" i="4"/>
  <c r="N138" i="4"/>
  <c r="N139" i="4"/>
  <c r="N140" i="4"/>
  <c r="N141" i="4"/>
  <c r="N142" i="4"/>
  <c r="N143" i="4"/>
  <c r="N144" i="4"/>
  <c r="N145" i="4"/>
  <c r="N146" i="4"/>
  <c r="O146" i="4" s="1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O190" i="4" s="1"/>
  <c r="N191" i="4"/>
  <c r="N192" i="4"/>
  <c r="N193" i="4"/>
  <c r="N194" i="4"/>
  <c r="N195" i="4"/>
  <c r="N196" i="4"/>
  <c r="N197" i="4"/>
  <c r="N198" i="4"/>
  <c r="N199" i="4"/>
  <c r="N200" i="4"/>
  <c r="O145" i="4"/>
  <c r="O151" i="4" l="1"/>
  <c r="O196" i="4"/>
  <c r="O188" i="4"/>
  <c r="O173" i="4"/>
  <c r="O170" i="4"/>
  <c r="O165" i="4"/>
  <c r="O164" i="4"/>
  <c r="O157" i="4"/>
  <c r="O156" i="4"/>
  <c r="O178" i="4"/>
  <c r="O189" i="4"/>
  <c r="O181" i="4"/>
  <c r="O197" i="4"/>
  <c r="O198" i="4"/>
  <c r="O171" i="4"/>
  <c r="O163" i="4"/>
  <c r="O155" i="4"/>
  <c r="O176" i="4"/>
  <c r="O160" i="4"/>
  <c r="O199" i="4"/>
  <c r="O191" i="4"/>
  <c r="O183" i="4"/>
  <c r="O175" i="4"/>
  <c r="O159" i="4"/>
  <c r="O174" i="4"/>
  <c r="O179" i="4"/>
  <c r="O177" i="4"/>
  <c r="O169" i="4"/>
  <c r="O161" i="4"/>
  <c r="O167" i="4"/>
  <c r="O180" i="4"/>
  <c r="O172" i="4"/>
  <c r="O195" i="4"/>
  <c r="O187" i="4"/>
  <c r="O162" i="4"/>
  <c r="O185" i="4"/>
  <c r="O200" i="4"/>
  <c r="O192" i="4"/>
  <c r="O184" i="4"/>
  <c r="O186" i="4"/>
  <c r="O194" i="4"/>
  <c r="O193" i="4"/>
  <c r="O166" i="4"/>
  <c r="O158" i="4"/>
  <c r="O168" i="4"/>
  <c r="O182" i="4"/>
  <c r="O154" i="4"/>
  <c r="O153" i="4"/>
  <c r="O152" i="4"/>
  <c r="O150" i="4"/>
  <c r="O149" i="4"/>
  <c r="O148" i="4"/>
  <c r="O147" i="4"/>
  <c r="O144" i="4"/>
  <c r="O143" i="4"/>
  <c r="O142" i="4"/>
  <c r="O141" i="4"/>
  <c r="O140" i="4"/>
  <c r="O139" i="4"/>
  <c r="O138" i="4"/>
  <c r="O137" i="4"/>
  <c r="AA11" i="4"/>
  <c r="X6" i="4"/>
  <c r="Y6" i="4" s="1"/>
  <c r="AA6" i="4"/>
  <c r="AB6" i="4"/>
  <c r="X7" i="4"/>
  <c r="Y7" i="4" s="1"/>
  <c r="AA7" i="4"/>
  <c r="AB7" i="4"/>
  <c r="X8" i="4"/>
  <c r="Y8" i="4" s="1"/>
  <c r="AA8" i="4"/>
  <c r="AB8" i="4"/>
  <c r="X9" i="4"/>
  <c r="Y9" i="4" s="1"/>
  <c r="AA9" i="4"/>
  <c r="AB9" i="4"/>
  <c r="X10" i="4"/>
  <c r="Y10" i="4" s="1"/>
  <c r="AA10" i="4"/>
  <c r="AB10" i="4"/>
  <c r="AB5" i="4"/>
  <c r="AA5" i="4"/>
  <c r="X5" i="4"/>
  <c r="Y5" i="4" s="1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J93" i="4"/>
  <c r="K93" i="4"/>
  <c r="L93" i="4"/>
  <c r="M93" i="4"/>
  <c r="N93" i="4"/>
  <c r="O113" i="4" l="1"/>
  <c r="O135" i="4"/>
  <c r="O116" i="4"/>
  <c r="O134" i="4"/>
  <c r="O126" i="4"/>
  <c r="O122" i="4"/>
  <c r="O136" i="4"/>
  <c r="O128" i="4"/>
  <c r="O112" i="4"/>
  <c r="O125" i="4"/>
  <c r="O132" i="4"/>
  <c r="O124" i="4"/>
  <c r="Y11" i="4"/>
  <c r="Z9" i="4" s="1"/>
  <c r="X11" i="4"/>
  <c r="O133" i="4"/>
  <c r="O131" i="4"/>
  <c r="O130" i="4"/>
  <c r="O129" i="4"/>
  <c r="O127" i="4"/>
  <c r="O123" i="4"/>
  <c r="O120" i="4"/>
  <c r="O114" i="4"/>
  <c r="O115" i="4"/>
  <c r="O121" i="4"/>
  <c r="O118" i="4"/>
  <c r="O117" i="4"/>
  <c r="O119" i="4"/>
  <c r="O111" i="4"/>
  <c r="O110" i="4"/>
  <c r="O109" i="4"/>
  <c r="O108" i="4"/>
  <c r="O107" i="4"/>
  <c r="O106" i="4"/>
  <c r="O93" i="4"/>
  <c r="J103" i="4"/>
  <c r="J104" i="4"/>
  <c r="J105" i="4"/>
  <c r="K103" i="4"/>
  <c r="K104" i="4"/>
  <c r="K105" i="4"/>
  <c r="L103" i="4"/>
  <c r="L104" i="4"/>
  <c r="L105" i="4"/>
  <c r="M103" i="4"/>
  <c r="M104" i="4"/>
  <c r="M105" i="4"/>
  <c r="N103" i="4"/>
  <c r="N104" i="4"/>
  <c r="N105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4" i="4"/>
  <c r="M95" i="4"/>
  <c r="M96" i="4"/>
  <c r="M97" i="4"/>
  <c r="M98" i="4"/>
  <c r="M99" i="4"/>
  <c r="M100" i="4"/>
  <c r="M101" i="4"/>
  <c r="M102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4" i="4"/>
  <c r="K95" i="4"/>
  <c r="K96" i="4"/>
  <c r="K97" i="4"/>
  <c r="K98" i="4"/>
  <c r="K99" i="4"/>
  <c r="K100" i="4"/>
  <c r="K101" i="4"/>
  <c r="K102" i="4"/>
  <c r="J94" i="4"/>
  <c r="L94" i="4"/>
  <c r="N94" i="4"/>
  <c r="J95" i="4"/>
  <c r="L95" i="4"/>
  <c r="N95" i="4"/>
  <c r="J96" i="4"/>
  <c r="L96" i="4"/>
  <c r="N96" i="4"/>
  <c r="J97" i="4"/>
  <c r="L97" i="4"/>
  <c r="N97" i="4"/>
  <c r="J98" i="4"/>
  <c r="L98" i="4"/>
  <c r="N98" i="4"/>
  <c r="J99" i="4"/>
  <c r="L99" i="4"/>
  <c r="N99" i="4"/>
  <c r="J100" i="4"/>
  <c r="L100" i="4"/>
  <c r="N100" i="4"/>
  <c r="J101" i="4"/>
  <c r="L101" i="4"/>
  <c r="N101" i="4"/>
  <c r="J102" i="4"/>
  <c r="L102" i="4"/>
  <c r="N102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17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J82" i="4"/>
  <c r="J83" i="4"/>
  <c r="J84" i="4"/>
  <c r="J85" i="4"/>
  <c r="J86" i="4"/>
  <c r="J87" i="4"/>
  <c r="J88" i="4"/>
  <c r="J89" i="4"/>
  <c r="J90" i="4"/>
  <c r="J91" i="4"/>
  <c r="J92" i="4"/>
  <c r="J76" i="4"/>
  <c r="J77" i="4"/>
  <c r="J78" i="4"/>
  <c r="J79" i="4"/>
  <c r="J80" i="4"/>
  <c r="J81" i="4"/>
  <c r="J64" i="4"/>
  <c r="J65" i="4"/>
  <c r="J66" i="4"/>
  <c r="J67" i="4"/>
  <c r="J68" i="4"/>
  <c r="J69" i="4"/>
  <c r="J70" i="4"/>
  <c r="J71" i="4"/>
  <c r="J72" i="4"/>
  <c r="J73" i="4"/>
  <c r="J74" i="4"/>
  <c r="J75" i="4"/>
  <c r="Z6" i="4" l="1"/>
  <c r="Z7" i="4"/>
  <c r="Z8" i="4"/>
  <c r="Z10" i="4"/>
  <c r="AB11" i="4"/>
  <c r="Z5" i="4"/>
  <c r="O104" i="4"/>
  <c r="O105" i="4"/>
  <c r="O100" i="4"/>
  <c r="O103" i="4"/>
  <c r="O98" i="4"/>
  <c r="O97" i="4"/>
  <c r="O96" i="4"/>
  <c r="O99" i="4"/>
  <c r="O95" i="4"/>
  <c r="O102" i="4"/>
  <c r="O94" i="4"/>
  <c r="O101" i="4"/>
  <c r="O40" i="4"/>
  <c r="O32" i="4"/>
  <c r="O20" i="4"/>
  <c r="O25" i="4"/>
  <c r="O90" i="4"/>
  <c r="O86" i="4"/>
  <c r="O82" i="4"/>
  <c r="O78" i="4"/>
  <c r="O74" i="4"/>
  <c r="O70" i="4"/>
  <c r="O66" i="4"/>
  <c r="O62" i="4"/>
  <c r="O58" i="4"/>
  <c r="O54" i="4"/>
  <c r="O50" i="4"/>
  <c r="O46" i="4"/>
  <c r="O42" i="4"/>
  <c r="O38" i="4"/>
  <c r="O34" i="4"/>
  <c r="O30" i="4"/>
  <c r="O26" i="4"/>
  <c r="O22" i="4"/>
  <c r="O18" i="4"/>
  <c r="O17" i="4"/>
  <c r="O89" i="4"/>
  <c r="O85" i="4"/>
  <c r="O81" i="4"/>
  <c r="O77" i="4"/>
  <c r="O73" i="4"/>
  <c r="O69" i="4"/>
  <c r="O65" i="4"/>
  <c r="O61" i="4"/>
  <c r="O57" i="4"/>
  <c r="O53" i="4"/>
  <c r="O49" i="4"/>
  <c r="O45" i="4"/>
  <c r="O41" i="4"/>
  <c r="O37" i="4"/>
  <c r="O33" i="4"/>
  <c r="O29" i="4"/>
  <c r="O21" i="4"/>
  <c r="O92" i="4"/>
  <c r="O88" i="4"/>
  <c r="O84" i="4"/>
  <c r="O80" i="4"/>
  <c r="O76" i="4"/>
  <c r="O72" i="4"/>
  <c r="O68" i="4"/>
  <c r="O64" i="4"/>
  <c r="O60" i="4"/>
  <c r="O56" i="4"/>
  <c r="O52" i="4"/>
  <c r="O48" i="4"/>
  <c r="O44" i="4"/>
  <c r="O36" i="4"/>
  <c r="O28" i="4"/>
  <c r="O24" i="4"/>
  <c r="O91" i="4"/>
  <c r="O87" i="4"/>
  <c r="O83" i="4"/>
  <c r="O79" i="4"/>
  <c r="O75" i="4"/>
  <c r="O71" i="4"/>
  <c r="O67" i="4"/>
  <c r="O63" i="4"/>
  <c r="O59" i="4"/>
  <c r="O55" i="4"/>
  <c r="O51" i="4"/>
  <c r="O47" i="4"/>
  <c r="O43" i="4"/>
  <c r="O39" i="4"/>
  <c r="O35" i="4"/>
  <c r="O31" i="4"/>
  <c r="O27" i="4"/>
  <c r="O23" i="4"/>
  <c r="O19" i="4"/>
  <c r="D22" i="3"/>
  <c r="E22" i="3"/>
  <c r="F22" i="3"/>
  <c r="G22" i="3"/>
  <c r="H22" i="3"/>
  <c r="C22" i="3"/>
  <c r="D21" i="3"/>
  <c r="E21" i="3"/>
  <c r="F21" i="3"/>
  <c r="G21" i="3"/>
  <c r="H21" i="3"/>
  <c r="C21" i="3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R11" i="4"/>
  <c r="S6" i="4"/>
  <c r="S7" i="4"/>
  <c r="S8" i="4"/>
  <c r="S9" i="4"/>
  <c r="S10" i="4"/>
  <c r="S5" i="4"/>
  <c r="R6" i="4"/>
  <c r="R7" i="4"/>
  <c r="R8" i="4"/>
  <c r="R9" i="4"/>
  <c r="R10" i="4"/>
  <c r="R5" i="4"/>
  <c r="F6" i="4"/>
  <c r="G6" i="4" s="1"/>
  <c r="F7" i="4"/>
  <c r="G7" i="4" s="1"/>
  <c r="F8" i="4"/>
  <c r="G8" i="4" s="1"/>
  <c r="F9" i="4"/>
  <c r="G9" i="4" s="1"/>
  <c r="F10" i="4"/>
  <c r="G10" i="4" s="1"/>
  <c r="F5" i="4"/>
  <c r="G5" i="4" s="1"/>
  <c r="O7" i="4"/>
  <c r="P7" i="4" s="1"/>
  <c r="O8" i="4"/>
  <c r="P8" i="4" s="1"/>
  <c r="O9" i="4"/>
  <c r="P9" i="4" s="1"/>
  <c r="O10" i="4"/>
  <c r="P10" i="4" s="1"/>
  <c r="I6" i="4"/>
  <c r="J6" i="4"/>
  <c r="I7" i="4"/>
  <c r="J7" i="4"/>
  <c r="I8" i="4"/>
  <c r="J8" i="4"/>
  <c r="I9" i="4"/>
  <c r="J9" i="4"/>
  <c r="I10" i="4"/>
  <c r="J10" i="4"/>
  <c r="J5" i="4"/>
  <c r="I5" i="4"/>
  <c r="Z11" i="4" l="1"/>
  <c r="AC10" i="4"/>
  <c r="AC6" i="4"/>
  <c r="AC8" i="4"/>
  <c r="AC9" i="4"/>
  <c r="AC5" i="4"/>
  <c r="AC11" i="4"/>
  <c r="AC7" i="4"/>
  <c r="T11" i="4"/>
  <c r="K11" i="4"/>
  <c r="C4" i="4" s="1"/>
  <c r="P414" i="4" s="1"/>
  <c r="T5" i="4"/>
  <c r="K5" i="4"/>
  <c r="P11" i="4"/>
  <c r="S11" i="4" s="1"/>
  <c r="O11" i="4"/>
  <c r="F11" i="4"/>
  <c r="G11" i="4"/>
  <c r="I11" i="4"/>
  <c r="D30" i="2"/>
  <c r="E30" i="2"/>
  <c r="C30" i="2"/>
  <c r="D31" i="2"/>
  <c r="E31" i="2"/>
  <c r="C31" i="2"/>
  <c r="V8" i="2"/>
  <c r="W8" i="2"/>
  <c r="X8" i="2"/>
  <c r="Y8" i="2"/>
  <c r="Z8" i="2"/>
  <c r="AA8" i="2"/>
  <c r="AB8" i="2"/>
  <c r="AC8" i="2"/>
  <c r="AD8" i="2"/>
  <c r="AE8" i="2"/>
  <c r="AF8" i="2"/>
  <c r="V9" i="2"/>
  <c r="W9" i="2"/>
  <c r="X9" i="2"/>
  <c r="Y9" i="2"/>
  <c r="Z9" i="2"/>
  <c r="AA9" i="2"/>
  <c r="AB9" i="2"/>
  <c r="AC9" i="2"/>
  <c r="AD9" i="2"/>
  <c r="AE9" i="2"/>
  <c r="AF9" i="2"/>
  <c r="V10" i="2"/>
  <c r="W10" i="2"/>
  <c r="X10" i="2"/>
  <c r="Y10" i="2"/>
  <c r="Z10" i="2"/>
  <c r="AA10" i="2"/>
  <c r="AB10" i="2"/>
  <c r="AC10" i="2"/>
  <c r="AD10" i="2"/>
  <c r="AE10" i="2"/>
  <c r="AF10" i="2"/>
  <c r="V11" i="2"/>
  <c r="W11" i="2"/>
  <c r="X11" i="2"/>
  <c r="Y11" i="2"/>
  <c r="Z11" i="2"/>
  <c r="AA11" i="2"/>
  <c r="AB11" i="2"/>
  <c r="AC11" i="2"/>
  <c r="AD11" i="2"/>
  <c r="AE11" i="2"/>
  <c r="AF11" i="2"/>
  <c r="V12" i="2"/>
  <c r="W12" i="2"/>
  <c r="X12" i="2"/>
  <c r="Y12" i="2"/>
  <c r="Z12" i="2"/>
  <c r="AA12" i="2"/>
  <c r="AB12" i="2"/>
  <c r="AC12" i="2"/>
  <c r="AD12" i="2"/>
  <c r="AE12" i="2"/>
  <c r="AF12" i="2"/>
  <c r="V13" i="2"/>
  <c r="W13" i="2"/>
  <c r="X13" i="2"/>
  <c r="Y13" i="2"/>
  <c r="Z13" i="2"/>
  <c r="AA13" i="2"/>
  <c r="AB13" i="2"/>
  <c r="AC13" i="2"/>
  <c r="AD13" i="2"/>
  <c r="AE13" i="2"/>
  <c r="AF13" i="2"/>
  <c r="V14" i="2"/>
  <c r="W14" i="2"/>
  <c r="X14" i="2"/>
  <c r="Y14" i="2"/>
  <c r="Z14" i="2"/>
  <c r="AA14" i="2"/>
  <c r="AB14" i="2"/>
  <c r="AC14" i="2"/>
  <c r="AD14" i="2"/>
  <c r="AE14" i="2"/>
  <c r="AF14" i="2"/>
  <c r="V15" i="2"/>
  <c r="W15" i="2"/>
  <c r="X15" i="2"/>
  <c r="Y15" i="2"/>
  <c r="Z15" i="2"/>
  <c r="AA15" i="2"/>
  <c r="AB15" i="2"/>
  <c r="AC15" i="2"/>
  <c r="AD15" i="2"/>
  <c r="AE15" i="2"/>
  <c r="AF15" i="2"/>
  <c r="V16" i="2"/>
  <c r="W16" i="2"/>
  <c r="X16" i="2"/>
  <c r="Y16" i="2"/>
  <c r="Z16" i="2"/>
  <c r="AA16" i="2"/>
  <c r="AB16" i="2"/>
  <c r="AC16" i="2"/>
  <c r="AD16" i="2"/>
  <c r="AE16" i="2"/>
  <c r="AF16" i="2"/>
  <c r="V17" i="2"/>
  <c r="W17" i="2"/>
  <c r="X17" i="2"/>
  <c r="Y17" i="2"/>
  <c r="Z17" i="2"/>
  <c r="AA17" i="2"/>
  <c r="AB17" i="2"/>
  <c r="AC17" i="2"/>
  <c r="AD17" i="2"/>
  <c r="AE17" i="2"/>
  <c r="AF17" i="2"/>
  <c r="V18" i="2"/>
  <c r="W18" i="2"/>
  <c r="X18" i="2"/>
  <c r="Y18" i="2"/>
  <c r="Z18" i="2"/>
  <c r="AA18" i="2"/>
  <c r="AB18" i="2"/>
  <c r="AC18" i="2"/>
  <c r="AD18" i="2"/>
  <c r="AE18" i="2"/>
  <c r="AF18" i="2"/>
  <c r="V19" i="2"/>
  <c r="W19" i="2"/>
  <c r="X19" i="2"/>
  <c r="Y19" i="2"/>
  <c r="Z19" i="2"/>
  <c r="AA19" i="2"/>
  <c r="AB19" i="2"/>
  <c r="AC19" i="2"/>
  <c r="AD19" i="2"/>
  <c r="AE19" i="2"/>
  <c r="AF19" i="2"/>
  <c r="V20" i="2"/>
  <c r="W20" i="2"/>
  <c r="X20" i="2"/>
  <c r="Y20" i="2"/>
  <c r="Z20" i="2"/>
  <c r="AA20" i="2"/>
  <c r="AB20" i="2"/>
  <c r="AC20" i="2"/>
  <c r="AD20" i="2"/>
  <c r="AE20" i="2"/>
  <c r="AF20" i="2"/>
  <c r="V21" i="2"/>
  <c r="W21" i="2"/>
  <c r="X21" i="2"/>
  <c r="Y21" i="2"/>
  <c r="Z21" i="2"/>
  <c r="AA21" i="2"/>
  <c r="AB21" i="2"/>
  <c r="AC21" i="2"/>
  <c r="AD21" i="2"/>
  <c r="AE21" i="2"/>
  <c r="AF21" i="2"/>
  <c r="V22" i="2"/>
  <c r="W22" i="2"/>
  <c r="X22" i="2"/>
  <c r="Y22" i="2"/>
  <c r="Z22" i="2"/>
  <c r="AA22" i="2"/>
  <c r="AB22" i="2"/>
  <c r="AC22" i="2"/>
  <c r="AD22" i="2"/>
  <c r="AE22" i="2"/>
  <c r="AF22" i="2"/>
  <c r="V23" i="2"/>
  <c r="W23" i="2"/>
  <c r="X23" i="2"/>
  <c r="Y23" i="2"/>
  <c r="Z23" i="2"/>
  <c r="AA23" i="2"/>
  <c r="AB23" i="2"/>
  <c r="AC23" i="2"/>
  <c r="AD23" i="2"/>
  <c r="AE23" i="2"/>
  <c r="AF23" i="2"/>
  <c r="V24" i="2"/>
  <c r="W24" i="2"/>
  <c r="X24" i="2"/>
  <c r="Y24" i="2"/>
  <c r="Z24" i="2"/>
  <c r="AA24" i="2"/>
  <c r="AB24" i="2"/>
  <c r="AC24" i="2"/>
  <c r="AD24" i="2"/>
  <c r="AE24" i="2"/>
  <c r="AF24" i="2"/>
  <c r="V25" i="2"/>
  <c r="W25" i="2"/>
  <c r="X25" i="2"/>
  <c r="Y25" i="2"/>
  <c r="Z25" i="2"/>
  <c r="AA25" i="2"/>
  <c r="AB25" i="2"/>
  <c r="AC25" i="2"/>
  <c r="AD25" i="2"/>
  <c r="AE25" i="2"/>
  <c r="AF25" i="2"/>
  <c r="V26" i="2"/>
  <c r="W26" i="2"/>
  <c r="X26" i="2"/>
  <c r="Y26" i="2"/>
  <c r="Z26" i="2"/>
  <c r="AA26" i="2"/>
  <c r="AB26" i="2"/>
  <c r="AC26" i="2"/>
  <c r="AD26" i="2"/>
  <c r="AE26" i="2"/>
  <c r="AF26" i="2"/>
  <c r="V27" i="2"/>
  <c r="W27" i="2"/>
  <c r="X27" i="2"/>
  <c r="Y27" i="2"/>
  <c r="Z27" i="2"/>
  <c r="AA27" i="2"/>
  <c r="AB27" i="2"/>
  <c r="AC27" i="2"/>
  <c r="AD27" i="2"/>
  <c r="AE27" i="2"/>
  <c r="AF27" i="2"/>
  <c r="AF7" i="2"/>
  <c r="W7" i="2"/>
  <c r="X7" i="2"/>
  <c r="Y7" i="2"/>
  <c r="Z7" i="2"/>
  <c r="AA7" i="2"/>
  <c r="AB7" i="2"/>
  <c r="AC7" i="2"/>
  <c r="AD7" i="2"/>
  <c r="AE7" i="2"/>
  <c r="V34" i="2"/>
  <c r="W34" i="2"/>
  <c r="X34" i="2"/>
  <c r="Y34" i="2"/>
  <c r="Z34" i="2"/>
  <c r="AA34" i="2"/>
  <c r="AB34" i="2"/>
  <c r="AC34" i="2"/>
  <c r="AD34" i="2"/>
  <c r="AE34" i="2"/>
  <c r="AF34" i="2"/>
  <c r="V35" i="2"/>
  <c r="W35" i="2"/>
  <c r="X35" i="2"/>
  <c r="Y35" i="2"/>
  <c r="Z35" i="2"/>
  <c r="AA35" i="2"/>
  <c r="AB35" i="2"/>
  <c r="AC35" i="2"/>
  <c r="AD35" i="2"/>
  <c r="AE35" i="2"/>
  <c r="AF35" i="2"/>
  <c r="V36" i="2"/>
  <c r="W36" i="2"/>
  <c r="X36" i="2"/>
  <c r="Y36" i="2"/>
  <c r="Z36" i="2"/>
  <c r="AA36" i="2"/>
  <c r="AB36" i="2"/>
  <c r="AC36" i="2"/>
  <c r="AD36" i="2"/>
  <c r="AE36" i="2"/>
  <c r="AF36" i="2"/>
  <c r="V37" i="2"/>
  <c r="W37" i="2"/>
  <c r="X37" i="2"/>
  <c r="Y37" i="2"/>
  <c r="Z37" i="2"/>
  <c r="AA37" i="2"/>
  <c r="AB37" i="2"/>
  <c r="AC37" i="2"/>
  <c r="AD37" i="2"/>
  <c r="AE37" i="2"/>
  <c r="AF37" i="2"/>
  <c r="V38" i="2"/>
  <c r="W38" i="2"/>
  <c r="X38" i="2"/>
  <c r="Y38" i="2"/>
  <c r="Z38" i="2"/>
  <c r="AA38" i="2"/>
  <c r="AB38" i="2"/>
  <c r="AC38" i="2"/>
  <c r="AD38" i="2"/>
  <c r="AE38" i="2"/>
  <c r="AF38" i="2"/>
  <c r="V39" i="2"/>
  <c r="W39" i="2"/>
  <c r="X39" i="2"/>
  <c r="Y39" i="2"/>
  <c r="Z39" i="2"/>
  <c r="AA39" i="2"/>
  <c r="AB39" i="2"/>
  <c r="AC39" i="2"/>
  <c r="AD39" i="2"/>
  <c r="AE39" i="2"/>
  <c r="AF39" i="2"/>
  <c r="V40" i="2"/>
  <c r="W40" i="2"/>
  <c r="X40" i="2"/>
  <c r="Y40" i="2"/>
  <c r="Z40" i="2"/>
  <c r="AA40" i="2"/>
  <c r="AB40" i="2"/>
  <c r="AC40" i="2"/>
  <c r="AD40" i="2"/>
  <c r="AE40" i="2"/>
  <c r="AF40" i="2"/>
  <c r="V41" i="2"/>
  <c r="W41" i="2"/>
  <c r="X41" i="2"/>
  <c r="Y41" i="2"/>
  <c r="Z41" i="2"/>
  <c r="AA41" i="2"/>
  <c r="AB41" i="2"/>
  <c r="AC41" i="2"/>
  <c r="AD41" i="2"/>
  <c r="AE41" i="2"/>
  <c r="AF41" i="2"/>
  <c r="V42" i="2"/>
  <c r="W42" i="2"/>
  <c r="X42" i="2"/>
  <c r="Y42" i="2"/>
  <c r="Z42" i="2"/>
  <c r="AA42" i="2"/>
  <c r="AB42" i="2"/>
  <c r="AC42" i="2"/>
  <c r="AD42" i="2"/>
  <c r="AE42" i="2"/>
  <c r="AF42" i="2"/>
  <c r="V43" i="2"/>
  <c r="W43" i="2"/>
  <c r="X43" i="2"/>
  <c r="Y43" i="2"/>
  <c r="Z43" i="2"/>
  <c r="AA43" i="2"/>
  <c r="AB43" i="2"/>
  <c r="AC43" i="2"/>
  <c r="AD43" i="2"/>
  <c r="AE43" i="2"/>
  <c r="AF43" i="2"/>
  <c r="V44" i="2"/>
  <c r="W44" i="2"/>
  <c r="X44" i="2"/>
  <c r="Y44" i="2"/>
  <c r="Z44" i="2"/>
  <c r="AA44" i="2"/>
  <c r="AB44" i="2"/>
  <c r="AC44" i="2"/>
  <c r="AD44" i="2"/>
  <c r="AE44" i="2"/>
  <c r="AF44" i="2"/>
  <c r="V45" i="2"/>
  <c r="W45" i="2"/>
  <c r="X45" i="2"/>
  <c r="Y45" i="2"/>
  <c r="Z45" i="2"/>
  <c r="AA45" i="2"/>
  <c r="AB45" i="2"/>
  <c r="AC45" i="2"/>
  <c r="AD45" i="2"/>
  <c r="AE45" i="2"/>
  <c r="AF45" i="2"/>
  <c r="V46" i="2"/>
  <c r="W46" i="2"/>
  <c r="X46" i="2"/>
  <c r="Y46" i="2"/>
  <c r="Z46" i="2"/>
  <c r="AA46" i="2"/>
  <c r="AB46" i="2"/>
  <c r="AC46" i="2"/>
  <c r="AD46" i="2"/>
  <c r="AE46" i="2"/>
  <c r="AF46" i="2"/>
  <c r="V47" i="2"/>
  <c r="W47" i="2"/>
  <c r="X47" i="2"/>
  <c r="Y47" i="2"/>
  <c r="Z47" i="2"/>
  <c r="AA47" i="2"/>
  <c r="AB47" i="2"/>
  <c r="AC47" i="2"/>
  <c r="AD47" i="2"/>
  <c r="AE47" i="2"/>
  <c r="AF47" i="2"/>
  <c r="V48" i="2"/>
  <c r="W48" i="2"/>
  <c r="X48" i="2"/>
  <c r="Y48" i="2"/>
  <c r="Z48" i="2"/>
  <c r="AA48" i="2"/>
  <c r="AB48" i="2"/>
  <c r="AC48" i="2"/>
  <c r="AD48" i="2"/>
  <c r="AE48" i="2"/>
  <c r="AF48" i="2"/>
  <c r="V49" i="2"/>
  <c r="W49" i="2"/>
  <c r="X49" i="2"/>
  <c r="Y49" i="2"/>
  <c r="Z49" i="2"/>
  <c r="AA49" i="2"/>
  <c r="AB49" i="2"/>
  <c r="AC49" i="2"/>
  <c r="AD49" i="2"/>
  <c r="AE49" i="2"/>
  <c r="AF49" i="2"/>
  <c r="V50" i="2"/>
  <c r="W50" i="2"/>
  <c r="X50" i="2"/>
  <c r="Y50" i="2"/>
  <c r="Z50" i="2"/>
  <c r="AA50" i="2"/>
  <c r="AB50" i="2"/>
  <c r="AC50" i="2"/>
  <c r="AD50" i="2"/>
  <c r="AE50" i="2"/>
  <c r="AF50" i="2"/>
  <c r="V51" i="2"/>
  <c r="W51" i="2"/>
  <c r="X51" i="2"/>
  <c r="Y51" i="2"/>
  <c r="Z51" i="2"/>
  <c r="AA51" i="2"/>
  <c r="AB51" i="2"/>
  <c r="AC51" i="2"/>
  <c r="AD51" i="2"/>
  <c r="AE51" i="2"/>
  <c r="AF51" i="2"/>
  <c r="V52" i="2"/>
  <c r="W52" i="2"/>
  <c r="X52" i="2"/>
  <c r="Y52" i="2"/>
  <c r="Z52" i="2"/>
  <c r="AA52" i="2"/>
  <c r="AB52" i="2"/>
  <c r="AC52" i="2"/>
  <c r="AD52" i="2"/>
  <c r="AE52" i="2"/>
  <c r="AF52" i="2"/>
  <c r="W33" i="2"/>
  <c r="X33" i="2"/>
  <c r="Y33" i="2"/>
  <c r="Z33" i="2"/>
  <c r="AA33" i="2"/>
  <c r="AB33" i="2"/>
  <c r="AC33" i="2"/>
  <c r="AD33" i="2"/>
  <c r="AE33" i="2"/>
  <c r="AF33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H15" i="3"/>
  <c r="G15" i="3"/>
  <c r="F15" i="3"/>
  <c r="E15" i="3"/>
  <c r="D15" i="3"/>
  <c r="C15" i="3"/>
  <c r="P412" i="4" l="1"/>
  <c r="P413" i="4"/>
  <c r="P410" i="4"/>
  <c r="P411" i="4"/>
  <c r="P408" i="4"/>
  <c r="P409" i="4"/>
  <c r="P406" i="4"/>
  <c r="P407" i="4"/>
  <c r="P404" i="4"/>
  <c r="P405" i="4"/>
  <c r="P402" i="4"/>
  <c r="P403" i="4"/>
  <c r="P400" i="4"/>
  <c r="P401" i="4"/>
  <c r="P398" i="4"/>
  <c r="P399" i="4"/>
  <c r="P396" i="4"/>
  <c r="P397" i="4"/>
  <c r="P394" i="4"/>
  <c r="P395" i="4"/>
  <c r="P392" i="4"/>
  <c r="P393" i="4"/>
  <c r="P390" i="4"/>
  <c r="P391" i="4"/>
  <c r="P388" i="4"/>
  <c r="P389" i="4"/>
  <c r="P386" i="4"/>
  <c r="P387" i="4"/>
  <c r="P384" i="4"/>
  <c r="P385" i="4"/>
  <c r="P382" i="4"/>
  <c r="P383" i="4"/>
  <c r="P380" i="4"/>
  <c r="P381" i="4"/>
  <c r="P378" i="4"/>
  <c r="P379" i="4"/>
  <c r="P376" i="4"/>
  <c r="P377" i="4"/>
  <c r="P374" i="4"/>
  <c r="P375" i="4"/>
  <c r="P372" i="4"/>
  <c r="P373" i="4"/>
  <c r="P370" i="4"/>
  <c r="P371" i="4"/>
  <c r="P368" i="4"/>
  <c r="P369" i="4"/>
  <c r="P366" i="4"/>
  <c r="P367" i="4"/>
  <c r="P364" i="4"/>
  <c r="P365" i="4"/>
  <c r="P362" i="4"/>
  <c r="P363" i="4"/>
  <c r="P360" i="4"/>
  <c r="P361" i="4"/>
  <c r="P358" i="4"/>
  <c r="P359" i="4"/>
  <c r="P356" i="4"/>
  <c r="P357" i="4"/>
  <c r="P354" i="4"/>
  <c r="P355" i="4"/>
  <c r="P352" i="4"/>
  <c r="P353" i="4"/>
  <c r="P350" i="4"/>
  <c r="P351" i="4"/>
  <c r="P348" i="4"/>
  <c r="P349" i="4"/>
  <c r="P346" i="4"/>
  <c r="P347" i="4"/>
  <c r="P344" i="4"/>
  <c r="P345" i="4"/>
  <c r="P342" i="4"/>
  <c r="P343" i="4"/>
  <c r="P340" i="4"/>
  <c r="P341" i="4"/>
  <c r="P338" i="4"/>
  <c r="P339" i="4"/>
  <c r="P336" i="4"/>
  <c r="P337" i="4"/>
  <c r="P334" i="4"/>
  <c r="P335" i="4"/>
  <c r="P332" i="4"/>
  <c r="P333" i="4"/>
  <c r="P330" i="4"/>
  <c r="P331" i="4"/>
  <c r="P328" i="4"/>
  <c r="P329" i="4"/>
  <c r="P326" i="4"/>
  <c r="P327" i="4"/>
  <c r="P324" i="4"/>
  <c r="P325" i="4"/>
  <c r="P322" i="4"/>
  <c r="P323" i="4"/>
  <c r="P320" i="4"/>
  <c r="P321" i="4"/>
  <c r="P318" i="4"/>
  <c r="P319" i="4"/>
  <c r="P316" i="4"/>
  <c r="P317" i="4"/>
  <c r="P314" i="4"/>
  <c r="P315" i="4"/>
  <c r="P312" i="4"/>
  <c r="P313" i="4"/>
  <c r="P310" i="4"/>
  <c r="P311" i="4"/>
  <c r="P308" i="4"/>
  <c r="P309" i="4"/>
  <c r="P306" i="4"/>
  <c r="P307" i="4"/>
  <c r="P304" i="4"/>
  <c r="P305" i="4"/>
  <c r="P302" i="4"/>
  <c r="P303" i="4"/>
  <c r="P300" i="4"/>
  <c r="P301" i="4"/>
  <c r="P298" i="4"/>
  <c r="P299" i="4"/>
  <c r="P296" i="4"/>
  <c r="P297" i="4"/>
  <c r="P294" i="4"/>
  <c r="P295" i="4"/>
  <c r="P292" i="4"/>
  <c r="P293" i="4"/>
  <c r="P290" i="4"/>
  <c r="P291" i="4"/>
  <c r="P288" i="4"/>
  <c r="P289" i="4"/>
  <c r="P286" i="4"/>
  <c r="P287" i="4"/>
  <c r="P284" i="4"/>
  <c r="P285" i="4"/>
  <c r="P282" i="4"/>
  <c r="P283" i="4"/>
  <c r="P280" i="4"/>
  <c r="P281" i="4"/>
  <c r="P278" i="4"/>
  <c r="P279" i="4"/>
  <c r="P276" i="4"/>
  <c r="P277" i="4"/>
  <c r="P274" i="4"/>
  <c r="P275" i="4"/>
  <c r="P272" i="4"/>
  <c r="P273" i="4"/>
  <c r="P270" i="4"/>
  <c r="P271" i="4"/>
  <c r="P268" i="4"/>
  <c r="P269" i="4"/>
  <c r="P266" i="4"/>
  <c r="P267" i="4"/>
  <c r="P264" i="4"/>
  <c r="P265" i="4"/>
  <c r="P262" i="4"/>
  <c r="P263" i="4"/>
  <c r="P260" i="4"/>
  <c r="P261" i="4"/>
  <c r="P258" i="4"/>
  <c r="P259" i="4"/>
  <c r="P256" i="4"/>
  <c r="P257" i="4"/>
  <c r="P254" i="4"/>
  <c r="P255" i="4"/>
  <c r="P253" i="4"/>
  <c r="C5" i="4"/>
  <c r="P251" i="4"/>
  <c r="P252" i="4"/>
  <c r="P249" i="4"/>
  <c r="P250" i="4"/>
  <c r="P247" i="4"/>
  <c r="P248" i="4"/>
  <c r="P245" i="4"/>
  <c r="P246" i="4"/>
  <c r="P243" i="4"/>
  <c r="P244" i="4"/>
  <c r="P241" i="4"/>
  <c r="P242" i="4"/>
  <c r="P239" i="4"/>
  <c r="P240" i="4"/>
  <c r="P237" i="4"/>
  <c r="P238" i="4"/>
  <c r="P235" i="4"/>
  <c r="P236" i="4"/>
  <c r="P233" i="4"/>
  <c r="P234" i="4"/>
  <c r="P231" i="4"/>
  <c r="P232" i="4"/>
  <c r="P229" i="4"/>
  <c r="P230" i="4"/>
  <c r="P227" i="4"/>
  <c r="P228" i="4"/>
  <c r="P225" i="4"/>
  <c r="P226" i="4"/>
  <c r="P223" i="4"/>
  <c r="P224" i="4"/>
  <c r="P221" i="4"/>
  <c r="P222" i="4"/>
  <c r="P219" i="4"/>
  <c r="P220" i="4"/>
  <c r="P217" i="4"/>
  <c r="P218" i="4"/>
  <c r="P215" i="4"/>
  <c r="P216" i="4"/>
  <c r="P213" i="4"/>
  <c r="P214" i="4"/>
  <c r="P211" i="4"/>
  <c r="P212" i="4"/>
  <c r="P209" i="4"/>
  <c r="P210" i="4"/>
  <c r="P207" i="4"/>
  <c r="P208" i="4"/>
  <c r="P205" i="4"/>
  <c r="P206" i="4"/>
  <c r="P203" i="4"/>
  <c r="P204" i="4"/>
  <c r="P201" i="4"/>
  <c r="P202" i="4"/>
  <c r="P199" i="4"/>
  <c r="P200" i="4"/>
  <c r="P197" i="4"/>
  <c r="P198" i="4"/>
  <c r="P195" i="4"/>
  <c r="P196" i="4"/>
  <c r="P193" i="4"/>
  <c r="P194" i="4"/>
  <c r="P191" i="4"/>
  <c r="P192" i="4"/>
  <c r="P189" i="4"/>
  <c r="P190" i="4"/>
  <c r="P187" i="4"/>
  <c r="P188" i="4"/>
  <c r="P185" i="4"/>
  <c r="P186" i="4"/>
  <c r="P183" i="4"/>
  <c r="P184" i="4"/>
  <c r="P181" i="4"/>
  <c r="P182" i="4"/>
  <c r="P179" i="4"/>
  <c r="P180" i="4"/>
  <c r="P177" i="4"/>
  <c r="P178" i="4"/>
  <c r="P175" i="4"/>
  <c r="P176" i="4"/>
  <c r="P173" i="4"/>
  <c r="P174" i="4"/>
  <c r="P171" i="4"/>
  <c r="P172" i="4"/>
  <c r="P169" i="4"/>
  <c r="P170" i="4"/>
  <c r="P167" i="4"/>
  <c r="P168" i="4"/>
  <c r="P165" i="4"/>
  <c r="P166" i="4"/>
  <c r="P163" i="4"/>
  <c r="P164" i="4"/>
  <c r="P161" i="4"/>
  <c r="P162" i="4"/>
  <c r="P159" i="4"/>
  <c r="P160" i="4"/>
  <c r="P157" i="4"/>
  <c r="P158" i="4"/>
  <c r="P155" i="4"/>
  <c r="P156" i="4"/>
  <c r="P84" i="4"/>
  <c r="H9" i="4"/>
  <c r="N2" i="3"/>
  <c r="P68" i="4"/>
  <c r="P70" i="4"/>
  <c r="P105" i="4"/>
  <c r="P103" i="4"/>
  <c r="P97" i="4"/>
  <c r="P71" i="4"/>
  <c r="P67" i="4"/>
  <c r="P104" i="4"/>
  <c r="P88" i="4"/>
  <c r="P90" i="4"/>
  <c r="P99" i="4"/>
  <c r="P95" i="4"/>
  <c r="P91" i="4"/>
  <c r="P89" i="4"/>
  <c r="P101" i="4"/>
  <c r="P87" i="4"/>
  <c r="P73" i="4"/>
  <c r="P102" i="4"/>
  <c r="P100" i="4"/>
  <c r="P74" i="4"/>
  <c r="P77" i="4"/>
  <c r="P80" i="4"/>
  <c r="P86" i="4"/>
  <c r="P94" i="4"/>
  <c r="P85" i="4"/>
  <c r="P146" i="4"/>
  <c r="P145" i="4"/>
  <c r="P151" i="4"/>
  <c r="P138" i="4"/>
  <c r="P142" i="4"/>
  <c r="P148" i="4"/>
  <c r="P153" i="4"/>
  <c r="P154" i="4"/>
  <c r="P140" i="4"/>
  <c r="P139" i="4"/>
  <c r="P143" i="4"/>
  <c r="P149" i="4"/>
  <c r="P144" i="4"/>
  <c r="P150" i="4"/>
  <c r="P137" i="4"/>
  <c r="P141" i="4"/>
  <c r="P147" i="4"/>
  <c r="P152" i="4"/>
  <c r="P93" i="4"/>
  <c r="P121" i="4"/>
  <c r="P126" i="4"/>
  <c r="P125" i="4"/>
  <c r="P114" i="4"/>
  <c r="P122" i="4"/>
  <c r="P112" i="4"/>
  <c r="P135" i="4"/>
  <c r="P131" i="4"/>
  <c r="P117" i="4"/>
  <c r="P108" i="4"/>
  <c r="P118" i="4"/>
  <c r="P111" i="4"/>
  <c r="P123" i="4"/>
  <c r="P106" i="4"/>
  <c r="P128" i="4"/>
  <c r="P115" i="4"/>
  <c r="P136" i="4"/>
  <c r="P129" i="4"/>
  <c r="P119" i="4"/>
  <c r="P109" i="4"/>
  <c r="P130" i="4"/>
  <c r="P113" i="4"/>
  <c r="P110" i="4"/>
  <c r="P124" i="4"/>
  <c r="P132" i="4"/>
  <c r="P107" i="4"/>
  <c r="P120" i="4"/>
  <c r="P134" i="4"/>
  <c r="P116" i="4"/>
  <c r="P133" i="4"/>
  <c r="P127" i="4"/>
  <c r="P79" i="4"/>
  <c r="P69" i="4"/>
  <c r="P82" i="4"/>
  <c r="P96" i="4"/>
  <c r="P83" i="4"/>
  <c r="P78" i="4"/>
  <c r="P76" i="4"/>
  <c r="P65" i="4"/>
  <c r="P66" i="4"/>
  <c r="P64" i="4"/>
  <c r="P98" i="4"/>
  <c r="P75" i="4"/>
  <c r="P72" i="4"/>
  <c r="P81" i="4"/>
  <c r="P92" i="4"/>
  <c r="H5" i="4"/>
  <c r="H8" i="4"/>
  <c r="Q9" i="4"/>
  <c r="Q7" i="4"/>
  <c r="Q5" i="4"/>
  <c r="Q10" i="4"/>
  <c r="Q6" i="4"/>
  <c r="Q8" i="4"/>
  <c r="H10" i="4"/>
  <c r="H6" i="4"/>
  <c r="H7" i="4"/>
  <c r="P60" i="4"/>
  <c r="P52" i="4"/>
  <c r="P44" i="4"/>
  <c r="P28" i="4"/>
  <c r="P59" i="4"/>
  <c r="P51" i="4"/>
  <c r="P43" i="4"/>
  <c r="P35" i="4"/>
  <c r="P27" i="4"/>
  <c r="P19" i="4"/>
  <c r="P58" i="4"/>
  <c r="P50" i="4"/>
  <c r="P42" i="4"/>
  <c r="P34" i="4"/>
  <c r="P26" i="4"/>
  <c r="P36" i="4"/>
  <c r="P54" i="4"/>
  <c r="P38" i="4"/>
  <c r="P53" i="4"/>
  <c r="P45" i="4"/>
  <c r="P21" i="4"/>
  <c r="P56" i="4"/>
  <c r="P48" i="4"/>
  <c r="P32" i="4"/>
  <c r="P24" i="4"/>
  <c r="P57" i="4"/>
  <c r="P49" i="4"/>
  <c r="P41" i="4"/>
  <c r="P33" i="4"/>
  <c r="P25" i="4"/>
  <c r="P63" i="4"/>
  <c r="P55" i="4"/>
  <c r="P47" i="4"/>
  <c r="P39" i="4"/>
  <c r="P31" i="4"/>
  <c r="P23" i="4"/>
  <c r="P62" i="4"/>
  <c r="P30" i="4"/>
  <c r="P29" i="4"/>
  <c r="P46" i="4"/>
  <c r="P61" i="4"/>
  <c r="P37" i="4"/>
  <c r="P43" i="2"/>
  <c r="I15" i="3"/>
  <c r="V7" i="2"/>
  <c r="I8" i="2"/>
  <c r="J8" i="2"/>
  <c r="K8" i="2"/>
  <c r="L8" i="2"/>
  <c r="L33" i="2" s="1"/>
  <c r="M8" i="2"/>
  <c r="N8" i="2"/>
  <c r="O8" i="2"/>
  <c r="O33" i="2" s="1"/>
  <c r="Q8" i="2"/>
  <c r="Q33" i="2" s="1"/>
  <c r="R8" i="2"/>
  <c r="R33" i="2" s="1"/>
  <c r="S8" i="2"/>
  <c r="I9" i="2"/>
  <c r="J9" i="2"/>
  <c r="J34" i="2" s="1"/>
  <c r="K9" i="2"/>
  <c r="L9" i="2"/>
  <c r="M9" i="2"/>
  <c r="N9" i="2"/>
  <c r="N34" i="2" s="1"/>
  <c r="O9" i="2"/>
  <c r="O34" i="2" s="1"/>
  <c r="Q9" i="2"/>
  <c r="Q34" i="2" s="1"/>
  <c r="R9" i="2"/>
  <c r="S9" i="2"/>
  <c r="S34" i="2" s="1"/>
  <c r="I10" i="2"/>
  <c r="J10" i="2"/>
  <c r="K10" i="2"/>
  <c r="K35" i="2" s="1"/>
  <c r="L10" i="2"/>
  <c r="L35" i="2" s="1"/>
  <c r="M10" i="2"/>
  <c r="N10" i="2"/>
  <c r="O10" i="2"/>
  <c r="Q10" i="2"/>
  <c r="Q35" i="2" s="1"/>
  <c r="R10" i="2"/>
  <c r="S10" i="2"/>
  <c r="I11" i="2"/>
  <c r="J11" i="2"/>
  <c r="J36" i="2" s="1"/>
  <c r="K11" i="2"/>
  <c r="L11" i="2"/>
  <c r="M11" i="2"/>
  <c r="N11" i="2"/>
  <c r="N36" i="2" s="1"/>
  <c r="O11" i="2"/>
  <c r="P36" i="2" s="1"/>
  <c r="Q11" i="2"/>
  <c r="Q36" i="2" s="1"/>
  <c r="R11" i="2"/>
  <c r="S11" i="2"/>
  <c r="I12" i="2"/>
  <c r="J12" i="2"/>
  <c r="K12" i="2"/>
  <c r="L12" i="2"/>
  <c r="L37" i="2" s="1"/>
  <c r="M12" i="2"/>
  <c r="N12" i="2"/>
  <c r="O12" i="2"/>
  <c r="O37" i="2" s="1"/>
  <c r="Q12" i="2"/>
  <c r="Q37" i="2" s="1"/>
  <c r="R12" i="2"/>
  <c r="R37" i="2" s="1"/>
  <c r="S12" i="2"/>
  <c r="I13" i="2"/>
  <c r="J13" i="2"/>
  <c r="J38" i="2" s="1"/>
  <c r="K13" i="2"/>
  <c r="L13" i="2"/>
  <c r="M13" i="2"/>
  <c r="N13" i="2"/>
  <c r="O13" i="2"/>
  <c r="O38" i="2" s="1"/>
  <c r="Q13" i="2"/>
  <c r="Q38" i="2" s="1"/>
  <c r="R13" i="2"/>
  <c r="S13" i="2"/>
  <c r="S38" i="2" s="1"/>
  <c r="I14" i="2"/>
  <c r="J14" i="2"/>
  <c r="K14" i="2"/>
  <c r="L14" i="2"/>
  <c r="M14" i="2"/>
  <c r="N14" i="2"/>
  <c r="O14" i="2"/>
  <c r="Q14" i="2"/>
  <c r="Q39" i="2" s="1"/>
  <c r="R14" i="2"/>
  <c r="S14" i="2"/>
  <c r="I15" i="2"/>
  <c r="J15" i="2"/>
  <c r="J40" i="2" s="1"/>
  <c r="K15" i="2"/>
  <c r="L15" i="2"/>
  <c r="M15" i="2"/>
  <c r="N15" i="2"/>
  <c r="N40" i="2" s="1"/>
  <c r="O15" i="2"/>
  <c r="Q15" i="2"/>
  <c r="Q40" i="2" s="1"/>
  <c r="R15" i="2"/>
  <c r="S15" i="2"/>
  <c r="S40" i="2" s="1"/>
  <c r="I16" i="2"/>
  <c r="J16" i="2"/>
  <c r="K16" i="2"/>
  <c r="L16" i="2"/>
  <c r="L41" i="2" s="1"/>
  <c r="M16" i="2"/>
  <c r="N16" i="2"/>
  <c r="O16" i="2"/>
  <c r="O41" i="2" s="1"/>
  <c r="Q16" i="2"/>
  <c r="Q41" i="2" s="1"/>
  <c r="R16" i="2"/>
  <c r="S16" i="2"/>
  <c r="I17" i="2"/>
  <c r="J17" i="2"/>
  <c r="J42" i="2" s="1"/>
  <c r="K17" i="2"/>
  <c r="L17" i="2"/>
  <c r="M17" i="2"/>
  <c r="N17" i="2"/>
  <c r="N42" i="2" s="1"/>
  <c r="O17" i="2"/>
  <c r="P42" i="2" s="1"/>
  <c r="Q17" i="2"/>
  <c r="Q42" i="2" s="1"/>
  <c r="R17" i="2"/>
  <c r="S17" i="2"/>
  <c r="S42" i="2" s="1"/>
  <c r="I18" i="2"/>
  <c r="J18" i="2"/>
  <c r="K18" i="2"/>
  <c r="L18" i="2"/>
  <c r="L43" i="2" s="1"/>
  <c r="M18" i="2"/>
  <c r="M43" i="2" s="1"/>
  <c r="N18" i="2"/>
  <c r="O18" i="2"/>
  <c r="Q18" i="2"/>
  <c r="Q43" i="2" s="1"/>
  <c r="R18" i="2"/>
  <c r="S18" i="2"/>
  <c r="I19" i="2"/>
  <c r="J19" i="2"/>
  <c r="J44" i="2" s="1"/>
  <c r="K19" i="2"/>
  <c r="K44" i="2" s="1"/>
  <c r="L19" i="2"/>
  <c r="M19" i="2"/>
  <c r="N19" i="2"/>
  <c r="N44" i="2" s="1"/>
  <c r="O19" i="2"/>
  <c r="P44" i="2" s="1"/>
  <c r="Q19" i="2"/>
  <c r="Q44" i="2" s="1"/>
  <c r="R19" i="2"/>
  <c r="S19" i="2"/>
  <c r="S44" i="2" s="1"/>
  <c r="I20" i="2"/>
  <c r="J20" i="2"/>
  <c r="K20" i="2"/>
  <c r="L20" i="2"/>
  <c r="L45" i="2" s="1"/>
  <c r="M20" i="2"/>
  <c r="N20" i="2"/>
  <c r="O20" i="2"/>
  <c r="O45" i="2" s="1"/>
  <c r="Q20" i="2"/>
  <c r="Q45" i="2" s="1"/>
  <c r="R20" i="2"/>
  <c r="R45" i="2" s="1"/>
  <c r="S20" i="2"/>
  <c r="I21" i="2"/>
  <c r="J21" i="2"/>
  <c r="J46" i="2" s="1"/>
  <c r="K21" i="2"/>
  <c r="L21" i="2"/>
  <c r="M21" i="2"/>
  <c r="N21" i="2"/>
  <c r="N46" i="2" s="1"/>
  <c r="O21" i="2"/>
  <c r="Q21" i="2"/>
  <c r="R21" i="2"/>
  <c r="S21" i="2"/>
  <c r="S46" i="2" s="1"/>
  <c r="I22" i="2"/>
  <c r="J22" i="2"/>
  <c r="K22" i="2"/>
  <c r="K47" i="2" s="1"/>
  <c r="L22" i="2"/>
  <c r="L47" i="2" s="1"/>
  <c r="M22" i="2"/>
  <c r="N22" i="2"/>
  <c r="O22" i="2"/>
  <c r="Q22" i="2"/>
  <c r="Q47" i="2" s="1"/>
  <c r="R22" i="2"/>
  <c r="S22" i="2"/>
  <c r="I23" i="2"/>
  <c r="J23" i="2"/>
  <c r="J48" i="2" s="1"/>
  <c r="K23" i="2"/>
  <c r="L23" i="2"/>
  <c r="M23" i="2"/>
  <c r="N23" i="2"/>
  <c r="N48" i="2" s="1"/>
  <c r="O23" i="2"/>
  <c r="Q23" i="2"/>
  <c r="Q48" i="2" s="1"/>
  <c r="R23" i="2"/>
  <c r="S23" i="2"/>
  <c r="I24" i="2"/>
  <c r="J24" i="2"/>
  <c r="K24" i="2"/>
  <c r="L24" i="2"/>
  <c r="L49" i="2" s="1"/>
  <c r="M24" i="2"/>
  <c r="N24" i="2"/>
  <c r="O24" i="2"/>
  <c r="O49" i="2" s="1"/>
  <c r="Q24" i="2"/>
  <c r="Q49" i="2" s="1"/>
  <c r="R24" i="2"/>
  <c r="S24" i="2"/>
  <c r="I25" i="2"/>
  <c r="J25" i="2"/>
  <c r="J50" i="2" s="1"/>
  <c r="K25" i="2"/>
  <c r="L25" i="2"/>
  <c r="M25" i="2"/>
  <c r="N25" i="2"/>
  <c r="N50" i="2" s="1"/>
  <c r="O25" i="2"/>
  <c r="Q25" i="2"/>
  <c r="Q50" i="2" s="1"/>
  <c r="R25" i="2"/>
  <c r="S25" i="2"/>
  <c r="S50" i="2" s="1"/>
  <c r="I26" i="2"/>
  <c r="J26" i="2"/>
  <c r="K26" i="2"/>
  <c r="L26" i="2"/>
  <c r="L51" i="2" s="1"/>
  <c r="M26" i="2"/>
  <c r="M51" i="2" s="1"/>
  <c r="N26" i="2"/>
  <c r="O26" i="2"/>
  <c r="Q26" i="2"/>
  <c r="Q51" i="2" s="1"/>
  <c r="R26" i="2"/>
  <c r="S26" i="2"/>
  <c r="I27" i="2"/>
  <c r="J27" i="2"/>
  <c r="J52" i="2" s="1"/>
  <c r="K27" i="2"/>
  <c r="L27" i="2"/>
  <c r="M27" i="2"/>
  <c r="N27" i="2"/>
  <c r="N52" i="2" s="1"/>
  <c r="O27" i="2"/>
  <c r="P52" i="2" s="1"/>
  <c r="Q27" i="2"/>
  <c r="Q52" i="2" s="1"/>
  <c r="R27" i="2"/>
  <c r="S27" i="2"/>
  <c r="J7" i="2"/>
  <c r="K7" i="2"/>
  <c r="L7" i="2"/>
  <c r="M7" i="2"/>
  <c r="M32" i="2" s="1"/>
  <c r="N7" i="2"/>
  <c r="O7" i="2"/>
  <c r="P32" i="2" s="1"/>
  <c r="Q7" i="2"/>
  <c r="Q32" i="2" s="1"/>
  <c r="R7" i="2"/>
  <c r="R32" i="2" s="1"/>
  <c r="S7" i="2"/>
  <c r="S32" i="2" s="1"/>
  <c r="I7" i="2"/>
  <c r="U5" i="4" l="1"/>
  <c r="E27" i="3"/>
  <c r="E28" i="3" s="1"/>
  <c r="F27" i="3"/>
  <c r="F28" i="3" s="1"/>
  <c r="H27" i="3"/>
  <c r="H28" i="3" s="1"/>
  <c r="C27" i="3"/>
  <c r="C28" i="3" s="1"/>
  <c r="G27" i="3"/>
  <c r="G28" i="3" s="1"/>
  <c r="D27" i="3"/>
  <c r="D28" i="3" s="1"/>
  <c r="L5" i="4"/>
  <c r="AD5" i="4"/>
  <c r="H11" i="4"/>
  <c r="Q11" i="4"/>
  <c r="P40" i="4"/>
  <c r="AD6" i="4" s="1"/>
  <c r="K6" i="4"/>
  <c r="T6" i="4"/>
  <c r="T10" i="4"/>
  <c r="T9" i="4"/>
  <c r="T7" i="4"/>
  <c r="T8" i="4"/>
  <c r="K7" i="4"/>
  <c r="K8" i="4"/>
  <c r="K10" i="4"/>
  <c r="D18" i="3"/>
  <c r="J11" i="4"/>
  <c r="P20" i="4"/>
  <c r="K9" i="4"/>
  <c r="P18" i="4"/>
  <c r="P22" i="4"/>
  <c r="P17" i="4"/>
  <c r="L32" i="2"/>
  <c r="M52" i="2"/>
  <c r="O51" i="2"/>
  <c r="R50" i="2"/>
  <c r="K49" i="2"/>
  <c r="M48" i="2"/>
  <c r="O47" i="2"/>
  <c r="R46" i="2"/>
  <c r="K45" i="2"/>
  <c r="M44" i="2"/>
  <c r="O43" i="2"/>
  <c r="R42" i="2"/>
  <c r="K41" i="2"/>
  <c r="M40" i="2"/>
  <c r="O39" i="2"/>
  <c r="R38" i="2"/>
  <c r="K37" i="2"/>
  <c r="M36" i="2"/>
  <c r="O35" i="2"/>
  <c r="R34" i="2"/>
  <c r="K33" i="2"/>
  <c r="O46" i="2"/>
  <c r="R41" i="2"/>
  <c r="L39" i="2"/>
  <c r="S36" i="2"/>
  <c r="P37" i="2"/>
  <c r="P33" i="2"/>
  <c r="P41" i="2"/>
  <c r="O50" i="2"/>
  <c r="K48" i="2"/>
  <c r="K36" i="2"/>
  <c r="P38" i="2"/>
  <c r="S52" i="2"/>
  <c r="P35" i="2"/>
  <c r="P51" i="2"/>
  <c r="K32" i="2"/>
  <c r="L52" i="2"/>
  <c r="N51" i="2"/>
  <c r="S49" i="2"/>
  <c r="J49" i="2"/>
  <c r="L48" i="2"/>
  <c r="N47" i="2"/>
  <c r="Q46" i="2"/>
  <c r="S45" i="2"/>
  <c r="J45" i="2"/>
  <c r="L44" i="2"/>
  <c r="N43" i="2"/>
  <c r="S41" i="2"/>
  <c r="J41" i="2"/>
  <c r="L40" i="2"/>
  <c r="N39" i="2"/>
  <c r="S37" i="2"/>
  <c r="J37" i="2"/>
  <c r="L36" i="2"/>
  <c r="N35" i="2"/>
  <c r="S33" i="2"/>
  <c r="J33" i="2"/>
  <c r="O42" i="2"/>
  <c r="M39" i="2"/>
  <c r="M35" i="2"/>
  <c r="K52" i="2"/>
  <c r="R49" i="2"/>
  <c r="M47" i="2"/>
  <c r="K40" i="2"/>
  <c r="S48" i="2"/>
  <c r="N38" i="2"/>
  <c r="P46" i="2"/>
  <c r="R52" i="2"/>
  <c r="K51" i="2"/>
  <c r="M50" i="2"/>
  <c r="R48" i="2"/>
  <c r="M46" i="2"/>
  <c r="R44" i="2"/>
  <c r="K43" i="2"/>
  <c r="M42" i="2"/>
  <c r="R40" i="2"/>
  <c r="K39" i="2"/>
  <c r="M38" i="2"/>
  <c r="R36" i="2"/>
  <c r="M34" i="2"/>
  <c r="P45" i="2"/>
  <c r="P49" i="2"/>
  <c r="P39" i="2"/>
  <c r="O32" i="2"/>
  <c r="S51" i="2"/>
  <c r="J51" i="2"/>
  <c r="L50" i="2"/>
  <c r="N49" i="2"/>
  <c r="S47" i="2"/>
  <c r="J47" i="2"/>
  <c r="L46" i="2"/>
  <c r="N45" i="2"/>
  <c r="S43" i="2"/>
  <c r="J43" i="2"/>
  <c r="L42" i="2"/>
  <c r="N41" i="2"/>
  <c r="S39" i="2"/>
  <c r="J39" i="2"/>
  <c r="L38" i="2"/>
  <c r="N37" i="2"/>
  <c r="S35" i="2"/>
  <c r="J35" i="2"/>
  <c r="L34" i="2"/>
  <c r="N33" i="2"/>
  <c r="P34" i="2"/>
  <c r="P47" i="2"/>
  <c r="N32" i="2"/>
  <c r="O52" i="2"/>
  <c r="R51" i="2"/>
  <c r="K50" i="2"/>
  <c r="M49" i="2"/>
  <c r="P48" i="2"/>
  <c r="O48" i="2"/>
  <c r="R47" i="2"/>
  <c r="K46" i="2"/>
  <c r="M45" i="2"/>
  <c r="O44" i="2"/>
  <c r="R43" i="2"/>
  <c r="K42" i="2"/>
  <c r="M41" i="2"/>
  <c r="O40" i="2"/>
  <c r="R39" i="2"/>
  <c r="K38" i="2"/>
  <c r="M37" i="2"/>
  <c r="O36" i="2"/>
  <c r="R35" i="2"/>
  <c r="K34" i="2"/>
  <c r="M33" i="2"/>
  <c r="P50" i="2"/>
  <c r="P40" i="2"/>
  <c r="E16" i="3"/>
  <c r="D16" i="3"/>
  <c r="C16" i="3"/>
  <c r="H16" i="3"/>
  <c r="G16" i="3"/>
  <c r="F16" i="3"/>
  <c r="V33" i="2"/>
  <c r="J32" i="2"/>
  <c r="C10" i="2"/>
  <c r="D10" i="2" s="1"/>
  <c r="E10" i="2" s="1"/>
  <c r="C11" i="2"/>
  <c r="D11" i="2" s="1"/>
  <c r="E11" i="2" s="1"/>
  <c r="C12" i="2"/>
  <c r="D12" i="2" s="1"/>
  <c r="E12" i="2" s="1"/>
  <c r="C13" i="2"/>
  <c r="D13" i="2" s="1"/>
  <c r="E13" i="2" s="1"/>
  <c r="C14" i="2"/>
  <c r="D14" i="2" s="1"/>
  <c r="E14" i="2" s="1"/>
  <c r="C15" i="2"/>
  <c r="D15" i="2" s="1"/>
  <c r="E15" i="2" s="1"/>
  <c r="C16" i="2"/>
  <c r="D16" i="2" s="1"/>
  <c r="E16" i="2" s="1"/>
  <c r="C17" i="2"/>
  <c r="D17" i="2" s="1"/>
  <c r="E17" i="2" s="1"/>
  <c r="C18" i="2"/>
  <c r="D18" i="2" s="1"/>
  <c r="E18" i="2" s="1"/>
  <c r="C19" i="2"/>
  <c r="D19" i="2" s="1"/>
  <c r="E19" i="2" s="1"/>
  <c r="C9" i="2"/>
  <c r="D9" i="2" s="1"/>
  <c r="E9" i="2" s="1"/>
  <c r="U10" i="4" l="1"/>
  <c r="AD9" i="4"/>
  <c r="AD11" i="4"/>
  <c r="AD7" i="4"/>
  <c r="U8" i="4"/>
  <c r="AD8" i="4"/>
  <c r="AD10" i="4"/>
  <c r="L6" i="4"/>
  <c r="U6" i="4"/>
  <c r="U9" i="4"/>
  <c r="U7" i="4"/>
  <c r="U11" i="4"/>
  <c r="H18" i="3"/>
  <c r="H19" i="3" s="1"/>
  <c r="C18" i="3"/>
  <c r="C19" i="3" s="1"/>
  <c r="L8" i="4"/>
  <c r="L10" i="4"/>
  <c r="G18" i="3"/>
  <c r="G19" i="3" s="1"/>
  <c r="F18" i="3"/>
  <c r="F19" i="3" s="1"/>
  <c r="E18" i="3"/>
  <c r="E19" i="3" s="1"/>
  <c r="L9" i="4"/>
  <c r="L11" i="4"/>
  <c r="L12" i="4" s="1"/>
  <c r="L7" i="4"/>
  <c r="D19" i="3"/>
</calcChain>
</file>

<file path=xl/sharedStrings.xml><?xml version="1.0" encoding="utf-8"?>
<sst xmlns="http://schemas.openxmlformats.org/spreadsheetml/2006/main" count="1458" uniqueCount="147">
  <si>
    <t>QualityBonus</t>
  </si>
  <si>
    <t>Base price</t>
  </si>
  <si>
    <t>COGS</t>
  </si>
  <si>
    <t>Base price2</t>
  </si>
  <si>
    <t>Req.</t>
  </si>
  <si>
    <t>Req.2</t>
  </si>
  <si>
    <t>Quality</t>
  </si>
  <si>
    <t xml:space="preserve">Bonus </t>
  </si>
  <si>
    <t>Unit price</t>
  </si>
  <si>
    <t>Unit profit</t>
  </si>
  <si>
    <t>Total profit</t>
  </si>
  <si>
    <t xml:space="preserve">req. </t>
  </si>
  <si>
    <t xml:space="preserve">Economy </t>
  </si>
  <si>
    <t>Normal</t>
  </si>
  <si>
    <t>Bonus/quality</t>
  </si>
  <si>
    <t>dif per bonus</t>
  </si>
  <si>
    <t>Bonus/quality - COGS</t>
  </si>
  <si>
    <t>dif per lvl</t>
  </si>
  <si>
    <t>when having a good rate, it's best to ask for good Q products</t>
  </si>
  <si>
    <t xml:space="preserve">else, low Q is preferred </t>
  </si>
  <si>
    <t>profit -wages</t>
  </si>
  <si>
    <t>wages</t>
  </si>
  <si>
    <t>SEP</t>
  </si>
  <si>
    <t>SAT</t>
  </si>
  <si>
    <t>Lux</t>
  </si>
  <si>
    <t>Sub orbital</t>
  </si>
  <si>
    <t>Jumbo</t>
  </si>
  <si>
    <t>BFR</t>
  </si>
  <si>
    <t>Demand every 2 days</t>
  </si>
  <si>
    <t>Average units per order</t>
  </si>
  <si>
    <t>Total sales office levels</t>
  </si>
  <si>
    <t xml:space="preserve">Units sold in the past 11 days (Aug10,2021) </t>
  </si>
  <si>
    <t>Total daily Units sold at SC</t>
  </si>
  <si>
    <t>Percentual rates of products per order</t>
  </si>
  <si>
    <t>Options comparison</t>
  </si>
  <si>
    <t>op1</t>
  </si>
  <si>
    <t>op2</t>
  </si>
  <si>
    <t>op3</t>
  </si>
  <si>
    <t>base price</t>
  </si>
  <si>
    <t>bonus</t>
  </si>
  <si>
    <t>cogs</t>
  </si>
  <si>
    <t>quality</t>
  </si>
  <si>
    <t>price+bonus</t>
  </si>
  <si>
    <t>profit</t>
  </si>
  <si>
    <t>No.</t>
  </si>
  <si>
    <t>Order1</t>
  </si>
  <si>
    <t>Order2</t>
  </si>
  <si>
    <t>Product</t>
  </si>
  <si>
    <t>Base price1</t>
  </si>
  <si>
    <t>Profit</t>
  </si>
  <si>
    <t>p1</t>
  </si>
  <si>
    <t>p2</t>
  </si>
  <si>
    <t>Sub Orbital Rocket</t>
  </si>
  <si>
    <t>Single Engine Plane</t>
  </si>
  <si>
    <t>Satellite</t>
  </si>
  <si>
    <t>Luxury jet</t>
  </si>
  <si>
    <t>Jumbo Jet</t>
  </si>
  <si>
    <t>Luxury Jet</t>
  </si>
  <si>
    <t>Req. T</t>
  </si>
  <si>
    <t>Avg Req</t>
  </si>
  <si>
    <t>Avg bonus</t>
  </si>
  <si>
    <t>Total</t>
  </si>
  <si>
    <t>Avg profit</t>
  </si>
  <si>
    <t>Avg profit-w</t>
  </si>
  <si>
    <t>Product2</t>
  </si>
  <si>
    <t>Per product type</t>
  </si>
  <si>
    <t>Recession</t>
  </si>
  <si>
    <t>Boom</t>
  </si>
  <si>
    <t>Economy</t>
  </si>
  <si>
    <t>Per product type filtered by economic situation</t>
  </si>
  <si>
    <t>Order price</t>
  </si>
  <si>
    <t xml:space="preserve">Avg base price (non weighted) </t>
  </si>
  <si>
    <t xml:space="preserve">Economy types: </t>
  </si>
  <si>
    <t xml:space="preserve">Units per bfr </t>
  </si>
  <si>
    <t>Proportional price of bfr</t>
  </si>
  <si>
    <t>Goods sold</t>
  </si>
  <si>
    <t>Q</t>
  </si>
  <si>
    <t>Bonus1</t>
  </si>
  <si>
    <t>Bonus2</t>
  </si>
  <si>
    <t>Prob</t>
  </si>
  <si>
    <t>No wages</t>
  </si>
  <si>
    <t>The real numbers (as declared in the changelog)</t>
  </si>
  <si>
    <t>Units per BFR</t>
  </si>
  <si>
    <t xml:space="preserve">Daily demand (calculated) </t>
  </si>
  <si>
    <t>Daily demand (declared in changelog)</t>
  </si>
  <si>
    <t>others</t>
  </si>
  <si>
    <t>produced by:</t>
  </si>
  <si>
    <t>admin</t>
  </si>
  <si>
    <t>me</t>
  </si>
  <si>
    <t>110k q3+2k/q</t>
  </si>
  <si>
    <t>51k q3+1k/q</t>
  </si>
  <si>
    <t>228000 q3+4k/q</t>
  </si>
  <si>
    <t>805k q3+15k/q</t>
  </si>
  <si>
    <t>78.8k q3 + 1.5k/q</t>
  </si>
  <si>
    <t>Single engine planes</t>
  </si>
  <si>
    <t>Jumbo jets</t>
  </si>
  <si>
    <t>Luxury jets</t>
  </si>
  <si>
    <t>jet engines</t>
  </si>
  <si>
    <t>Cockpits</t>
  </si>
  <si>
    <t>lvls</t>
  </si>
  <si>
    <t>Fuselage</t>
  </si>
  <si>
    <t>Wings</t>
  </si>
  <si>
    <t>Jet engines</t>
  </si>
  <si>
    <t>Combustion engines</t>
  </si>
  <si>
    <t>Basic interior</t>
  </si>
  <si>
    <t>HGEC</t>
  </si>
  <si>
    <t>Aluminium</t>
  </si>
  <si>
    <t>Golden bars</t>
  </si>
  <si>
    <t>Displays</t>
  </si>
  <si>
    <t>Sales Offices</t>
  </si>
  <si>
    <t>LUX</t>
  </si>
  <si>
    <t>SOR</t>
  </si>
  <si>
    <t>JMB</t>
  </si>
  <si>
    <t>Production per hour</t>
  </si>
  <si>
    <t>Production speed bonus</t>
  </si>
  <si>
    <t>Prod + bonus</t>
  </si>
  <si>
    <t>Produced daily</t>
  </si>
  <si>
    <t>total required units/h</t>
  </si>
  <si>
    <t>total required units/d</t>
  </si>
  <si>
    <t>Diff in production</t>
  </si>
  <si>
    <t>Daily orders</t>
  </si>
  <si>
    <t>buying daily</t>
  </si>
  <si>
    <t xml:space="preserve">:combustion-engine: </t>
  </si>
  <si>
    <t>:basic-interior:</t>
  </si>
  <si>
    <t>:wing:</t>
  </si>
  <si>
    <t>:golden-bars:</t>
  </si>
  <si>
    <t>(fuselage)</t>
  </si>
  <si>
    <t>(wings)</t>
  </si>
  <si>
    <t>(combustion engines)</t>
  </si>
  <si>
    <t>(basic interior)</t>
  </si>
  <si>
    <t>(golden bars)</t>
  </si>
  <si>
    <t>q3,</t>
  </si>
  <si>
    <t xml:space="preserve">:fuselage: </t>
  </si>
  <si>
    <t>bfr</t>
  </si>
  <si>
    <t>profit /h</t>
  </si>
  <si>
    <t>Satellites</t>
  </si>
  <si>
    <t xml:space="preserve">33.8k q3 +.7/q </t>
  </si>
  <si>
    <t>Expected sold units per order</t>
  </si>
  <si>
    <t>order1</t>
  </si>
  <si>
    <t>order2</t>
  </si>
  <si>
    <t>avg</t>
  </si>
  <si>
    <t>order 1</t>
  </si>
  <si>
    <t>Probability of asking for product</t>
  </si>
  <si>
    <t>(blank)</t>
  </si>
  <si>
    <t>pct1</t>
  </si>
  <si>
    <t>pct2</t>
  </si>
  <si>
    <t>Total/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</si>
</sst>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  <numFmt numFmtId="166" formatCode="0.0%"/>
    <numFmt numFmtId="167" formatCode="_-&quot;$&quot;* #,##0_-;\-&quot;$&quot;* #,##0_-;_-&quot;$&quot;* &quot;-&quot;??_-;_-@_-"/>
    <numFmt numFmtId="168" formatCode="0.00000000000"/>
    <numFmt numFmtId="169" formatCode="0.000"/>
    <numFmt numFmtId="170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0">
    <xf numFmtId="0" fontId="0" fillId="0" borderId="0" xfId="0"/>
    <xf numFmtId="0" fontId="0" fillId="0" borderId="1" xfId="0" applyBorder="1"/>
    <xf numFmtId="44" fontId="0" fillId="0" borderId="1" xfId="2" applyFont="1" applyBorder="1"/>
    <xf numFmtId="44" fontId="0" fillId="0" borderId="0" xfId="2" applyFont="1" applyBorder="1"/>
    <xf numFmtId="164" fontId="0" fillId="0" borderId="0" xfId="1" applyNumberFormat="1" applyFont="1" applyBorder="1"/>
    <xf numFmtId="164" fontId="0" fillId="0" borderId="0" xfId="1" applyNumberFormat="1" applyFont="1"/>
    <xf numFmtId="44" fontId="0" fillId="0" borderId="0" xfId="2" applyNumberFormat="1" applyFont="1"/>
    <xf numFmtId="0" fontId="0" fillId="3" borderId="0" xfId="0" applyFill="1"/>
    <xf numFmtId="0" fontId="0" fillId="4" borderId="0" xfId="0" applyFill="1"/>
    <xf numFmtId="10" fontId="0" fillId="3" borderId="0" xfId="0" applyNumberFormat="1" applyFill="1"/>
    <xf numFmtId="43" fontId="0" fillId="0" borderId="0" xfId="1" applyFont="1"/>
    <xf numFmtId="43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5" xfId="0" applyBorder="1"/>
    <xf numFmtId="10" fontId="0" fillId="0" borderId="1" xfId="0" applyNumberFormat="1" applyBorder="1"/>
    <xf numFmtId="43" fontId="0" fillId="0" borderId="0" xfId="1" applyFont="1" applyBorder="1"/>
    <xf numFmtId="43" fontId="0" fillId="0" borderId="5" xfId="1" applyFont="1" applyBorder="1"/>
    <xf numFmtId="10" fontId="0" fillId="0" borderId="6" xfId="0" applyNumberFormat="1" applyBorder="1"/>
    <xf numFmtId="43" fontId="0" fillId="0" borderId="7" xfId="1" applyFont="1" applyBorder="1"/>
    <xf numFmtId="43" fontId="0" fillId="0" borderId="8" xfId="1" applyFont="1" applyBorder="1"/>
    <xf numFmtId="0" fontId="0" fillId="0" borderId="3" xfId="0" applyBorder="1"/>
    <xf numFmtId="10" fontId="0" fillId="0" borderId="3" xfId="3" applyNumberFormat="1" applyFont="1" applyBorder="1"/>
    <xf numFmtId="44" fontId="0" fillId="0" borderId="3" xfId="2" applyFont="1" applyBorder="1"/>
    <xf numFmtId="0" fontId="0" fillId="0" borderId="7" xfId="0" applyBorder="1"/>
    <xf numFmtId="0" fontId="0" fillId="5" borderId="0" xfId="0" applyFill="1"/>
    <xf numFmtId="0" fontId="0" fillId="6" borderId="0" xfId="0" applyFill="1"/>
    <xf numFmtId="10" fontId="0" fillId="5" borderId="0" xfId="3" applyNumberFormat="1" applyFont="1" applyFill="1"/>
    <xf numFmtId="0" fontId="0" fillId="3" borderId="4" xfId="0" applyFill="1" applyBorder="1"/>
    <xf numFmtId="0" fontId="0" fillId="0" borderId="6" xfId="0" applyBorder="1"/>
    <xf numFmtId="10" fontId="0" fillId="3" borderId="5" xfId="0" applyNumberFormat="1" applyFill="1" applyBorder="1"/>
    <xf numFmtId="0" fontId="0" fillId="0" borderId="4" xfId="0" applyBorder="1"/>
    <xf numFmtId="0" fontId="0" fillId="3" borderId="0" xfId="0" applyFill="1" applyBorder="1"/>
    <xf numFmtId="0" fontId="0" fillId="3" borderId="5" xfId="0" applyFill="1" applyBorder="1"/>
    <xf numFmtId="0" fontId="0" fillId="0" borderId="8" xfId="0" applyBorder="1"/>
    <xf numFmtId="0" fontId="0" fillId="0" borderId="10" xfId="0" applyBorder="1"/>
    <xf numFmtId="10" fontId="0" fillId="0" borderId="0" xfId="3" applyNumberFormat="1" applyFont="1" applyBorder="1"/>
    <xf numFmtId="44" fontId="0" fillId="0" borderId="6" xfId="2" applyFont="1" applyBorder="1"/>
    <xf numFmtId="44" fontId="0" fillId="0" borderId="7" xfId="2" applyFont="1" applyBorder="1"/>
    <xf numFmtId="164" fontId="0" fillId="0" borderId="7" xfId="1" applyNumberFormat="1" applyFont="1" applyBorder="1"/>
    <xf numFmtId="0" fontId="0" fillId="0" borderId="12" xfId="0" applyBorder="1"/>
    <xf numFmtId="44" fontId="0" fillId="0" borderId="4" xfId="2" applyFont="1" applyBorder="1"/>
    <xf numFmtId="44" fontId="0" fillId="0" borderId="5" xfId="2" applyFont="1" applyBorder="1"/>
    <xf numFmtId="44" fontId="0" fillId="0" borderId="8" xfId="2" applyFont="1" applyBorder="1"/>
    <xf numFmtId="10" fontId="0" fillId="0" borderId="7" xfId="3" applyNumberFormat="1" applyFont="1" applyBorder="1"/>
    <xf numFmtId="0" fontId="3" fillId="0" borderId="0" xfId="0" applyFont="1"/>
    <xf numFmtId="2" fontId="0" fillId="0" borderId="0" xfId="0" applyNumberFormat="1" applyBorder="1"/>
    <xf numFmtId="2" fontId="0" fillId="0" borderId="7" xfId="0" applyNumberFormat="1" applyBorder="1"/>
    <xf numFmtId="2" fontId="0" fillId="0" borderId="3" xfId="0" applyNumberFormat="1" applyBorder="1"/>
    <xf numFmtId="0" fontId="0" fillId="0" borderId="9" xfId="0" applyBorder="1"/>
    <xf numFmtId="0" fontId="3" fillId="7" borderId="9" xfId="0" applyFont="1" applyFill="1" applyBorder="1"/>
    <xf numFmtId="0" fontId="0" fillId="7" borderId="13" xfId="0" applyFill="1" applyBorder="1"/>
    <xf numFmtId="44" fontId="0" fillId="0" borderId="0" xfId="0" applyNumberFormat="1"/>
    <xf numFmtId="164" fontId="0" fillId="7" borderId="2" xfId="1" applyNumberFormat="1" applyFont="1" applyFill="1" applyBorder="1"/>
    <xf numFmtId="0" fontId="0" fillId="7" borderId="3" xfId="0" applyFill="1" applyBorder="1"/>
    <xf numFmtId="0" fontId="0" fillId="7" borderId="4" xfId="0" applyFill="1" applyBorder="1"/>
    <xf numFmtId="10" fontId="0" fillId="0" borderId="7" xfId="0" applyNumberFormat="1" applyBorder="1"/>
    <xf numFmtId="44" fontId="0" fillId="0" borderId="8" xfId="2" applyFont="1" applyFill="1" applyBorder="1"/>
    <xf numFmtId="2" fontId="0" fillId="0" borderId="0" xfId="0" applyNumberFormat="1" applyFill="1"/>
    <xf numFmtId="0" fontId="3" fillId="3" borderId="11" xfId="0" applyFont="1" applyFill="1" applyBorder="1"/>
    <xf numFmtId="0" fontId="3" fillId="7" borderId="14" xfId="0" applyFont="1" applyFill="1" applyBorder="1"/>
    <xf numFmtId="0" fontId="3" fillId="7" borderId="15" xfId="0" applyFont="1" applyFill="1" applyBorder="1"/>
    <xf numFmtId="0" fontId="0" fillId="0" borderId="14" xfId="0" applyBorder="1"/>
    <xf numFmtId="0" fontId="0" fillId="0" borderId="15" xfId="0" applyBorder="1"/>
    <xf numFmtId="165" fontId="0" fillId="0" borderId="0" xfId="1" applyNumberFormat="1" applyFont="1"/>
    <xf numFmtId="0" fontId="0" fillId="0" borderId="17" xfId="0" applyBorder="1"/>
    <xf numFmtId="10" fontId="0" fillId="0" borderId="0" xfId="3" applyNumberFormat="1" applyFont="1"/>
    <xf numFmtId="0" fontId="3" fillId="3" borderId="0" xfId="0" applyFont="1" applyFill="1"/>
    <xf numFmtId="0" fontId="4" fillId="0" borderId="0" xfId="0" applyFont="1"/>
    <xf numFmtId="166" fontId="0" fillId="0" borderId="0" xfId="3" applyNumberFormat="1" applyFont="1" applyBorder="1"/>
    <xf numFmtId="9" fontId="0" fillId="0" borderId="7" xfId="3" applyNumberFormat="1" applyFont="1" applyBorder="1"/>
    <xf numFmtId="167" fontId="0" fillId="0" borderId="0" xfId="2" applyNumberFormat="1" applyFont="1" applyBorder="1"/>
    <xf numFmtId="167" fontId="0" fillId="0" borderId="7" xfId="2" applyNumberFormat="1" applyFont="1" applyBorder="1"/>
    <xf numFmtId="167" fontId="0" fillId="0" borderId="0" xfId="2" applyNumberFormat="1" applyFont="1"/>
    <xf numFmtId="167" fontId="0" fillId="0" borderId="1" xfId="2" applyNumberFormat="1" applyFont="1" applyBorder="1"/>
    <xf numFmtId="167" fontId="0" fillId="0" borderId="6" xfId="2" applyNumberFormat="1" applyFont="1" applyBorder="1"/>
    <xf numFmtId="167" fontId="0" fillId="0" borderId="2" xfId="2" applyNumberFormat="1" applyFont="1" applyBorder="1"/>
    <xf numFmtId="167" fontId="0" fillId="0" borderId="4" xfId="2" applyNumberFormat="1" applyFont="1" applyBorder="1"/>
    <xf numFmtId="167" fontId="0" fillId="0" borderId="5" xfId="2" applyNumberFormat="1" applyFont="1" applyBorder="1"/>
    <xf numFmtId="167" fontId="0" fillId="0" borderId="8" xfId="2" applyNumberFormat="1" applyFont="1" applyBorder="1"/>
    <xf numFmtId="2" fontId="0" fillId="0" borderId="0" xfId="0" applyNumberFormat="1" applyFill="1" applyBorder="1"/>
    <xf numFmtId="43" fontId="0" fillId="0" borderId="2" xfId="0" applyNumberFormat="1" applyBorder="1"/>
    <xf numFmtId="43" fontId="0" fillId="0" borderId="3" xfId="0" applyNumberFormat="1" applyBorder="1"/>
    <xf numFmtId="43" fontId="0" fillId="0" borderId="0" xfId="0" applyNumberFormat="1" applyBorder="1"/>
    <xf numFmtId="10" fontId="0" fillId="0" borderId="1" xfId="3" applyNumberFormat="1" applyFont="1" applyBorder="1"/>
    <xf numFmtId="0" fontId="0" fillId="5" borderId="1" xfId="0" applyFill="1" applyBorder="1"/>
    <xf numFmtId="0" fontId="0" fillId="5" borderId="0" xfId="0" applyFill="1" applyBorder="1"/>
    <xf numFmtId="0" fontId="0" fillId="5" borderId="6" xfId="0" applyFill="1" applyBorder="1"/>
    <xf numFmtId="44" fontId="0" fillId="5" borderId="11" xfId="0" applyNumberFormat="1" applyFill="1" applyBorder="1"/>
    <xf numFmtId="10" fontId="0" fillId="5" borderId="11" xfId="3" applyNumberFormat="1" applyFont="1" applyFill="1" applyBorder="1"/>
    <xf numFmtId="0" fontId="0" fillId="0" borderId="0" xfId="0" applyFill="1" applyBorder="1"/>
    <xf numFmtId="0" fontId="0" fillId="0" borderId="7" xfId="0" applyFill="1" applyBorder="1"/>
    <xf numFmtId="169" fontId="0" fillId="0" borderId="1" xfId="0" applyNumberFormat="1" applyBorder="1"/>
    <xf numFmtId="9" fontId="0" fillId="0" borderId="0" xfId="0" applyNumberFormat="1"/>
    <xf numFmtId="169" fontId="0" fillId="0" borderId="0" xfId="0" applyNumberFormat="1" applyBorder="1"/>
    <xf numFmtId="170" fontId="0" fillId="0" borderId="0" xfId="0" applyNumberFormat="1" applyBorder="1"/>
    <xf numFmtId="170" fontId="0" fillId="0" borderId="7" xfId="0" applyNumberFormat="1" applyBorder="1"/>
    <xf numFmtId="168" fontId="0" fillId="0" borderId="0" xfId="0" applyNumberFormat="1" applyBorder="1"/>
    <xf numFmtId="170" fontId="0" fillId="0" borderId="3" xfId="0" applyNumberFormat="1" applyBorder="1"/>
    <xf numFmtId="44" fontId="3" fillId="0" borderId="0" xfId="0" applyNumberFormat="1" applyFont="1"/>
    <xf numFmtId="166" fontId="0" fillId="0" borderId="0" xfId="3" applyNumberFormat="1" applyFont="1"/>
    <xf numFmtId="164" fontId="0" fillId="7" borderId="6" xfId="1" applyNumberFormat="1" applyFont="1" applyFill="1" applyBorder="1" applyAlignment="1">
      <alignment horizontal="center"/>
    </xf>
    <xf numFmtId="164" fontId="0" fillId="7" borderId="7" xfId="1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43" fontId="3" fillId="0" borderId="0" xfId="1" applyFont="1" applyBorder="1"/>
    <xf numFmtId="10" fontId="0" fillId="0" borderId="0" xfId="3" applyNumberFormat="1" applyFont="1" applyFill="1" applyBorder="1"/>
    <xf numFmtId="0" fontId="3" fillId="0" borderId="0" xfId="0" applyFont="1" applyFill="1" applyBorder="1"/>
    <xf numFmtId="10" fontId="0" fillId="0" borderId="0" xfId="0" applyNumberFormat="1"/>
    <xf numFmtId="43" fontId="0" fillId="5" borderId="0" xfId="1" applyFont="1" applyFill="1"/>
    <xf numFmtId="43" fontId="0" fillId="6" borderId="0" xfId="0" applyNumberFormat="1" applyFill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28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 patternType="solid">
          <bgColor rgb="FFFFABAB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-&quot;$&quot;* #,##0_-;\-&quot;$&quot;* #,##0_-;_-&quot;$&quot;* &quot;-&quot;??_-;_-@_-"/>
    </dxf>
    <dxf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-&quot;$&quot;* #,##0_-;\-&quot;$&quot;* #,##0_-;_-&quot;$&quot;* &quot;-&quot;??_-;_-@_-"/>
    </dxf>
    <dxf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</dxfs>
  <tableStyles count="0" defaultTableStyle="TableStyleMedium2" defaultPivotStyle="PivotStyleLight16"/>
  <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a22" displayName="Tabla22" ref="A16:P519" totalsRowShown="0">
  <autoFilter ref="A16:P519"/>
  <sortState ref="A17:R63">
    <sortCondition ref="A16:A63"/>
  </sortState>
  <tableColumns count="16">
    <tableColumn id="1" name="No."/>
    <tableColumn id="23" name="Economy "/>
    <tableColumn id="2" name="QualityBonus" dataDxfId="27" dataCellStyle="Porcentaje"/>
    <tableColumn id="3" name="Product" dataDxfId="26" dataCellStyle="Moneda"/>
    <tableColumn id="7" name="Base price1" dataDxfId="25" dataCellStyle="Moneda"/>
    <tableColumn id="24" name="Req." dataDxfId="24" dataCellStyle="Millares"/>
    <tableColumn id="18" name="Product2" dataDxfId="23" dataCellStyle="Moneda"/>
    <tableColumn id="8" name="Base price2" dataDxfId="22" dataCellStyle="Moneda"/>
    <tableColumn id="35" name="Req.2" dataDxfId="21" dataCellStyle="Millares"/>
    <tableColumn id="12" name="Order price" dataDxfId="20" dataCellStyle="Moneda">
      <calculatedColumnFormula>Tabla22[[#This Row],[Base price1]]*Tabla22[[#This Row],[Req.]]+Tabla22[[#This Row],[Base price2]]*Tabla22[[#This Row],[Req.2]]</calculatedColumnFormula>
    </tableColumn>
    <tableColumn id="4" name="Bonus1" dataDxfId="19" dataCellStyle="Moneda">
      <calculatedColumnFormula>IFERROR(LOOKUP(Tabla22[[#This Row],[Product]],$R$18:$R$23,$T$18:$T$23)*Tabla22[[#This Row],[QualityBonus]]*Tabla22[[#This Row],[Base price1]]*Tabla22[[#This Row],[Req.]],0)</calculatedColumnFormula>
    </tableColumn>
    <tableColumn id="11" name="Bonus2" dataDxfId="18" dataCellStyle="Moneda">
      <calculatedColumnFormula>IF(Tabla22[[#This Row],[Req.2]]&gt;0,LOOKUP(Tabla22[[#This Row],[Product2]],$R$18:$R$23,$T$18:$T$23)*Tabla22[[#This Row],[Base price2]]*Tabla22[[#This Row],[Req.2]]*Tabla22[[#This Row],[QualityBonus]],0)</calculatedColumnFormula>
    </tableColumn>
    <tableColumn id="10" name="p1" dataDxfId="17" dataCellStyle="Moneda">
      <calculatedColumnFormula>IFERROR((Tabla22[[#This Row],[Base price1]]-LOOKUP(Tabla22[[#This Row],[Product]],$R$18:$R$23,$S$18:$S$23))*Tabla22[[#This Row],[Req.]],0)</calculatedColumnFormula>
    </tableColumn>
    <tableColumn id="9" name="p2" dataDxfId="16" dataCellStyle="Moneda">
      <calculatedColumnFormula>IF(Tabla22[[#This Row],[Req.2]]&gt;0,(Tabla22[[#This Row],[Base price2]]-LOOKUP(Tabla22[[#This Row],[Product2]],$R$18:$R$23,$S$18:$S$23))*Tabla22[[#This Row],[Req.2]],0)</calculatedColumnFormula>
    </tableColumn>
    <tableColumn id="30" name="No wages" dataDxfId="15" dataCellStyle="Moneda">
      <calculatedColumnFormula>SUM(Tabla22[[#This Row],[Bonus1]:[p2]])</calculatedColumnFormula>
    </tableColumn>
    <tableColumn id="36" name="profit -wages" dataDxfId="14" dataCellStyle="Moneda">
      <calculatedColumnFormula>IF(Tabla22[[#This Row],[QualityBonus]]&gt;0,Tabla22[[#This Row],[No wages]]-$C$4,"")</calculatedColumnFormula>
    </tableColumn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R17:T23" totalsRowShown="0" headerRowDxfId="13" headerRowBorderDxfId="12">
  <autoFilter ref="R17:T23"/>
  <sortState ref="U18:W23">
    <sortCondition ref="U17:U23"/>
  </sortState>
  <tableColumns count="3">
    <tableColumn id="1" name="Goods sold" dataDxfId="11"/>
    <tableColumn id="2" name="COGS" dataDxfId="10"/>
    <tableColumn id="3" name="Q" dataDxfId="9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B8:E19" totalsRowShown="0" dataDxfId="8" dataCellStyle="Moneda">
  <autoFilter ref="B8:E19"/>
  <sortState ref="B9:E19">
    <sortCondition ref="B8:B19"/>
  </sortState>
  <tableColumns count="4">
    <tableColumn id="1" name="Quality"/>
    <tableColumn id="2" name="Unit price" dataDxfId="7" dataCellStyle="Moneda">
      <calculatedColumnFormula>$C$3*(1+$C$4*B9)</calculatedColumnFormula>
    </tableColumn>
    <tableColumn id="3" name="Unit profit" dataDxfId="6" dataCellStyle="Moneda">
      <calculatedColumnFormula>C9-$C$5</calculatedColumnFormula>
    </tableColumn>
    <tableColumn id="4" name="Total profit" dataDxfId="5" dataCellStyle="Moneda">
      <calculatedColumnFormula>D9*$C$6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519"/>
  <sheetViews>
    <sheetView tabSelected="1" topLeftCell="J16" zoomScale="85" zoomScaleNormal="85" workbookViewId="0">
      <selection activeCell="Y48" sqref="Y48"/>
    </sheetView>
  </sheetViews>
  <sheetFormatPr baseColWidth="10" defaultRowHeight="15" x14ac:dyDescent="0.25"/>
  <cols>
    <col min="1" max="1" width="7.140625" bestFit="1" customWidth="1"/>
    <col min="2" max="2" width="12" customWidth="1"/>
    <col min="3" max="3" width="15.85546875" bestFit="1" customWidth="1"/>
    <col min="4" max="4" width="13.42578125" bestFit="1" customWidth="1"/>
    <col min="5" max="5" width="23" customWidth="1"/>
    <col min="6" max="6" width="9.42578125" style="5" bestFit="1" customWidth="1"/>
    <col min="7" max="7" width="12.28515625" customWidth="1"/>
    <col min="8" max="8" width="14.28515625" bestFit="1" customWidth="1"/>
    <col min="9" max="9" width="11.7109375" customWidth="1"/>
    <col min="10" max="10" width="15" bestFit="1" customWidth="1"/>
    <col min="11" max="11" width="13.42578125" bestFit="1" customWidth="1"/>
    <col min="12" max="12" width="13.140625" customWidth="1"/>
    <col min="13" max="13" width="14.5703125" customWidth="1"/>
    <col min="14" max="21" width="17.85546875" customWidth="1"/>
    <col min="22" max="22" width="18.5703125" bestFit="1" customWidth="1"/>
    <col min="23" max="30" width="15.42578125" customWidth="1"/>
  </cols>
  <sheetData>
    <row r="2" spans="1:30" x14ac:dyDescent="0.25">
      <c r="M2" s="45"/>
      <c r="N2" s="53" t="s">
        <v>68</v>
      </c>
      <c r="O2" s="59" t="s">
        <v>13</v>
      </c>
      <c r="P2" s="45"/>
      <c r="Q2" s="45"/>
      <c r="R2" s="45"/>
      <c r="S2" s="45"/>
      <c r="W2" s="53" t="s">
        <v>68</v>
      </c>
      <c r="X2" s="59" t="s">
        <v>13</v>
      </c>
      <c r="Y2" s="45"/>
      <c r="Z2" s="45"/>
      <c r="AA2" s="45"/>
      <c r="AB2" s="45"/>
    </row>
    <row r="3" spans="1:30" x14ac:dyDescent="0.25">
      <c r="F3" s="101" t="s">
        <v>65</v>
      </c>
      <c r="G3" s="102"/>
      <c r="H3" s="102"/>
      <c r="I3" s="102"/>
      <c r="J3" s="102"/>
      <c r="K3" s="102"/>
      <c r="L3" s="102"/>
      <c r="N3" s="101" t="s">
        <v>69</v>
      </c>
      <c r="O3" s="102"/>
      <c r="P3" s="102"/>
      <c r="Q3" s="102"/>
      <c r="R3" s="102"/>
      <c r="S3" s="102"/>
      <c r="T3" s="102"/>
      <c r="U3" s="102"/>
      <c r="W3" s="101" t="s">
        <v>69</v>
      </c>
      <c r="X3" s="102"/>
      <c r="Y3" s="102"/>
      <c r="Z3" s="102"/>
      <c r="AA3" s="102"/>
      <c r="AB3" s="102"/>
      <c r="AC3" s="102"/>
      <c r="AD3" s="102"/>
    </row>
    <row r="4" spans="1:30" x14ac:dyDescent="0.25">
      <c r="B4" s="35" t="s">
        <v>21</v>
      </c>
      <c r="C4" s="88">
        <f>27000+(K11-27000)/2</f>
        <v>47862.284238442226</v>
      </c>
      <c r="E4" s="49"/>
      <c r="F4" s="54" t="s">
        <v>58</v>
      </c>
      <c r="G4" s="51" t="s">
        <v>59</v>
      </c>
      <c r="H4" s="51" t="s">
        <v>79</v>
      </c>
      <c r="I4" s="54" t="s">
        <v>60</v>
      </c>
      <c r="J4" s="54" t="s">
        <v>71</v>
      </c>
      <c r="K4" s="54" t="s">
        <v>62</v>
      </c>
      <c r="L4" s="55" t="s">
        <v>63</v>
      </c>
      <c r="N4" s="53"/>
      <c r="O4" s="54" t="s">
        <v>58</v>
      </c>
      <c r="P4" s="51" t="s">
        <v>59</v>
      </c>
      <c r="Q4" s="51" t="s">
        <v>79</v>
      </c>
      <c r="R4" s="54" t="s">
        <v>60</v>
      </c>
      <c r="S4" s="54" t="s">
        <v>71</v>
      </c>
      <c r="T4" s="54" t="s">
        <v>62</v>
      </c>
      <c r="U4" s="55" t="s">
        <v>63</v>
      </c>
      <c r="W4" s="53"/>
      <c r="X4" s="54" t="s">
        <v>58</v>
      </c>
      <c r="Y4" s="51" t="s">
        <v>59</v>
      </c>
      <c r="Z4" s="51" t="s">
        <v>79</v>
      </c>
      <c r="AA4" s="54" t="s">
        <v>60</v>
      </c>
      <c r="AB4" s="54" t="s">
        <v>71</v>
      </c>
      <c r="AC4" s="54" t="s">
        <v>62</v>
      </c>
      <c r="AD4" s="55" t="s">
        <v>63</v>
      </c>
    </row>
    <row r="5" spans="1:30" x14ac:dyDescent="0.25">
      <c r="B5" s="35" t="s">
        <v>87</v>
      </c>
      <c r="C5" s="89">
        <f>C4/27000-1</f>
        <v>0.7726771940163788</v>
      </c>
      <c r="E5" s="60" t="s">
        <v>27</v>
      </c>
      <c r="F5" s="48">
        <f>SUMIFS(Tabla22[Req.],Tabla22[Product],N5)+SUMIFS(Tabla22[Req.2],Tabla22[Product2],N5)</f>
        <v>40</v>
      </c>
      <c r="G5" s="46">
        <f>F5/COUNTIF(Tabla22[QualityBonus],"&gt;0")</f>
        <v>0.10050251256281408</v>
      </c>
      <c r="H5" s="69">
        <f>G5/$G$11</f>
        <v>2.0283975659229216E-2</v>
      </c>
      <c r="I5" s="22">
        <f>IFERROR((SUMIF(Tabla22[Product],E5,Tabla22[QualityBonus])+SUMIF(Tabla22[Product2],E5,Tabla22[QualityBonus]))/(COUNTIF(Tabla22[Product],E5)+COUNTIF(Tabla22[Product2],E5)),0)</f>
        <v>2.3429411764705883E-2</v>
      </c>
      <c r="J5" s="23">
        <f>IFERROR((SUMIF(Tabla22[Product],E5,Tabla22[Base price1])+SUMIF(Tabla22[Product2],E5,Tabla22[Base price2]))/(COUNTIF(Tabla22[Product],E5)+COUNTIF(Tabla22[Product2],E5)),0)</f>
        <v>831276.29411764711</v>
      </c>
      <c r="K5" s="23">
        <f>IFERROR((SUMIF(Tabla22[Product],E5,Tabla22[No wages])+SUMIF(Tabla22[Product2],E5,Tabla22[No wages]))/(COUNTIF(Tabla22[Product],E5)+COUNTIF(Tabla22[Product2],E5)),0)</f>
        <v>286140.60779411765</v>
      </c>
      <c r="L5" s="41">
        <f>IFERROR((SUMIF(Tabla22[Product],E5,Tabla22[profit -wages])+SUMIF(Tabla22[Product2],E5,Tabla22[profit -wages]))/(COUNTIF(Tabla22[Product],E5)+COUNTIF(Tabla22[Product2],E5)),0)</f>
        <v>238278.32355567539</v>
      </c>
      <c r="N5" s="60" t="s">
        <v>27</v>
      </c>
      <c r="O5" s="48">
        <f>SUMIFS(Tabla22[Req.],Tabla22[Product],N5,Tabla22[[Economy ]],$O$2)+SUMIFS(Tabla22[Req.2],Tabla22[Product2],N5,Tabla22[[Economy ]],$O$2)</f>
        <v>30</v>
      </c>
      <c r="P5" s="46">
        <f>IFERROR(O5/COUNTIF(Tabla22[[Economy ]],$O$2),0)</f>
        <v>7.1599045346062054E-2</v>
      </c>
      <c r="Q5" s="36">
        <f>P5/$P$11</f>
        <v>1.9430051813471502E-2</v>
      </c>
      <c r="R5" s="22">
        <f>IFERROR((SUMIFS(Tabla22[QualityBonus],Tabla22[Product],N5,Tabla22[[Economy ]],$O$2)+SUMIFS(Tabla22[QualityBonus],Tabla22[Product2],N5,Tabla22[[Economy ]],$O$2))/(COUNTIFS(Tabla22[Product],N5,Tabla22[[Economy ]],$O$2)+COUNTIFS(Tabla22[Product2],N5,Tabla22[[Economy ]],$O$2)),0)</f>
        <v>2.3692307692307686E-2</v>
      </c>
      <c r="S5" s="23">
        <f>IFERROR((SUMIFS(Tabla22[Base price1],Tabla22[Product],N5,Tabla22[[Economy ]],$O$2)+SUMIFS(Tabla22[Base price2],Tabla22[Product2],N5,Tabla22[[Economy ]],$O$2))/(COUNTIFS(Tabla22[Product],N5,Tabla22[[Economy ]],$O$2)+COUNTIFS(Tabla22[Product2],N5,Tabla22[[Economy ]],$O$2)),0)</f>
        <v>837925.30769230775</v>
      </c>
      <c r="T5" s="23">
        <f>IFERROR((SUMIFS(Tabla22[No wages],Tabla22[Product],N5,Tabla22[[Economy ]],$O$2)+SUMIFS(Tabla22[No wages],Tabla22[Product2],N5,Tabla22[[Economy ]],$O$2))/(COUNTIFS(Tabla22[Product],N5,Tabla22[[Economy ]],$O$2)+COUNTIFS(Tabla22[Product2],N5,Tabla22[[Economy ]],$O$2)),0)</f>
        <v>314412.03540769231</v>
      </c>
      <c r="U5" s="41">
        <f>IFERROR((SUMIFS(Tabla22[profit -wages],Tabla22[Product],E5,Tabla22[[Economy ]],$O$2)+SUMIFS(Tabla22[profit -wages],Tabla22[Product2],E5,Tabla22[[Economy ]],$O$2))/(COUNTIFS(Tabla22[Product],E5,Tabla22[[Economy ]],$O$2)+COUNTIFS(Tabla22[Product2],E5,Tabla22[[Economy ]],$O$2)),0)</f>
        <v>266549.75116925006</v>
      </c>
      <c r="W5" s="60" t="s">
        <v>27</v>
      </c>
      <c r="X5" s="48">
        <f>SUMIFS(Tabla22[Req.],Tabla22[Product],W5,Tabla22[[Economy ]],$X$2)+SUMIFS(Tabla22[Req.2],Tabla22[Product2],W5,Tabla22[[Economy ]],$X$2)</f>
        <v>30</v>
      </c>
      <c r="Y5" s="46">
        <f>IFERROR(X5/COUNTIF(Tabla22[[Economy ]],$X$2),0)</f>
        <v>7.1599045346062054E-2</v>
      </c>
      <c r="Z5" s="36">
        <f>Y5/$Y$11</f>
        <v>1.9430051813471502E-2</v>
      </c>
      <c r="AA5" s="22">
        <f>IFERROR((SUMIFS(Tabla22[QualityBonus],Tabla22[Product],W5,Tabla22[[Economy ]],$X$2)+SUMIFS(Tabla22[QualityBonus],Tabla22[Product2],W5,Tabla22[[Economy ]],$X$2))/(COUNTIFS(Tabla22[Product],W5,Tabla22[[Economy ]],$X$2)+COUNTIFS(Tabla22[Product2],W5,Tabla22[[Economy ]],$X$2)),0)</f>
        <v>2.3692307692307686E-2</v>
      </c>
      <c r="AB5" s="23">
        <f>IFERROR((SUMIFS(Tabla22[Base price1],Tabla22[Product],W5,Tabla22[[Economy ]],$X$2)+SUMIFS(Tabla22[Base price2],Tabla22[Product2],W5,Tabla22[[Economy ]],$X$2))/(COUNTIFS(Tabla22[Product],W5,Tabla22[[Economy ]],$X$2)+COUNTIFS(Tabla22[Product2],W5,Tabla22[[Economy ]],$X$2)),0)</f>
        <v>837925.30769230775</v>
      </c>
      <c r="AC5" s="23">
        <f>IFERROR((SUMIFS(Tabla22[No wages],Tabla22[Product],W5,Tabla22[[Economy ]],$X$2)+SUMIFS(Tabla22[No wages],Tabla22[Product2],W5,Tabla22[[Economy ]],$X$2))/(COUNTIFS(Tabla22[Product],W5,Tabla22[[Economy ]],$X$2)+COUNTIFS(Tabla22[Product2],W5,Tabla22[[Economy ]],$X$2)),0)</f>
        <v>314412.03540769231</v>
      </c>
      <c r="AD5" s="41">
        <f>IFERROR((SUMIFS(Tabla22[profit -wages],Tabla22[Product],W5,Tabla22[[Economy ]],$X$2)+SUMIFS(Tabla22[profit -wages],Tabla22[Product2],W5,Tabla22[[Economy ]],$X$2))/(COUNTIFS(Tabla22[Product],W5,Tabla22[[Economy ]],$X$2)+COUNTIFS(Tabla22[Product2],W5,Tabla22[[Economy ]],$X$2)),0)</f>
        <v>266549.75116925006</v>
      </c>
    </row>
    <row r="6" spans="1:30" x14ac:dyDescent="0.25">
      <c r="E6" s="60" t="s">
        <v>56</v>
      </c>
      <c r="F6" s="46">
        <f>SUMIFS(Tabla22[Req.],Tabla22[Product],N6)+SUMIFS(Tabla22[Req.2],Tabla22[Product2],N6)</f>
        <v>108</v>
      </c>
      <c r="G6" s="46">
        <f>F6/COUNTIF(Tabla22[QualityBonus],"&gt;0")</f>
        <v>0.271356783919598</v>
      </c>
      <c r="H6" s="69">
        <f t="shared" ref="H6:H10" si="0">G6/$G$11</f>
        <v>5.4766734279918877E-2</v>
      </c>
      <c r="I6" s="36">
        <f>IFERROR((SUMIF(Tabla22[Product],E6,Tabla22[QualityBonus])+SUMIF(Tabla22[Product2],E6,Tabla22[QualityBonus]))/(COUNTIF(Tabla22[Product],E6)+COUNTIF(Tabla22[Product2],E6)),0)</f>
        <v>1.9863636363636365E-2</v>
      </c>
      <c r="J6" s="3">
        <f>IFERROR((SUMIF(Tabla22[Product],E6,Tabla22[Base price1])+SUMIF(Tabla22[Product2],E6,Tabla22[Base price2]))/(COUNTIF(Tabla22[Product],E6)+COUNTIF(Tabla22[Product2],E6)),0)</f>
        <v>221794.38636363635</v>
      </c>
      <c r="K6" s="3">
        <f>IFERROR((SUMIF(Tabla22[Product],E6,Tabla22[No wages])+SUMIF(Tabla22[Product2],E6,Tabla22[No wages]))/(COUNTIF(Tabla22[Product],E6)+COUNTIF(Tabla22[Product2],E6)),0)</f>
        <v>74132.265493181825</v>
      </c>
      <c r="L6" s="42">
        <f>IFERROR((SUMIF(Tabla22[Product],E6,Tabla22[profit -wages])+SUMIF(Tabla22[Product2],E6,Tabla22[profit -wages]))/(COUNTIF(Tabla22[Product],E6)+COUNTIF(Tabla22[Product2],E6)),0)</f>
        <v>26269.981254739592</v>
      </c>
      <c r="N6" s="60" t="s">
        <v>56</v>
      </c>
      <c r="O6" s="46">
        <f>SUMIFS(Tabla22[Req.],Tabla22[Product],N6,Tabla22[[Economy ]],$O$2)+SUMIFS(Tabla22[Req.2],Tabla22[Product2],N6,Tabla22[[Economy ]],$O$2)</f>
        <v>64</v>
      </c>
      <c r="P6" s="46">
        <f>IFERROR(O6/COUNTIF(Tabla22[[Economy ]],$O$2),0)</f>
        <v>0.15274463007159905</v>
      </c>
      <c r="Q6" s="36">
        <f t="shared" ref="Q6:Q10" si="1">P6/$P$11</f>
        <v>4.145077720207254E-2</v>
      </c>
      <c r="R6" s="36">
        <f>IFERROR((SUMIFS(Tabla22[QualityBonus],Tabla22[Product],N6,Tabla22[[Economy ]],$O$2)+SUMIFS(Tabla22[QualityBonus],Tabla22[Product2],N6,Tabla22[[Economy ]],$O$2))/(COUNTIFS(Tabla22[Product],N6,Tabla22[[Economy ]],$O$2)+COUNTIFS(Tabla22[Product2],N6,Tabla22[[Economy ]],$O$2)),0)</f>
        <v>1.9381481481481482E-2</v>
      </c>
      <c r="S6" s="3">
        <f>IFERROR((SUMIFS(Tabla22[Base price1],Tabla22[Product],N6,Tabla22[[Economy ]],$O$2)+SUMIFS(Tabla22[Base price2],Tabla22[Product2],N6,Tabla22[[Economy ]],$O$2))/(COUNTIFS(Tabla22[Product],N6,Tabla22[[Economy ]],$O$2)+COUNTIFS(Tabla22[Product2],N6,Tabla22[[Economy ]],$O$2)),0)</f>
        <v>226069.11111111112</v>
      </c>
      <c r="T6" s="3">
        <f>IFERROR((SUMIFS(Tabla22[No wages],Tabla22[Product],N6,Tabla22[[Economy ]],$O$2)+SUMIFS(Tabla22[No wages],Tabla22[Product2],N6,Tabla22[[Economy ]],$O$2))/(COUNTIFS(Tabla22[Product],N6,Tabla22[[Economy ]],$O$2)+COUNTIFS(Tabla22[Product2],N6,Tabla22[[Economy ]],$O$2)),0)</f>
        <v>82687.405781481488</v>
      </c>
      <c r="U6" s="42">
        <f>IFERROR((SUMIFS(Tabla22[profit -wages],Tabla22[Product],E6,Tabla22[[Economy ]],$O$2)+SUMIFS(Tabla22[profit -wages],Tabla22[Product2],E6,Tabla22[[Economy ]],$O$2))/(COUNTIFS(Tabla22[Product],E6,Tabla22[[Economy ]],$O$2)+COUNTIFS(Tabla22[Product2],E6,Tabla22[[Economy ]],$O$2)),0)</f>
        <v>34825.121543039255</v>
      </c>
      <c r="W6" s="60" t="s">
        <v>56</v>
      </c>
      <c r="X6" s="46">
        <f>SUMIFS(Tabla22[Req.],Tabla22[Product],W6,Tabla22[[Economy ]],$X$2)+SUMIFS(Tabla22[Req.2],Tabla22[Product2],W6,Tabla22[[Economy ]],$X$2)</f>
        <v>64</v>
      </c>
      <c r="Y6" s="46">
        <f>IFERROR(X6/COUNTIF(Tabla22[[Economy ]],$X$2),0)</f>
        <v>0.15274463007159905</v>
      </c>
      <c r="Z6" s="36">
        <f t="shared" ref="Z6:Z10" si="2">Y6/$Y$11</f>
        <v>4.145077720207254E-2</v>
      </c>
      <c r="AA6" s="36">
        <f>IFERROR((SUMIFS(Tabla22[QualityBonus],Tabla22[Product],W6,Tabla22[[Economy ]],$X$2)+SUMIFS(Tabla22[QualityBonus],Tabla22[Product2],W6,Tabla22[[Economy ]],$X$2))/(COUNTIFS(Tabla22[Product],W6,Tabla22[[Economy ]],$X$2)+COUNTIFS(Tabla22[Product2],W6,Tabla22[[Economy ]],$X$2)),0)</f>
        <v>1.9381481481481482E-2</v>
      </c>
      <c r="AB6" s="3">
        <f>IFERROR((SUMIFS(Tabla22[Base price1],Tabla22[Product],W6,Tabla22[[Economy ]],$X$2)+SUMIFS(Tabla22[Base price2],Tabla22[Product2],W6,Tabla22[[Economy ]],$X$2))/(COUNTIFS(Tabla22[Product],W6,Tabla22[[Economy ]],$X$2)+COUNTIFS(Tabla22[Product2],W6,Tabla22[[Economy ]],$X$2)),0)</f>
        <v>226069.11111111112</v>
      </c>
      <c r="AC6" s="3">
        <f>IFERROR((SUMIFS(Tabla22[No wages],Tabla22[Product],W6,Tabla22[[Economy ]],$X$2)+SUMIFS(Tabla22[No wages],Tabla22[Product2],W6,Tabla22[[Economy ]],$X$2))/(COUNTIFS(Tabla22[Product],W6,Tabla22[[Economy ]],$X$2)+COUNTIFS(Tabla22[Product2],W6,Tabla22[[Economy ]],$X$2)),0)</f>
        <v>82687.405781481488</v>
      </c>
      <c r="AD6" s="42">
        <f>IFERROR((SUMIFS(Tabla22[profit -wages],Tabla22[Product],W6,Tabla22[[Economy ]],$X$2)+SUMIFS(Tabla22[profit -wages],Tabla22[Product2],W6,Tabla22[[Economy ]],$X$2))/(COUNTIFS(Tabla22[Product],W6,Tabla22[[Economy ]],$X$2)+COUNTIFS(Tabla22[Product2],W6,Tabla22[[Economy ]],$X$2)),0)</f>
        <v>34825.121543039255</v>
      </c>
    </row>
    <row r="7" spans="1:30" x14ac:dyDescent="0.25">
      <c r="E7" s="60" t="s">
        <v>52</v>
      </c>
      <c r="F7" s="46">
        <f>SUMIFS(Tabla22[Req.],Tabla22[Product],N7)+SUMIFS(Tabla22[Req.2],Tabla22[Product2],N7)</f>
        <v>219</v>
      </c>
      <c r="G7" s="46">
        <f>F7/COUNTIF(Tabla22[QualityBonus],"&gt;0")</f>
        <v>0.55025125628140703</v>
      </c>
      <c r="H7" s="69">
        <f t="shared" si="0"/>
        <v>0.11105476673427994</v>
      </c>
      <c r="I7" s="36">
        <f>IFERROR((SUMIF(Tabla22[Product],E7,Tabla22[QualityBonus])+SUMIF(Tabla22[Product2],E7,Tabla22[QualityBonus]))/(COUNTIF(Tabla22[Product],E7)+COUNTIF(Tabla22[Product2],E7)),0)</f>
        <v>1.9745977011494251E-2</v>
      </c>
      <c r="J7" s="3">
        <f>IFERROR((SUMIF(Tabla22[Product],E7,Tabla22[Base price1])+SUMIF(Tabla22[Product2],E7,Tabla22[Base price2]))/(COUNTIF(Tabla22[Product],E7)+COUNTIF(Tabla22[Product2],E7)),0)</f>
        <v>119211.13793103448</v>
      </c>
      <c r="K7" s="3">
        <f>IFERROR((SUMIF(Tabla22[Product],E7,Tabla22[No wages])+SUMIF(Tabla22[Product2],E7,Tabla22[No wages]))/(COUNTIF(Tabla22[Product],E7)+COUNTIF(Tabla22[Product2],E7)),0)</f>
        <v>78304.855512643684</v>
      </c>
      <c r="L7" s="42">
        <f>IFERROR((SUMIF(Tabla22[Product],E7,Tabla22[profit -wages])+SUMIF(Tabla22[Product2],E7,Tabla22[profit -wages]))/(COUNTIF(Tabla22[Product],E7)+COUNTIF(Tabla22[Product2],E7)),0)</f>
        <v>30442.571274201455</v>
      </c>
      <c r="N7" s="60" t="s">
        <v>52</v>
      </c>
      <c r="O7" s="46">
        <f>SUMIFS(Tabla22[Req.],Tabla22[Product],N7,Tabla22[[Economy ]],$O$2)+SUMIFS(Tabla22[Req.2],Tabla22[Product2],N7,Tabla22[[Economy ]],$O$2)</f>
        <v>177</v>
      </c>
      <c r="P7" s="46">
        <f>IFERROR(O7/COUNTIF(Tabla22[[Economy ]],$O$2),0)</f>
        <v>0.42243436754176611</v>
      </c>
      <c r="Q7" s="36">
        <f t="shared" si="1"/>
        <v>0.11463730569948186</v>
      </c>
      <c r="R7" s="36">
        <f>IFERROR((SUMIFS(Tabla22[QualityBonus],Tabla22[Product],N7,Tabla22[[Economy ]],$O$2)+SUMIFS(Tabla22[QualityBonus],Tabla22[Product2],N7,Tabla22[[Economy ]],$O$2))/(COUNTIFS(Tabla22[Product],N7,Tabla22[[Economy ]],$O$2)+COUNTIFS(Tabla22[Product2],N7,Tabla22[[Economy ]],$O$2)),0)</f>
        <v>1.9022222222222225E-2</v>
      </c>
      <c r="S7" s="3">
        <f>IFERROR((SUMIFS(Tabla22[Base price1],Tabla22[Product],N7,Tabla22[[Economy ]],$O$2)+SUMIFS(Tabla22[Base price2],Tabla22[Product2],N7,Tabla22[[Economy ]],$O$2))/(COUNTIFS(Tabla22[Product],N7,Tabla22[[Economy ]],$O$2)+COUNTIFS(Tabla22[Product2],N7,Tabla22[[Economy ]],$O$2)),0)</f>
        <v>120075.56944444444</v>
      </c>
      <c r="T7" s="3">
        <f>IFERROR((SUMIFS(Tabla22[No wages],Tabla22[Product],N7,Tabla22[[Economy ]],$O$2)+SUMIFS(Tabla22[No wages],Tabla22[Product2],N7,Tabla22[[Economy ]],$O$2))/(COUNTIFS(Tabla22[Product],N7,Tabla22[[Economy ]],$O$2)+COUNTIFS(Tabla22[Product2],N7,Tabla22[[Economy ]],$O$2)),0)</f>
        <v>79101.411486111116</v>
      </c>
      <c r="U7" s="42">
        <f>IFERROR((SUMIFS(Tabla22[profit -wages],Tabla22[Product],E7,Tabla22[[Economy ]],$O$2)+SUMIFS(Tabla22[profit -wages],Tabla22[Product2],E7,Tabla22[[Economy ]],$O$2))/(COUNTIFS(Tabla22[Product],E7,Tabla22[[Economy ]],$O$2)+COUNTIFS(Tabla22[Product2],E7,Tabla22[[Economy ]],$O$2)),0)</f>
        <v>31239.127247668894</v>
      </c>
      <c r="W7" s="60" t="s">
        <v>52</v>
      </c>
      <c r="X7" s="46">
        <f>SUMIFS(Tabla22[Req.],Tabla22[Product],W7,Tabla22[[Economy ]],$X$2)+SUMIFS(Tabla22[Req.2],Tabla22[Product2],W7,Tabla22[[Economy ]],$X$2)</f>
        <v>177</v>
      </c>
      <c r="Y7" s="46">
        <f>IFERROR(X7/COUNTIF(Tabla22[[Economy ]],$X$2),0)</f>
        <v>0.42243436754176611</v>
      </c>
      <c r="Z7" s="36">
        <f t="shared" si="2"/>
        <v>0.11463730569948186</v>
      </c>
      <c r="AA7" s="36">
        <f>IFERROR((SUMIFS(Tabla22[QualityBonus],Tabla22[Product],W7,Tabla22[[Economy ]],$X$2)+SUMIFS(Tabla22[QualityBonus],Tabla22[Product2],W7,Tabla22[[Economy ]],$X$2))/(COUNTIFS(Tabla22[Product],W7,Tabla22[[Economy ]],$X$2)+COUNTIFS(Tabla22[Product2],W7,Tabla22[[Economy ]],$X$2)),0)</f>
        <v>1.9022222222222225E-2</v>
      </c>
      <c r="AB7" s="3">
        <f>IFERROR((SUMIFS(Tabla22[Base price1],Tabla22[Product],W7,Tabla22[[Economy ]],$X$2)+SUMIFS(Tabla22[Base price2],Tabla22[Product2],W7,Tabla22[[Economy ]],$X$2))/(COUNTIFS(Tabla22[Product],W7,Tabla22[[Economy ]],$X$2)+COUNTIFS(Tabla22[Product2],W7,Tabla22[[Economy ]],$X$2)),0)</f>
        <v>120075.56944444444</v>
      </c>
      <c r="AC7" s="3">
        <f>IFERROR((SUMIFS(Tabla22[No wages],Tabla22[Product],W7,Tabla22[[Economy ]],$X$2)+SUMIFS(Tabla22[No wages],Tabla22[Product2],W7,Tabla22[[Economy ]],$X$2))/(COUNTIFS(Tabla22[Product],W7,Tabla22[[Economy ]],$X$2)+COUNTIFS(Tabla22[Product2],W7,Tabla22[[Economy ]],$X$2)),0)</f>
        <v>79101.411486111116</v>
      </c>
      <c r="AD7" s="42">
        <f>IFERROR((SUMIFS(Tabla22[profit -wages],Tabla22[Product],W7,Tabla22[[Economy ]],$X$2)+SUMIFS(Tabla22[profit -wages],Tabla22[Product2],W7,Tabla22[[Economy ]],$X$2))/(COUNTIFS(Tabla22[Product],W7,Tabla22[[Economy ]],$X$2)+COUNTIFS(Tabla22[Product2],W7,Tabla22[[Economy ]],$X$2)),0)</f>
        <v>31239.127247668894</v>
      </c>
    </row>
    <row r="8" spans="1:30" x14ac:dyDescent="0.25">
      <c r="E8" s="60" t="s">
        <v>57</v>
      </c>
      <c r="F8" s="46">
        <f>SUMIFS(Tabla22[Req.],Tabla22[Product],N8)+SUMIFS(Tabla22[Req.2],Tabla22[Product2],N8)</f>
        <v>350</v>
      </c>
      <c r="G8" s="46">
        <f>F8/COUNTIF(Tabla22[QualityBonus],"&gt;0")</f>
        <v>0.87939698492462315</v>
      </c>
      <c r="H8" s="69">
        <f t="shared" si="0"/>
        <v>0.17748478701825562</v>
      </c>
      <c r="I8" s="36">
        <f>IFERROR((SUMIF(Tabla22[Product],E8,Tabla22[QualityBonus])+SUMIF(Tabla22[Product2],E8,Tabla22[QualityBonus]))/(COUNTIF(Tabla22[Product],E8)+COUNTIF(Tabla22[Product2],E8)),0)</f>
        <v>2.0477205882352939E-2</v>
      </c>
      <c r="J8" s="3">
        <f>IFERROR((SUMIF(Tabla22[Product],E8,Tabla22[Base price1])+SUMIF(Tabla22[Product2],E8,Tabla22[Base price2]))/(COUNTIF(Tabla22[Product],E8)+COUNTIF(Tabla22[Product2],E8)),0)</f>
        <v>83389.007352941175</v>
      </c>
      <c r="K8" s="3">
        <f>IFERROR((SUMIF(Tabla22[Product],E8,Tabla22[No wages])+SUMIF(Tabla22[Product2],E8,Tabla22[No wages]))/(COUNTIF(Tabla22[Product],E8)+COUNTIF(Tabla22[Product2],E8)),0)</f>
        <v>66234.29249191175</v>
      </c>
      <c r="L8" s="42">
        <f>IFERROR((SUMIF(Tabla22[Product],E8,Tabla22[profit -wages])+SUMIF(Tabla22[Product2],E8,Tabla22[profit -wages]))/(COUNTIF(Tabla22[Product],E8)+COUNTIF(Tabla22[Product2],E8)),0)</f>
        <v>18372.008253469539</v>
      </c>
      <c r="N8" s="60" t="s">
        <v>57</v>
      </c>
      <c r="O8" s="46">
        <f>SUMIFS(Tabla22[Req.],Tabla22[Product],N8,Tabla22[[Economy ]],$O$2)+SUMIFS(Tabla22[Req.2],Tabla22[Product2],N8,Tabla22[[Economy ]],$O$2)</f>
        <v>245</v>
      </c>
      <c r="P8" s="46">
        <f>IFERROR(O8/COUNTIF(Tabla22[[Economy ]],$O$2),0)</f>
        <v>0.58472553699284013</v>
      </c>
      <c r="Q8" s="36">
        <f t="shared" si="1"/>
        <v>0.15867875647668395</v>
      </c>
      <c r="R8" s="36">
        <f>IFERROR((SUMIFS(Tabla22[QualityBonus],Tabla22[Product],N8,Tabla22[[Economy ]],$O$2)+SUMIFS(Tabla22[QualityBonus],Tabla22[Product2],N8,Tabla22[[Economy ]],$O$2))/(COUNTIFS(Tabla22[Product],N8,Tabla22[[Economy ]],$O$2)+COUNTIFS(Tabla22[Product2],N8,Tabla22[[Economy ]],$O$2)),0)</f>
        <v>2.0216842105263155E-2</v>
      </c>
      <c r="S8" s="3">
        <f>IFERROR((SUMIFS(Tabla22[Base price1],Tabla22[Product],N8,Tabla22[[Economy ]],$O$2)+SUMIFS(Tabla22[Base price2],Tabla22[Product2],N8,Tabla22[[Economy ]],$O$2))/(COUNTIFS(Tabla22[Product],N8,Tabla22[[Economy ]],$O$2)+COUNTIFS(Tabla22[Product2],N8,Tabla22[[Economy ]],$O$2)),0)</f>
        <v>84571.010526315789</v>
      </c>
      <c r="T8" s="3">
        <f>IFERROR((SUMIFS(Tabla22[No wages],Tabla22[Product],N8,Tabla22[[Economy ]],$O$2)+SUMIFS(Tabla22[No wages],Tabla22[Product2],N8,Tabla22[[Economy ]],$O$2))/(COUNTIFS(Tabla22[Product],N8,Tabla22[[Economy ]],$O$2)+COUNTIFS(Tabla22[Product2],N8,Tabla22[[Economy ]],$O$2)),0)</f>
        <v>74766.363375789486</v>
      </c>
      <c r="U8" s="42">
        <f>IFERROR((SUMIFS(Tabla22[profit -wages],Tabla22[Product],E8,Tabla22[[Economy ]],$O$2)+SUMIFS(Tabla22[profit -wages],Tabla22[Product2],E8,Tabla22[[Economy ]],$O$2))/(COUNTIFS(Tabla22[Product],E8,Tabla22[[Economy ]],$O$2)+COUNTIFS(Tabla22[Product2],E8,Tabla22[[Economy ]],$O$2)),0)</f>
        <v>26904.079137347246</v>
      </c>
      <c r="W8" s="60" t="s">
        <v>57</v>
      </c>
      <c r="X8" s="46">
        <f>SUMIFS(Tabla22[Req.],Tabla22[Product],W8,Tabla22[[Economy ]],$X$2)+SUMIFS(Tabla22[Req.2],Tabla22[Product2],W8,Tabla22[[Economy ]],$X$2)</f>
        <v>245</v>
      </c>
      <c r="Y8" s="46">
        <f>IFERROR(X8/COUNTIF(Tabla22[[Economy ]],$X$2),0)</f>
        <v>0.58472553699284013</v>
      </c>
      <c r="Z8" s="36">
        <f t="shared" si="2"/>
        <v>0.15867875647668395</v>
      </c>
      <c r="AA8" s="36">
        <f>IFERROR((SUMIFS(Tabla22[QualityBonus],Tabla22[Product],W8,Tabla22[[Economy ]],$X$2)+SUMIFS(Tabla22[QualityBonus],Tabla22[Product2],W8,Tabla22[[Economy ]],$X$2))/(COUNTIFS(Tabla22[Product],W8,Tabla22[[Economy ]],$X$2)+COUNTIFS(Tabla22[Product2],W8,Tabla22[[Economy ]],$X$2)),0)</f>
        <v>2.0216842105263155E-2</v>
      </c>
      <c r="AB8" s="3">
        <f>IFERROR((SUMIFS(Tabla22[Base price1],Tabla22[Product],W8,Tabla22[[Economy ]],$X$2)+SUMIFS(Tabla22[Base price2],Tabla22[Product2],W8,Tabla22[[Economy ]],$X$2))/(COUNTIFS(Tabla22[Product],W8,Tabla22[[Economy ]],$X$2)+COUNTIFS(Tabla22[Product2],W8,Tabla22[[Economy ]],$X$2)),0)</f>
        <v>84571.010526315789</v>
      </c>
      <c r="AC8" s="3">
        <f>IFERROR((SUMIFS(Tabla22[No wages],Tabla22[Product],W8,Tabla22[[Economy ]],$X$2)+SUMIFS(Tabla22[No wages],Tabla22[Product2],W8,Tabla22[[Economy ]],$X$2))/(COUNTIFS(Tabla22[Product],W8,Tabla22[[Economy ]],$X$2)+COUNTIFS(Tabla22[Product2],W8,Tabla22[[Economy ]],$X$2)),0)</f>
        <v>74766.363375789486</v>
      </c>
      <c r="AD8" s="42">
        <f>IFERROR((SUMIFS(Tabla22[profit -wages],Tabla22[Product],W8,Tabla22[[Economy ]],$X$2)+SUMIFS(Tabla22[profit -wages],Tabla22[Product2],W8,Tabla22[[Economy ]],$X$2))/(COUNTIFS(Tabla22[Product],W8,Tabla22[[Economy ]],$X$2)+COUNTIFS(Tabla22[Product2],W8,Tabla22[[Economy ]],$X$2)),0)</f>
        <v>26904.079137347246</v>
      </c>
    </row>
    <row r="9" spans="1:30" x14ac:dyDescent="0.25">
      <c r="B9" s="49" t="s">
        <v>72</v>
      </c>
      <c r="E9" s="60" t="s">
        <v>54</v>
      </c>
      <c r="F9" s="46">
        <f>SUMIFS(Tabla22[Req.],Tabla22[Product],N9)+SUMIFS(Tabla22[Req.2],Tabla22[Product2],N9)</f>
        <v>445</v>
      </c>
      <c r="G9" s="46">
        <f>F9/COUNTIF(Tabla22[QualityBonus],"&gt;0")</f>
        <v>1.1180904522613064</v>
      </c>
      <c r="H9" s="69">
        <f t="shared" si="0"/>
        <v>0.22565922920892498</v>
      </c>
      <c r="I9" s="36">
        <f>IFERROR((SUMIF(Tabla22[Product],E9,Tabla22[QualityBonus])+SUMIF(Tabla22[Product2],E9,Tabla22[QualityBonus]))/(COUNTIF(Tabla22[Product],E9)+COUNTIF(Tabla22[Product2],E9)),0)</f>
        <v>1.9877127659574469E-2</v>
      </c>
      <c r="J9" s="3">
        <f>IFERROR((SUMIF(Tabla22[Product],E9,Tabla22[Base price1])+SUMIF(Tabla22[Product2],E9,Tabla22[Base price2]))/(COUNTIF(Tabla22[Product],E9)+COUNTIF(Tabla22[Product2],E9)),0)</f>
        <v>60879.063829787236</v>
      </c>
      <c r="K9" s="3">
        <f>IFERROR((SUMIF(Tabla22[Product],E9,Tabla22[No wages])+SUMIF(Tabla22[Product2],E9,Tabla22[No wages]))/(COUNTIF(Tabla22[Product],E9)+COUNTIF(Tabla22[Product2],E9)),0)</f>
        <v>64612.424096276569</v>
      </c>
      <c r="L9" s="42">
        <f>IFERROR((SUMIF(Tabla22[Product],E9,Tabla22[profit -wages])+SUMIF(Tabla22[Product2],E9,Tabla22[profit -wages]))/(COUNTIF(Tabla22[Product],E9)+COUNTIF(Tabla22[Product2],E9)),0)</f>
        <v>16750.139857834372</v>
      </c>
      <c r="N9" s="60" t="s">
        <v>54</v>
      </c>
      <c r="O9" s="46">
        <f>SUMIFS(Tabla22[Req.],Tabla22[Product],N9,Tabla22[[Economy ]],$O$2)+SUMIFS(Tabla22[Req.2],Tabla22[Product2],N9,Tabla22[[Economy ]],$O$2)</f>
        <v>393</v>
      </c>
      <c r="P9" s="46">
        <f>IFERROR(O9/COUNTIF(Tabla22[[Economy ]],$O$2),0)</f>
        <v>0.93794749403341293</v>
      </c>
      <c r="Q9" s="36">
        <f t="shared" si="1"/>
        <v>0.2545336787564767</v>
      </c>
      <c r="R9" s="36">
        <f>IFERROR((SUMIFS(Tabla22[QualityBonus],Tabla22[Product],N9,Tabla22[[Economy ]],$O$2)+SUMIFS(Tabla22[QualityBonus],Tabla22[Product2],N9,Tabla22[[Economy ]],$O$2))/(COUNTIFS(Tabla22[Product],N9,Tabla22[[Economy ]],$O$2)+COUNTIFS(Tabla22[Product2],N9,Tabla22[[Economy ]],$O$2)),0)</f>
        <v>1.9671515151515152E-2</v>
      </c>
      <c r="S9" s="3">
        <f>IFERROR((SUMIFS(Tabla22[Base price1],Tabla22[Product],N9,Tabla22[[Economy ]],$O$2)+SUMIFS(Tabla22[Base price2],Tabla22[Product2],N9,Tabla22[[Economy ]],$O$2))/(COUNTIFS(Tabla22[Product],N9,Tabla22[[Economy ]],$O$2)+COUNTIFS(Tabla22[Product2],N9,Tabla22[[Economy ]],$O$2)),0)</f>
        <v>61302.484848484848</v>
      </c>
      <c r="T9" s="3">
        <f>IFERROR((SUMIFS(Tabla22[No wages],Tabla22[Product],N9,Tabla22[[Economy ]],$O$2)+SUMIFS(Tabla22[No wages],Tabla22[Product2],N9,Tabla22[[Economy ]],$O$2))/(COUNTIFS(Tabla22[Product],N9,Tabla22[[Economy ]],$O$2)+COUNTIFS(Tabla22[Product2],N9,Tabla22[[Economy ]],$O$2)),0)</f>
        <v>65804.923116969672</v>
      </c>
      <c r="U9" s="42">
        <f>IFERROR((SUMIFS(Tabla22[profit -wages],Tabla22[Product],E9,Tabla22[[Economy ]],$O$2)+SUMIFS(Tabla22[profit -wages],Tabla22[Product2],E9,Tabla22[[Economy ]],$O$2))/(COUNTIFS(Tabla22[Product],E9,Tabla22[[Economy ]],$O$2)+COUNTIFS(Tabla22[Product2],E9,Tabla22[[Economy ]],$O$2)),0)</f>
        <v>17942.638878527476</v>
      </c>
      <c r="W9" s="60" t="s">
        <v>54</v>
      </c>
      <c r="X9" s="46">
        <f>SUMIFS(Tabla22[Req.],Tabla22[Product],W9,Tabla22[[Economy ]],$X$2)+SUMIFS(Tabla22[Req.2],Tabla22[Product2],W9,Tabla22[[Economy ]],$X$2)</f>
        <v>393</v>
      </c>
      <c r="Y9" s="46">
        <f>IFERROR(X9/COUNTIF(Tabla22[[Economy ]],$X$2),0)</f>
        <v>0.93794749403341293</v>
      </c>
      <c r="Z9" s="36">
        <f t="shared" si="2"/>
        <v>0.2545336787564767</v>
      </c>
      <c r="AA9" s="36">
        <f>IFERROR((SUMIFS(Tabla22[QualityBonus],Tabla22[Product],W9,Tabla22[[Economy ]],$X$2)+SUMIFS(Tabla22[QualityBonus],Tabla22[Product2],W9,Tabla22[[Economy ]],$X$2))/(COUNTIFS(Tabla22[Product],W9,Tabla22[[Economy ]],$X$2)+COUNTIFS(Tabla22[Product2],W9,Tabla22[[Economy ]],$X$2)),0)</f>
        <v>1.9671515151515152E-2</v>
      </c>
      <c r="AB9" s="3">
        <f>IFERROR((SUMIFS(Tabla22[Base price1],Tabla22[Product],W9,Tabla22[[Economy ]],$X$2)+SUMIFS(Tabla22[Base price2],Tabla22[Product2],W9,Tabla22[[Economy ]],$X$2))/(COUNTIFS(Tabla22[Product],W9,Tabla22[[Economy ]],$X$2)+COUNTIFS(Tabla22[Product2],W9,Tabla22[[Economy ]],$X$2)),0)</f>
        <v>61302.484848484848</v>
      </c>
      <c r="AC9" s="3">
        <f>IFERROR((SUMIFS(Tabla22[No wages],Tabla22[Product],W9,Tabla22[[Economy ]],$X$2)+SUMIFS(Tabla22[No wages],Tabla22[Product2],W9,Tabla22[[Economy ]],$X$2))/(COUNTIFS(Tabla22[Product],W9,Tabla22[[Economy ]],$X$2)+COUNTIFS(Tabla22[Product2],W9,Tabla22[[Economy ]],$X$2)),0)</f>
        <v>65804.923116969672</v>
      </c>
      <c r="AD9" s="42">
        <f>IFERROR((SUMIFS(Tabla22[profit -wages],Tabla22[Product],W9,Tabla22[[Economy ]],$X$2)+SUMIFS(Tabla22[profit -wages],Tabla22[Product2],W9,Tabla22[[Economy ]],$X$2))/(COUNTIFS(Tabla22[Product],W9,Tabla22[[Economy ]],$X$2)+COUNTIFS(Tabla22[Product2],W9,Tabla22[[Economy ]],$X$2)),0)</f>
        <v>17942.638878527476</v>
      </c>
    </row>
    <row r="10" spans="1:30" x14ac:dyDescent="0.25">
      <c r="B10" s="62" t="s">
        <v>66</v>
      </c>
      <c r="E10" s="61" t="s">
        <v>53</v>
      </c>
      <c r="F10" s="47">
        <f>SUMIFS(Tabla22[Req.],Tabla22[Product],N10)+SUMIFS(Tabla22[Req.2],Tabla22[Product2],N10)</f>
        <v>810</v>
      </c>
      <c r="G10" s="47">
        <f>F10/COUNTIF(Tabla22[QualityBonus],"&gt;0")</f>
        <v>2.0351758793969847</v>
      </c>
      <c r="H10" s="69">
        <f t="shared" si="0"/>
        <v>0.41075050709939154</v>
      </c>
      <c r="I10" s="44">
        <f>IFERROR((SUMIF(Tabla22[Product],E10,Tabla22[QualityBonus])+SUMIF(Tabla22[Product2],E10,Tabla22[QualityBonus]))/(COUNTIF(Tabla22[Product],E10)+COUNTIF(Tabla22[Product2],E10)),0)</f>
        <v>1.999999999999999E-2</v>
      </c>
      <c r="J10" s="38">
        <f>IFERROR((SUMIF(Tabla22[Product],E10,Tabla22[Base price1])+SUMIF(Tabla22[Product2],E10,Tabla22[Base price2]))/(COUNTIF(Tabla22[Product],E10)+COUNTIF(Tabla22[Product2],E10)),0)</f>
        <v>41256.088495575219</v>
      </c>
      <c r="K10" s="38">
        <f>IFERROR((SUMIF(Tabla22[Product],E10,Tabla22[No wages])+SUMIF(Tabla22[Product2],E10,Tabla22[No wages]))/(COUNTIF(Tabla22[Product],E10)+COUNTIF(Tabla22[Product2],E10)),0)</f>
        <v>68648.79539026547</v>
      </c>
      <c r="L10" s="43">
        <f>IFERROR((SUMIF(Tabla22[Product],E10,Tabla22[profit -wages])+SUMIF(Tabla22[Product2],E10,Tabla22[profit -wages]))/(COUNTIF(Tabla22[Product],E10)+COUNTIF(Tabla22[Product2],E10)),0)</f>
        <v>20786.511151823266</v>
      </c>
      <c r="N10" s="61" t="s">
        <v>53</v>
      </c>
      <c r="O10" s="47">
        <f>SUMIFS(Tabla22[Req.],Tabla22[Product],N10,Tabla22[[Economy ]],$O$2)+SUMIFS(Tabla22[Req.2],Tabla22[Product2],N10,Tabla22[[Economy ]],$O$2)</f>
        <v>635</v>
      </c>
      <c r="P10" s="47">
        <f>IFERROR(O10/COUNTIF(Tabla22[[Economy ]],$O$2),0)</f>
        <v>1.5155131264916468</v>
      </c>
      <c r="Q10" s="44">
        <f t="shared" si="1"/>
        <v>0.41126943005181349</v>
      </c>
      <c r="R10" s="44">
        <f>IFERROR((SUMIFS(Tabla22[QualityBonus],Tabla22[Product],N10,Tabla22[[Economy ]],$O$2)+SUMIFS(Tabla22[QualityBonus],Tabla22[Product2],N10,Tabla22[[Economy ]],$O$2))/(COUNTIFS(Tabla22[Product],N10,Tabla22[[Economy ]],$O$2)+COUNTIFS(Tabla22[Product2],N10,Tabla22[[Economy ]],$O$2)),0)</f>
        <v>1.9801685393258422E-2</v>
      </c>
      <c r="S10" s="38">
        <f>IFERROR((SUMIFS(Tabla22[Base price1],Tabla22[Product],N10,Tabla22[[Economy ]],$O$2)+SUMIFS(Tabla22[Base price2],Tabla22[Product2],N10,Tabla22[[Economy ]],$O$2))/(COUNTIFS(Tabla22[Product],N10,Tabla22[[Economy ]],$O$2)+COUNTIFS(Tabla22[Product2],N10,Tabla22[[Economy ]],$O$2)),0)</f>
        <v>41784.348314606745</v>
      </c>
      <c r="T10" s="38">
        <f>IFERROR((SUMIFS(Tabla22[No wages],Tabla22[Product],N10,Tabla22[[Economy ]],$O$2)+SUMIFS(Tabla22[No wages],Tabla22[Product2],N10,Tabla22[[Economy ]],$O$2))/(COUNTIFS(Tabla22[Product],N10,Tabla22[[Economy ]],$O$2)+COUNTIFS(Tabla22[Product2],N10,Tabla22[[Economy ]],$O$2)),0)</f>
        <v>72439.79375393255</v>
      </c>
      <c r="U10" s="43">
        <f>IFERROR((SUMIFS(Tabla22[profit -wages],Tabla22[Product],E10,Tabla22[[Economy ]],$O$2)+SUMIFS(Tabla22[profit -wages],Tabla22[Product2],E10,Tabla22[[Economy ]],$O$2))/(COUNTIFS(Tabla22[Product],E10,Tabla22[[Economy ]],$O$2)+COUNTIFS(Tabla22[Product2],E10,Tabla22[[Economy ]],$O$2)),0)</f>
        <v>24577.509515490361</v>
      </c>
      <c r="W10" s="61" t="s">
        <v>53</v>
      </c>
      <c r="X10" s="47">
        <f>SUMIFS(Tabla22[Req.],Tabla22[Product],W10,Tabla22[[Economy ]],$X$2)+SUMIFS(Tabla22[Req.2],Tabla22[Product2],W10,Tabla22[[Economy ]],$X$2)</f>
        <v>635</v>
      </c>
      <c r="Y10" s="47">
        <f>IFERROR(X10/COUNTIF(Tabla22[[Economy ]],$X$2),0)</f>
        <v>1.5155131264916468</v>
      </c>
      <c r="Z10" s="44">
        <f t="shared" si="2"/>
        <v>0.41126943005181349</v>
      </c>
      <c r="AA10" s="44">
        <f>IFERROR((SUMIFS(Tabla22[QualityBonus],Tabla22[Product],W10,Tabla22[[Economy ]],$X$2)+SUMIFS(Tabla22[QualityBonus],Tabla22[Product2],W10,Tabla22[[Economy ]],$X$2))/(COUNTIFS(Tabla22[Product],W10,Tabla22[[Economy ]],$X$2)+COUNTIFS(Tabla22[Product2],W10,Tabla22[[Economy ]],$X$2)),0)</f>
        <v>1.9801685393258422E-2</v>
      </c>
      <c r="AB10" s="38">
        <f>IFERROR((SUMIFS(Tabla22[Base price1],Tabla22[Product],W10,Tabla22[[Economy ]],$X$2)+SUMIFS(Tabla22[Base price2],Tabla22[Product2],W10,Tabla22[[Economy ]],$X$2))/(COUNTIFS(Tabla22[Product],W10,Tabla22[[Economy ]],$X$2)+COUNTIFS(Tabla22[Product2],W10,Tabla22[[Economy ]],$X$2)),0)</f>
        <v>41784.348314606745</v>
      </c>
      <c r="AC10" s="38">
        <f>IFERROR((SUMIFS(Tabla22[No wages],Tabla22[Product],W10,Tabla22[[Economy ]],$X$2)+SUMIFS(Tabla22[No wages],Tabla22[Product2],W10,Tabla22[[Economy ]],$X$2))/(COUNTIFS(Tabla22[Product],W10,Tabla22[[Economy ]],$X$2)+COUNTIFS(Tabla22[Product2],W10,Tabla22[[Economy ]],$X$2)),0)</f>
        <v>72439.79375393255</v>
      </c>
      <c r="AD10" s="43">
        <f>IFERROR((SUMIFS(Tabla22[profit -wages],Tabla22[Product],W10,Tabla22[[Economy ]],$X$2)+SUMIFS(Tabla22[profit -wages],Tabla22[Product2],W10,Tabla22[[Economy ]],$X$2))/(COUNTIFS(Tabla22[Product],W10,Tabla22[[Economy ]],$X$2)+COUNTIFS(Tabla22[Product2],W10,Tabla22[[Economy ]],$X$2)),0)</f>
        <v>24577.509515490361</v>
      </c>
    </row>
    <row r="11" spans="1:30" x14ac:dyDescent="0.25">
      <c r="B11" s="62" t="s">
        <v>13</v>
      </c>
      <c r="E11" s="50" t="s">
        <v>61</v>
      </c>
      <c r="F11" s="47">
        <f>SUM(F5:F10)</f>
        <v>1972</v>
      </c>
      <c r="G11" s="47">
        <f>SUM(G5:G10)</f>
        <v>4.9547738693467327</v>
      </c>
      <c r="H11" s="70">
        <f>SUM(H5:H10)</f>
        <v>1.0000000000000002</v>
      </c>
      <c r="I11" s="56">
        <f>AVERAGE(Tabla22[QualityBonus])</f>
        <v>2.0144974874371877E-2</v>
      </c>
      <c r="J11" s="38">
        <f>SUMPRODUCT(G5:G10,J5:J10)/G11</f>
        <v>87731.669552776802</v>
      </c>
      <c r="K11" s="38">
        <f>AVERAGEIF(Tabla22[No wages],"&gt;0")</f>
        <v>68724.568476884451</v>
      </c>
      <c r="L11" s="57">
        <f>AVERAGE(Tabla22[profit -wages])</f>
        <v>20862.284238442211</v>
      </c>
      <c r="M11" s="52"/>
      <c r="N11" s="50" t="s">
        <v>61</v>
      </c>
      <c r="O11" s="47">
        <f>SUM(O5:O10)</f>
        <v>1544</v>
      </c>
      <c r="P11" s="47">
        <f>SUM(P5:P10)</f>
        <v>3.6849642004773271</v>
      </c>
      <c r="Q11" s="70">
        <f>SUM(Q5:Q10)</f>
        <v>1</v>
      </c>
      <c r="R11" s="56">
        <f>IFERROR(AVERAGEIFS(Tabla22[QualityBonus],Tabla22[[Economy ]],$O$2),0)</f>
        <v>1.9873248407643332E-2</v>
      </c>
      <c r="S11" s="38">
        <f>IFERROR(SUMPRODUCT(S5:S10,P5:P10)/P11,0)</f>
        <v>85624.607148785115</v>
      </c>
      <c r="T11" s="38">
        <f>IFERROR(AVERAGEIFS(Tabla22[No wages],Tabla22[[Economy ]],$O$2),0)</f>
        <v>54272.191436754205</v>
      </c>
      <c r="U11" s="57">
        <f>IFERROR(AVERAGEIFS(Tabla22[profit -wages],Tabla22[[Economy ]],$O$2),0)</f>
        <v>24558.251468564158</v>
      </c>
      <c r="W11" s="50" t="s">
        <v>61</v>
      </c>
      <c r="X11" s="47">
        <f>SUM(X5:X10)</f>
        <v>1544</v>
      </c>
      <c r="Y11" s="47">
        <f>SUM(Y5:Y10)</f>
        <v>3.6849642004773271</v>
      </c>
      <c r="Z11" s="70">
        <f>SUM(Z5:Z10)</f>
        <v>1</v>
      </c>
      <c r="AA11" s="56">
        <f>IFERROR(AVERAGEIFS(Tabla22[QualityBonus],Tabla22[[Economy ]],$X$2),0)</f>
        <v>1.9873248407643332E-2</v>
      </c>
      <c r="AB11" s="38">
        <f>IFERROR(SUMPRODUCT(AB5:AB10,Y5:Y10)/Y11,0)</f>
        <v>85624.607148785115</v>
      </c>
      <c r="AC11" s="38">
        <f>IFERROR(AVERAGEIFS(Tabla22[No wages],Tabla22[[Economy ]],$X$2),0)</f>
        <v>54272.191436754205</v>
      </c>
      <c r="AD11" s="57">
        <f>IFERROR(AVERAGEIFS(Tabla22[profit -wages],Tabla22[[Economy ]],$X$2),0)</f>
        <v>24558.251468564158</v>
      </c>
    </row>
    <row r="12" spans="1:30" x14ac:dyDescent="0.25">
      <c r="B12" s="63" t="s">
        <v>67</v>
      </c>
      <c r="K12" t="s">
        <v>134</v>
      </c>
      <c r="L12" s="52">
        <f>L11/47</f>
        <v>443.87838805196196</v>
      </c>
      <c r="P12" s="80"/>
      <c r="S12" s="45"/>
      <c r="T12" s="45"/>
      <c r="U12" s="45"/>
      <c r="V12" s="45"/>
      <c r="W12" s="45"/>
    </row>
    <row r="13" spans="1:30" x14ac:dyDescent="0.25">
      <c r="L13" s="52"/>
      <c r="S13" s="45"/>
      <c r="T13" s="45"/>
      <c r="U13" s="45"/>
      <c r="V13" s="45"/>
      <c r="W13" s="45"/>
    </row>
    <row r="14" spans="1:30" x14ac:dyDescent="0.25">
      <c r="S14" s="45"/>
      <c r="T14" s="45"/>
      <c r="U14" s="45"/>
      <c r="V14" s="45"/>
      <c r="W14" s="45"/>
    </row>
    <row r="15" spans="1:30" x14ac:dyDescent="0.25">
      <c r="D15" s="103" t="s">
        <v>45</v>
      </c>
      <c r="E15" s="104"/>
      <c r="F15" s="105"/>
      <c r="G15" s="106" t="s">
        <v>46</v>
      </c>
      <c r="H15" s="104"/>
      <c r="I15" s="105"/>
      <c r="J15" s="107" t="s">
        <v>49</v>
      </c>
      <c r="K15" s="108"/>
      <c r="L15" s="108"/>
      <c r="M15" s="108"/>
      <c r="N15" s="108"/>
      <c r="O15" s="108"/>
      <c r="P15" s="108"/>
      <c r="R15" s="45"/>
      <c r="S15" s="45"/>
      <c r="T15" s="45"/>
      <c r="U15" s="45"/>
      <c r="V15" s="45"/>
      <c r="W15" s="45"/>
    </row>
    <row r="16" spans="1:30" x14ac:dyDescent="0.25">
      <c r="A16" t="s">
        <v>44</v>
      </c>
      <c r="B16" t="s">
        <v>12</v>
      </c>
      <c r="C16" t="s">
        <v>0</v>
      </c>
      <c r="D16" s="1" t="s">
        <v>47</v>
      </c>
      <c r="E16" s="13" t="s">
        <v>48</v>
      </c>
      <c r="F16" s="4" t="s">
        <v>4</v>
      </c>
      <c r="G16" s="65" t="s">
        <v>64</v>
      </c>
      <c r="H16" s="13" t="s">
        <v>3</v>
      </c>
      <c r="I16" s="4" t="s">
        <v>5</v>
      </c>
      <c r="J16" s="65" t="s">
        <v>70</v>
      </c>
      <c r="K16" s="13" t="s">
        <v>77</v>
      </c>
      <c r="L16" s="13" t="s">
        <v>78</v>
      </c>
      <c r="M16" s="1" t="s">
        <v>50</v>
      </c>
      <c r="N16" t="s">
        <v>51</v>
      </c>
      <c r="O16" s="40" t="s">
        <v>80</v>
      </c>
      <c r="P16" t="s">
        <v>20</v>
      </c>
      <c r="R16" s="45"/>
      <c r="S16" s="45"/>
      <c r="T16" s="45"/>
      <c r="U16" s="45"/>
      <c r="V16" s="45"/>
    </row>
    <row r="17" spans="1:24" x14ac:dyDescent="0.25">
      <c r="A17" s="13">
        <v>1</v>
      </c>
      <c r="B17" s="13" t="s">
        <v>13</v>
      </c>
      <c r="C17" s="36">
        <v>2.9100000000000001E-2</v>
      </c>
      <c r="D17" s="2" t="s">
        <v>52</v>
      </c>
      <c r="E17" s="71">
        <v>124454</v>
      </c>
      <c r="F17" s="4">
        <v>1</v>
      </c>
      <c r="G17" s="2" t="s">
        <v>54</v>
      </c>
      <c r="H17" s="71">
        <v>63090</v>
      </c>
      <c r="I17" s="4">
        <v>3</v>
      </c>
      <c r="J17" s="74">
        <f>Tabla22[[#This Row],[Base price1]]*Tabla22[[#This Row],[Req.]]+Tabla22[[#This Row],[Base price2]]*Tabla22[[#This Row],[Req.2]]</f>
        <v>313724</v>
      </c>
      <c r="K17" s="71">
        <f>IFERROR(LOOKUP(Tabla22[[#This Row],[Product]],$R$18:$R$23,$T$18:$T$23)*Tabla22[[#This Row],[QualityBonus]]*Tabla22[[#This Row],[Base price1]]*Tabla22[[#This Row],[Req.]],0)</f>
        <v>21729.668400000002</v>
      </c>
      <c r="L17" s="71">
        <f>IF(Tabla22[[#This Row],[Req.2]]&gt;0,LOOKUP(Tabla22[[#This Row],[Product2]],$R$18:$R$23,$T$18:$T$23)*Tabla22[[#This Row],[Base price2]]*Tabla22[[#This Row],[Req.2]]*Tabla22[[#This Row],[QualityBonus]],0)</f>
        <v>27538.785</v>
      </c>
      <c r="M17" s="74">
        <f>IFERROR((Tabla22[[#This Row],[Base price1]]-LOOKUP(Tabla22[[#This Row],[Product]],$R$18:$R$23,$S$18:$S$23))*Tabla22[[#This Row],[Req.]],0)</f>
        <v>8454</v>
      </c>
      <c r="N17" s="71">
        <f>IF(Tabla22[[#This Row],[Req.2]]&gt;0,(Tabla22[[#This Row],[Base price2]]-LOOKUP(Tabla22[[#This Row],[Product2]],$R$18:$R$23,$S$18:$S$23))*Tabla22[[#This Row],[Req.2]],0)</f>
        <v>19770</v>
      </c>
      <c r="O17" s="74">
        <f>SUM(Tabla22[[#This Row],[Bonus1]:[p2]])</f>
        <v>77492.453399999999</v>
      </c>
      <c r="P17" s="71">
        <f>IF(Tabla22[[#This Row],[QualityBonus]]&gt;0,Tabla22[[#This Row],[No wages]]-$C$4,"")</f>
        <v>29630.169161557773</v>
      </c>
      <c r="R17" s="68" t="s">
        <v>75</v>
      </c>
      <c r="S17" s="68" t="s">
        <v>2</v>
      </c>
      <c r="T17" s="68" t="s">
        <v>76</v>
      </c>
      <c r="U17" s="45" t="s">
        <v>86</v>
      </c>
      <c r="V17" s="45"/>
    </row>
    <row r="18" spans="1:24" x14ac:dyDescent="0.25">
      <c r="A18" s="13">
        <v>2</v>
      </c>
      <c r="B18" s="13" t="s">
        <v>13</v>
      </c>
      <c r="C18" s="36">
        <v>2.0899999999999998E-2</v>
      </c>
      <c r="D18" s="2" t="s">
        <v>55</v>
      </c>
      <c r="E18" s="71">
        <v>84382</v>
      </c>
      <c r="F18" s="4">
        <v>2</v>
      </c>
      <c r="G18" s="2" t="s">
        <v>54</v>
      </c>
      <c r="H18" s="71">
        <v>62008</v>
      </c>
      <c r="I18" s="4">
        <v>4</v>
      </c>
      <c r="J18" s="74">
        <f>Tabla22[[#This Row],[Base price1]]*Tabla22[[#This Row],[Req.]]+Tabla22[[#This Row],[Base price2]]*Tabla22[[#This Row],[Req.2]]</f>
        <v>416796</v>
      </c>
      <c r="K18" s="71">
        <f>IFERROR(LOOKUP(Tabla22[[#This Row],[Product]],$R$18:$R$23,$T$18:$T$23)*Tabla22[[#This Row],[QualityBonus]]*Tabla22[[#This Row],[Base price1]]*Tabla22[[#This Row],[Req.]],0)</f>
        <v>14108.670399999999</v>
      </c>
      <c r="L18" s="71">
        <f>IF(Tabla22[[#This Row],[Req.2]]&gt;0,LOOKUP(Tabla22[[#This Row],[Product2]],$R$18:$R$23,$T$18:$T$23)*Tabla22[[#This Row],[Base price2]]*Tabla22[[#This Row],[Req.2]]*Tabla22[[#This Row],[QualityBonus]],0)</f>
        <v>25919.343999999997</v>
      </c>
      <c r="M18" s="74">
        <f>IFERROR((Tabla22[[#This Row],[Base price1]]-LOOKUP(Tabla22[[#This Row],[Product]],$R$18:$R$23,$S$18:$S$23))*Tabla22[[#This Row],[Req.]],0)</f>
        <v>14764</v>
      </c>
      <c r="N18" s="71">
        <f>IF(Tabla22[[#This Row],[Req.2]]&gt;0,(Tabla22[[#This Row],[Base price2]]-LOOKUP(Tabla22[[#This Row],[Product2]],$R$18:$R$23,$S$18:$S$23))*Tabla22[[#This Row],[Req.2]],0)</f>
        <v>22032</v>
      </c>
      <c r="O18" s="74">
        <f>SUM(Tabla22[[#This Row],[Bonus1]:[p2]])</f>
        <v>76824.0144</v>
      </c>
      <c r="P18" s="71">
        <f>IF(Tabla22[[#This Row],[QualityBonus]]&gt;0,Tabla22[[#This Row],[No wages]]-$C$4,"")</f>
        <v>28961.730161557774</v>
      </c>
      <c r="R18" s="45" t="s">
        <v>27</v>
      </c>
      <c r="S18" s="67">
        <v>839000</v>
      </c>
      <c r="T18" s="67">
        <v>6</v>
      </c>
      <c r="U18" s="45" t="s">
        <v>85</v>
      </c>
      <c r="V18" s="45" t="s">
        <v>92</v>
      </c>
    </row>
    <row r="19" spans="1:24" x14ac:dyDescent="0.25">
      <c r="A19" s="13">
        <v>3</v>
      </c>
      <c r="B19" s="13" t="s">
        <v>13</v>
      </c>
      <c r="C19" s="36">
        <v>2.7300000000000001E-2</v>
      </c>
      <c r="D19" s="2" t="s">
        <v>55</v>
      </c>
      <c r="E19" s="71">
        <v>85355</v>
      </c>
      <c r="F19" s="4">
        <v>1</v>
      </c>
      <c r="G19" s="2" t="s">
        <v>54</v>
      </c>
      <c r="H19" s="71">
        <v>61900</v>
      </c>
      <c r="I19" s="4">
        <v>4</v>
      </c>
      <c r="J19" s="74">
        <f>Tabla22[[#This Row],[Base price1]]*Tabla22[[#This Row],[Req.]]+Tabla22[[#This Row],[Base price2]]*Tabla22[[#This Row],[Req.2]]</f>
        <v>332955</v>
      </c>
      <c r="K19" s="71">
        <f>IFERROR(LOOKUP(Tabla22[[#This Row],[Product]],$R$18:$R$23,$T$18:$T$23)*Tabla22[[#This Row],[QualityBonus]]*Tabla22[[#This Row],[Base price1]]*Tabla22[[#This Row],[Req.]],0)</f>
        <v>9320.7659999999996</v>
      </c>
      <c r="L19" s="71">
        <f>IF(Tabla22[[#This Row],[Req.2]]&gt;0,LOOKUP(Tabla22[[#This Row],[Product2]],$R$18:$R$23,$T$18:$T$23)*Tabla22[[#This Row],[Base price2]]*Tabla22[[#This Row],[Req.2]]*Tabla22[[#This Row],[QualityBonus]],0)</f>
        <v>33797.4</v>
      </c>
      <c r="M19" s="74">
        <f>IFERROR((Tabla22[[#This Row],[Base price1]]-LOOKUP(Tabla22[[#This Row],[Product]],$R$18:$R$23,$S$18:$S$23))*Tabla22[[#This Row],[Req.]],0)</f>
        <v>8355</v>
      </c>
      <c r="N19" s="71">
        <f>IF(Tabla22[[#This Row],[Req.2]]&gt;0,(Tabla22[[#This Row],[Base price2]]-LOOKUP(Tabla22[[#This Row],[Product2]],$R$18:$R$23,$S$18:$S$23))*Tabla22[[#This Row],[Req.2]],0)</f>
        <v>21600</v>
      </c>
      <c r="O19" s="74">
        <f>SUM(Tabla22[[#This Row],[Bonus1]:[p2]])</f>
        <v>73073.165999999997</v>
      </c>
      <c r="P19" s="71">
        <f>IF(Tabla22[[#This Row],[QualityBonus]]&gt;0,Tabla22[[#This Row],[No wages]]-$C$4,"")</f>
        <v>25210.881761557772</v>
      </c>
      <c r="R19" s="45" t="s">
        <v>56</v>
      </c>
      <c r="S19" s="67">
        <v>221000</v>
      </c>
      <c r="T19" s="67">
        <v>3</v>
      </c>
      <c r="U19" s="45" t="s">
        <v>88</v>
      </c>
      <c r="V19" s="45" t="s">
        <v>91</v>
      </c>
    </row>
    <row r="20" spans="1:24" x14ac:dyDescent="0.25">
      <c r="A20" s="13">
        <v>4</v>
      </c>
      <c r="B20" s="13" t="s">
        <v>13</v>
      </c>
      <c r="C20" s="36">
        <v>2.92E-2</v>
      </c>
      <c r="D20" s="2" t="s">
        <v>54</v>
      </c>
      <c r="E20" s="71">
        <v>59763</v>
      </c>
      <c r="F20" s="4">
        <v>3</v>
      </c>
      <c r="G20" s="2"/>
      <c r="H20" s="71"/>
      <c r="I20" s="4"/>
      <c r="J20" s="74">
        <f>Tabla22[[#This Row],[Base price1]]*Tabla22[[#This Row],[Req.]]+Tabla22[[#This Row],[Base price2]]*Tabla22[[#This Row],[Req.2]]</f>
        <v>179289</v>
      </c>
      <c r="K20" s="71">
        <f>IFERROR(LOOKUP(Tabla22[[#This Row],[Product]],$R$18:$R$23,$T$18:$T$23)*Tabla22[[#This Row],[QualityBonus]]*Tabla22[[#This Row],[Base price1]]*Tabla22[[#This Row],[Req.]],0)</f>
        <v>26176.193999999996</v>
      </c>
      <c r="L20" s="71">
        <f>IF(Tabla22[[#This Row],[Req.2]]&gt;0,LOOKUP(Tabla22[[#This Row],[Product2]],$R$18:$R$23,$T$18:$T$23)*Tabla22[[#This Row],[Base price2]]*Tabla22[[#This Row],[Req.2]]*Tabla22[[#This Row],[QualityBonus]],0)</f>
        <v>0</v>
      </c>
      <c r="M20" s="74">
        <f>IFERROR((Tabla22[[#This Row],[Base price1]]-LOOKUP(Tabla22[[#This Row],[Product]],$R$18:$R$23,$S$18:$S$23))*Tabla22[[#This Row],[Req.]],0)</f>
        <v>9789</v>
      </c>
      <c r="N20" s="71">
        <f>IF(Tabla22[[#This Row],[Req.2]]&gt;0,(Tabla22[[#This Row],[Base price2]]-LOOKUP(Tabla22[[#This Row],[Product2]],$R$18:$R$23,$S$18:$S$23))*Tabla22[[#This Row],[Req.2]],0)</f>
        <v>0</v>
      </c>
      <c r="O20" s="74">
        <f>SUM(Tabla22[[#This Row],[Bonus1]:[p2]])</f>
        <v>35965.193999999996</v>
      </c>
      <c r="P20" s="71">
        <f>IF(Tabla22[[#This Row],[QualityBonus]]&gt;0,Tabla22[[#This Row],[No wages]]-$C$4,"")</f>
        <v>-11897.09023844223</v>
      </c>
      <c r="R20" s="45" t="s">
        <v>57</v>
      </c>
      <c r="S20" s="67">
        <v>77000</v>
      </c>
      <c r="T20" s="67">
        <v>4</v>
      </c>
      <c r="U20" s="45" t="s">
        <v>88</v>
      </c>
      <c r="V20" s="45" t="s">
        <v>93</v>
      </c>
    </row>
    <row r="21" spans="1:24" x14ac:dyDescent="0.25">
      <c r="A21" s="13">
        <v>5</v>
      </c>
      <c r="B21" s="13" t="s">
        <v>13</v>
      </c>
      <c r="C21" s="36">
        <v>2.23E-2</v>
      </c>
      <c r="D21" s="2" t="s">
        <v>52</v>
      </c>
      <c r="E21" s="71">
        <v>121295</v>
      </c>
      <c r="F21" s="4">
        <v>1</v>
      </c>
      <c r="G21" s="2" t="s">
        <v>54</v>
      </c>
      <c r="H21" s="71">
        <v>61528</v>
      </c>
      <c r="I21" s="4">
        <v>2</v>
      </c>
      <c r="J21" s="74">
        <f>Tabla22[[#This Row],[Base price1]]*Tabla22[[#This Row],[Req.]]+Tabla22[[#This Row],[Base price2]]*Tabla22[[#This Row],[Req.2]]</f>
        <v>244351</v>
      </c>
      <c r="K21" s="71">
        <f>IFERROR(LOOKUP(Tabla22[[#This Row],[Product]],$R$18:$R$23,$T$18:$T$23)*Tabla22[[#This Row],[QualityBonus]]*Tabla22[[#This Row],[Base price1]]*Tabla22[[#This Row],[Req.]],0)</f>
        <v>16229.271000000001</v>
      </c>
      <c r="L21" s="71">
        <f>IF(Tabla22[[#This Row],[Req.2]]&gt;0,LOOKUP(Tabla22[[#This Row],[Product2]],$R$18:$R$23,$T$18:$T$23)*Tabla22[[#This Row],[Base price2]]*Tabla22[[#This Row],[Req.2]]*Tabla22[[#This Row],[QualityBonus]],0)</f>
        <v>13720.744000000001</v>
      </c>
      <c r="M21" s="74">
        <f>IFERROR((Tabla22[[#This Row],[Base price1]]-LOOKUP(Tabla22[[#This Row],[Product]],$R$18:$R$23,$S$18:$S$23))*Tabla22[[#This Row],[Req.]],0)</f>
        <v>5295</v>
      </c>
      <c r="N21" s="71">
        <f>IF(Tabla22[[#This Row],[Req.2]]&gt;0,(Tabla22[[#This Row],[Base price2]]-LOOKUP(Tabla22[[#This Row],[Product2]],$R$18:$R$23,$S$18:$S$23))*Tabla22[[#This Row],[Req.2]],0)</f>
        <v>10056</v>
      </c>
      <c r="O21" s="74">
        <f>SUM(Tabla22[[#This Row],[Bonus1]:[p2]])</f>
        <v>45301.014999999999</v>
      </c>
      <c r="P21" s="71">
        <f>IF(Tabla22[[#This Row],[QualityBonus]]&gt;0,Tabla22[[#This Row],[No wages]]-$C$4,"")</f>
        <v>-2561.2692384422262</v>
      </c>
      <c r="R21" s="45" t="s">
        <v>54</v>
      </c>
      <c r="S21" s="67">
        <v>56500</v>
      </c>
      <c r="T21" s="67">
        <v>5</v>
      </c>
      <c r="U21" s="45" t="s">
        <v>85</v>
      </c>
      <c r="V21" s="45" t="s">
        <v>90</v>
      </c>
    </row>
    <row r="22" spans="1:24" x14ac:dyDescent="0.25">
      <c r="A22" s="24">
        <v>6</v>
      </c>
      <c r="B22" s="24" t="s">
        <v>13</v>
      </c>
      <c r="C22" s="44">
        <v>1.6500000000000001E-2</v>
      </c>
      <c r="D22" s="37" t="s">
        <v>52</v>
      </c>
      <c r="E22" s="72">
        <v>120391</v>
      </c>
      <c r="F22" s="39">
        <v>1</v>
      </c>
      <c r="G22" s="37" t="s">
        <v>53</v>
      </c>
      <c r="H22" s="72">
        <v>41297</v>
      </c>
      <c r="I22" s="39">
        <v>2</v>
      </c>
      <c r="J22" s="75">
        <f>Tabla22[[#This Row],[Base price1]]*Tabla22[[#This Row],[Req.]]+Tabla22[[#This Row],[Base price2]]*Tabla22[[#This Row],[Req.2]]</f>
        <v>202985</v>
      </c>
      <c r="K22" s="72">
        <f>IFERROR(LOOKUP(Tabla22[[#This Row],[Product]],$R$18:$R$23,$T$18:$T$23)*Tabla22[[#This Row],[QualityBonus]]*Tabla22[[#This Row],[Base price1]]*Tabla22[[#This Row],[Req.]],0)</f>
        <v>11918.709000000001</v>
      </c>
      <c r="L22" s="72">
        <f>IF(Tabla22[[#This Row],[Req.2]]&gt;0,LOOKUP(Tabla22[[#This Row],[Product2]],$R$18:$R$23,$T$18:$T$23)*Tabla22[[#This Row],[Base price2]]*Tabla22[[#This Row],[Req.2]]*Tabla22[[#This Row],[QualityBonus]],0)</f>
        <v>5451.2040000000006</v>
      </c>
      <c r="M22" s="75">
        <f>IFERROR((Tabla22[[#This Row],[Base price1]]-LOOKUP(Tabla22[[#This Row],[Product]],$R$18:$R$23,$S$18:$S$23))*Tabla22[[#This Row],[Req.]],0)</f>
        <v>4391</v>
      </c>
      <c r="N22" s="72">
        <f>IF(Tabla22[[#This Row],[Req.2]]&gt;0,(Tabla22[[#This Row],[Base price2]]-LOOKUP(Tabla22[[#This Row],[Product2]],$R$18:$R$23,$S$18:$S$23))*Tabla22[[#This Row],[Req.2]],0)</f>
        <v>14594</v>
      </c>
      <c r="O22" s="75">
        <f>SUM(Tabla22[[#This Row],[Bonus1]:[p2]])</f>
        <v>36354.913</v>
      </c>
      <c r="P22" s="72">
        <f>IF(Tabla22[[#This Row],[QualityBonus]]&gt;0,Tabla22[[#This Row],[No wages]]-$C$4,"")</f>
        <v>-11507.371238442225</v>
      </c>
      <c r="R22" s="45" t="s">
        <v>53</v>
      </c>
      <c r="S22" s="67">
        <v>34000</v>
      </c>
      <c r="T22" s="67">
        <v>4</v>
      </c>
      <c r="U22" s="45" t="s">
        <v>88</v>
      </c>
      <c r="V22" s="45" t="s">
        <v>136</v>
      </c>
    </row>
    <row r="23" spans="1:24" x14ac:dyDescent="0.25">
      <c r="A23" s="13">
        <v>7</v>
      </c>
      <c r="B23" s="13" t="s">
        <v>13</v>
      </c>
      <c r="C23" s="36">
        <v>2.7699999999999999E-2</v>
      </c>
      <c r="D23" s="2" t="s">
        <v>54</v>
      </c>
      <c r="E23" s="71">
        <v>59574</v>
      </c>
      <c r="F23" s="4">
        <v>3</v>
      </c>
      <c r="G23" s="2"/>
      <c r="H23" s="71"/>
      <c r="I23" s="4"/>
      <c r="J23" s="74">
        <f>Tabla22[[#This Row],[Base price1]]*Tabla22[[#This Row],[Req.]]+Tabla22[[#This Row],[Base price2]]*Tabla22[[#This Row],[Req.2]]</f>
        <v>178722</v>
      </c>
      <c r="K23" s="71">
        <f>IFERROR(LOOKUP(Tabla22[[#This Row],[Product]],$R$18:$R$23,$T$18:$T$23)*Tabla22[[#This Row],[QualityBonus]]*Tabla22[[#This Row],[Base price1]]*Tabla22[[#This Row],[Req.]],0)</f>
        <v>24752.996999999999</v>
      </c>
      <c r="L23" s="71">
        <f>IF(Tabla22[[#This Row],[Req.2]]&gt;0,LOOKUP(Tabla22[[#This Row],[Product2]],$R$18:$R$23,$T$18:$T$23)*Tabla22[[#This Row],[Base price2]]*Tabla22[[#This Row],[Req.2]]*Tabla22[[#This Row],[QualityBonus]],0)</f>
        <v>0</v>
      </c>
      <c r="M23" s="74">
        <f>IFERROR((Tabla22[[#This Row],[Base price1]]-LOOKUP(Tabla22[[#This Row],[Product]],$R$18:$R$23,$S$18:$S$23))*Tabla22[[#This Row],[Req.]],0)</f>
        <v>9222</v>
      </c>
      <c r="N23" s="71">
        <f>IF(Tabla22[[#This Row],[Req.2]]&gt;0,(Tabla22[[#This Row],[Base price2]]-LOOKUP(Tabla22[[#This Row],[Product2]],$R$18:$R$23,$S$18:$S$23))*Tabla22[[#This Row],[Req.2]],0)</f>
        <v>0</v>
      </c>
      <c r="O23" s="74">
        <f>SUM(Tabla22[[#This Row],[Bonus1]:[p2]])</f>
        <v>33974.997000000003</v>
      </c>
      <c r="P23" s="71">
        <f>IF(Tabla22[[#This Row],[QualityBonus]]&gt;0,Tabla22[[#This Row],[No wages]]-$C$4,"")</f>
        <v>-13887.287238442223</v>
      </c>
      <c r="R23" s="45" t="s">
        <v>52</v>
      </c>
      <c r="S23" s="67">
        <v>116000</v>
      </c>
      <c r="T23" s="67">
        <v>6</v>
      </c>
      <c r="U23" s="45" t="s">
        <v>85</v>
      </c>
      <c r="V23" s="45" t="s">
        <v>89</v>
      </c>
    </row>
    <row r="24" spans="1:24" x14ac:dyDescent="0.25">
      <c r="A24" s="13">
        <v>8</v>
      </c>
      <c r="B24" s="13" t="s">
        <v>13</v>
      </c>
      <c r="C24" s="36">
        <v>1.9400000000000001E-2</v>
      </c>
      <c r="D24" s="2" t="s">
        <v>53</v>
      </c>
      <c r="E24" s="71">
        <v>42425</v>
      </c>
      <c r="F24" s="4">
        <v>5</v>
      </c>
      <c r="G24" s="2" t="s">
        <v>54</v>
      </c>
      <c r="H24" s="71">
        <v>62774</v>
      </c>
      <c r="I24" s="4">
        <v>4</v>
      </c>
      <c r="J24" s="74">
        <f>Tabla22[[#This Row],[Base price1]]*Tabla22[[#This Row],[Req.]]+Tabla22[[#This Row],[Base price2]]*Tabla22[[#This Row],[Req.2]]</f>
        <v>463221</v>
      </c>
      <c r="K24" s="71">
        <f>IFERROR(LOOKUP(Tabla22[[#This Row],[Product]],$R$18:$R$23,$T$18:$T$23)*Tabla22[[#This Row],[QualityBonus]]*Tabla22[[#This Row],[Base price1]]*Tabla22[[#This Row],[Req.]],0)</f>
        <v>16460.900000000001</v>
      </c>
      <c r="L24" s="71">
        <f>IF(Tabla22[[#This Row],[Req.2]]&gt;0,LOOKUP(Tabla22[[#This Row],[Product2]],$R$18:$R$23,$T$18:$T$23)*Tabla22[[#This Row],[Base price2]]*Tabla22[[#This Row],[Req.2]]*Tabla22[[#This Row],[QualityBonus]],0)</f>
        <v>24356.312000000002</v>
      </c>
      <c r="M24" s="74">
        <f>IFERROR((Tabla22[[#This Row],[Base price1]]-LOOKUP(Tabla22[[#This Row],[Product]],$R$18:$R$23,$S$18:$S$23))*Tabla22[[#This Row],[Req.]],0)</f>
        <v>42125</v>
      </c>
      <c r="N24" s="71">
        <f>IF(Tabla22[[#This Row],[Req.2]]&gt;0,(Tabla22[[#This Row],[Base price2]]-LOOKUP(Tabla22[[#This Row],[Product2]],$R$18:$R$23,$S$18:$S$23))*Tabla22[[#This Row],[Req.2]],0)</f>
        <v>25096</v>
      </c>
      <c r="O24" s="74">
        <f>SUM(Tabla22[[#This Row],[Bonus1]:[p2]])</f>
        <v>108038.212</v>
      </c>
      <c r="P24" s="71">
        <f>IF(Tabla22[[#This Row],[QualityBonus]]&gt;0,Tabla22[[#This Row],[No wages]]-$C$4,"")</f>
        <v>60175.927761557774</v>
      </c>
      <c r="R24" s="45"/>
      <c r="S24" s="45"/>
      <c r="T24" s="45"/>
      <c r="U24" s="45"/>
      <c r="V24" s="45"/>
    </row>
    <row r="25" spans="1:24" x14ac:dyDescent="0.25">
      <c r="A25" s="13">
        <v>9</v>
      </c>
      <c r="B25" s="13" t="s">
        <v>13</v>
      </c>
      <c r="C25" s="36">
        <v>2.9399999999999999E-2</v>
      </c>
      <c r="D25" s="2" t="s">
        <v>54</v>
      </c>
      <c r="E25" s="71">
        <v>62463</v>
      </c>
      <c r="F25" s="4">
        <v>1</v>
      </c>
      <c r="G25" s="2"/>
      <c r="H25" s="71"/>
      <c r="I25" s="4"/>
      <c r="J25" s="74">
        <f>Tabla22[[#This Row],[Base price1]]*Tabla22[[#This Row],[Req.]]+Tabla22[[#This Row],[Base price2]]*Tabla22[[#This Row],[Req.2]]</f>
        <v>62463</v>
      </c>
      <c r="K25" s="71">
        <f>IFERROR(LOOKUP(Tabla22[[#This Row],[Product]],$R$18:$R$23,$T$18:$T$23)*Tabla22[[#This Row],[QualityBonus]]*Tabla22[[#This Row],[Base price1]]*Tabla22[[#This Row],[Req.]],0)</f>
        <v>9182.0609999999997</v>
      </c>
      <c r="L25" s="71">
        <f>IF(Tabla22[[#This Row],[Req.2]]&gt;0,LOOKUP(Tabla22[[#This Row],[Product2]],$R$18:$R$23,$T$18:$T$23)*Tabla22[[#This Row],[Base price2]]*Tabla22[[#This Row],[Req.2]]*Tabla22[[#This Row],[QualityBonus]],0)</f>
        <v>0</v>
      </c>
      <c r="M25" s="74">
        <f>IFERROR((Tabla22[[#This Row],[Base price1]]-LOOKUP(Tabla22[[#This Row],[Product]],$R$18:$R$23,$S$18:$S$23))*Tabla22[[#This Row],[Req.]],0)</f>
        <v>5963</v>
      </c>
      <c r="N25" s="71">
        <f>IF(Tabla22[[#This Row],[Req.2]]&gt;0,(Tabla22[[#This Row],[Base price2]]-LOOKUP(Tabla22[[#This Row],[Product2]],$R$18:$R$23,$S$18:$S$23))*Tabla22[[#This Row],[Req.2]],0)</f>
        <v>0</v>
      </c>
      <c r="O25" s="74">
        <f>SUM(Tabla22[[#This Row],[Bonus1]:[p2]])</f>
        <v>15145.061</v>
      </c>
      <c r="P25" s="71">
        <f>IF(Tabla22[[#This Row],[QualityBonus]]&gt;0,Tabla22[[#This Row],[No wages]]-$C$4,"")</f>
        <v>-32717.223238442224</v>
      </c>
      <c r="R25" s="99"/>
      <c r="S25" s="45"/>
      <c r="T25" s="45"/>
      <c r="U25" s="45"/>
      <c r="V25" s="45"/>
    </row>
    <row r="26" spans="1:24" x14ac:dyDescent="0.25">
      <c r="A26" s="13">
        <v>10</v>
      </c>
      <c r="B26" s="13" t="s">
        <v>13</v>
      </c>
      <c r="C26" s="36">
        <v>1.35E-2</v>
      </c>
      <c r="D26" s="2" t="s">
        <v>54</v>
      </c>
      <c r="E26" s="71">
        <v>63155</v>
      </c>
      <c r="F26" s="4">
        <v>1</v>
      </c>
      <c r="G26" s="2" t="s">
        <v>52</v>
      </c>
      <c r="H26" s="71">
        <v>121803</v>
      </c>
      <c r="I26" s="4">
        <v>2</v>
      </c>
      <c r="J26" s="74">
        <f>Tabla22[[#This Row],[Base price1]]*Tabla22[[#This Row],[Req.]]+Tabla22[[#This Row],[Base price2]]*Tabla22[[#This Row],[Req.2]]</f>
        <v>306761</v>
      </c>
      <c r="K26" s="71">
        <f>IFERROR(LOOKUP(Tabla22[[#This Row],[Product]],$R$18:$R$23,$T$18:$T$23)*Tabla22[[#This Row],[QualityBonus]]*Tabla22[[#This Row],[Base price1]]*Tabla22[[#This Row],[Req.]],0)</f>
        <v>4262.9625000000005</v>
      </c>
      <c r="L26" s="71">
        <f>IF(Tabla22[[#This Row],[Req.2]]&gt;0,LOOKUP(Tabla22[[#This Row],[Product2]],$R$18:$R$23,$T$18:$T$23)*Tabla22[[#This Row],[Base price2]]*Tabla22[[#This Row],[Req.2]]*Tabla22[[#This Row],[QualityBonus]],0)</f>
        <v>19732.085999999999</v>
      </c>
      <c r="M26" s="74">
        <f>IFERROR((Tabla22[[#This Row],[Base price1]]-LOOKUP(Tabla22[[#This Row],[Product]],$R$18:$R$23,$S$18:$S$23))*Tabla22[[#This Row],[Req.]],0)</f>
        <v>6655</v>
      </c>
      <c r="N26" s="71">
        <f>IF(Tabla22[[#This Row],[Req.2]]&gt;0,(Tabla22[[#This Row],[Base price2]]-LOOKUP(Tabla22[[#This Row],[Product2]],$R$18:$R$23,$S$18:$S$23))*Tabla22[[#This Row],[Req.2]],0)</f>
        <v>11606</v>
      </c>
      <c r="O26" s="74">
        <f>SUM(Tabla22[[#This Row],[Bonus1]:[p2]])</f>
        <v>42256.048500000004</v>
      </c>
      <c r="P26" s="71">
        <f>IF(Tabla22[[#This Row],[QualityBonus]]&gt;0,Tabla22[[#This Row],[No wages]]-$C$4,"")</f>
        <v>-5606.2357384422212</v>
      </c>
      <c r="R26" s="112" t="s">
        <v>29</v>
      </c>
      <c r="S26" s="112"/>
      <c r="T26" s="112"/>
      <c r="U26" s="112"/>
      <c r="V26" s="45"/>
    </row>
    <row r="27" spans="1:24" x14ac:dyDescent="0.25">
      <c r="A27" s="13">
        <v>11</v>
      </c>
      <c r="B27" s="13" t="s">
        <v>13</v>
      </c>
      <c r="C27" s="36">
        <v>1.9599999999999999E-2</v>
      </c>
      <c r="D27" s="2" t="s">
        <v>52</v>
      </c>
      <c r="E27" s="71">
        <v>122297</v>
      </c>
      <c r="F27" s="4">
        <v>2</v>
      </c>
      <c r="G27" s="2" t="s">
        <v>54</v>
      </c>
      <c r="H27" s="71">
        <v>62060</v>
      </c>
      <c r="I27" s="4">
        <v>1</v>
      </c>
      <c r="J27" s="74">
        <f>Tabla22[[#This Row],[Base price1]]*Tabla22[[#This Row],[Req.]]+Tabla22[[#This Row],[Base price2]]*Tabla22[[#This Row],[Req.2]]</f>
        <v>306654</v>
      </c>
      <c r="K27" s="71">
        <f>IFERROR(LOOKUP(Tabla22[[#This Row],[Product]],$R$18:$R$23,$T$18:$T$23)*Tabla22[[#This Row],[QualityBonus]]*Tabla22[[#This Row],[Base price1]]*Tabla22[[#This Row],[Req.]],0)</f>
        <v>28764.254399999998</v>
      </c>
      <c r="L27" s="71">
        <f>IF(Tabla22[[#This Row],[Req.2]]&gt;0,LOOKUP(Tabla22[[#This Row],[Product2]],$R$18:$R$23,$T$18:$T$23)*Tabla22[[#This Row],[Base price2]]*Tabla22[[#This Row],[Req.2]]*Tabla22[[#This Row],[QualityBonus]],0)</f>
        <v>6081.88</v>
      </c>
      <c r="M27" s="74">
        <f>IFERROR((Tabla22[[#This Row],[Base price1]]-LOOKUP(Tabla22[[#This Row],[Product]],$R$18:$R$23,$S$18:$S$23))*Tabla22[[#This Row],[Req.]],0)</f>
        <v>12594</v>
      </c>
      <c r="N27" s="71">
        <f>IF(Tabla22[[#This Row],[Req.2]]&gt;0,(Tabla22[[#This Row],[Base price2]]-LOOKUP(Tabla22[[#This Row],[Product2]],$R$18:$R$23,$S$18:$S$23))*Tabla22[[#This Row],[Req.2]],0)</f>
        <v>5560</v>
      </c>
      <c r="O27" s="74">
        <f>SUM(Tabla22[[#This Row],[Bonus1]:[p2]])</f>
        <v>53000.134399999995</v>
      </c>
      <c r="P27" s="71">
        <f>IF(Tabla22[[#This Row],[QualityBonus]]&gt;0,Tabla22[[#This Row],[No wages]]-$C$4,"")</f>
        <v>5137.8501615577698</v>
      </c>
      <c r="S27" t="s">
        <v>138</v>
      </c>
      <c r="T27" t="s">
        <v>139</v>
      </c>
      <c r="U27" t="s">
        <v>140</v>
      </c>
      <c r="V27" s="100"/>
      <c r="W27" s="45"/>
      <c r="X27" s="100"/>
    </row>
    <row r="28" spans="1:24" x14ac:dyDescent="0.25">
      <c r="A28" s="13">
        <v>12</v>
      </c>
      <c r="B28" s="13" t="s">
        <v>13</v>
      </c>
      <c r="C28" s="36">
        <v>2.01E-2</v>
      </c>
      <c r="D28" s="2" t="s">
        <v>53</v>
      </c>
      <c r="E28" s="71">
        <v>42060</v>
      </c>
      <c r="F28" s="4">
        <v>2</v>
      </c>
      <c r="G28" s="2"/>
      <c r="H28" s="71"/>
      <c r="I28" s="4"/>
      <c r="J28" s="74">
        <f>Tabla22[[#This Row],[Base price1]]*Tabla22[[#This Row],[Req.]]+Tabla22[[#This Row],[Base price2]]*Tabla22[[#This Row],[Req.2]]</f>
        <v>84120</v>
      </c>
      <c r="K28" s="71">
        <f>IFERROR(LOOKUP(Tabla22[[#This Row],[Product]],$R$18:$R$23,$T$18:$T$23)*Tabla22[[#This Row],[QualityBonus]]*Tabla22[[#This Row],[Base price1]]*Tabla22[[#This Row],[Req.]],0)</f>
        <v>6763.2479999999996</v>
      </c>
      <c r="L28" s="71">
        <f>IF(Tabla22[[#This Row],[Req.2]]&gt;0,LOOKUP(Tabla22[[#This Row],[Product2]],$R$18:$R$23,$T$18:$T$23)*Tabla22[[#This Row],[Base price2]]*Tabla22[[#This Row],[Req.2]]*Tabla22[[#This Row],[QualityBonus]],0)</f>
        <v>0</v>
      </c>
      <c r="M28" s="74">
        <f>IFERROR((Tabla22[[#This Row],[Base price1]]-LOOKUP(Tabla22[[#This Row],[Product]],$R$18:$R$23,$S$18:$S$23))*Tabla22[[#This Row],[Req.]],0)</f>
        <v>16120</v>
      </c>
      <c r="N28" s="71">
        <f>IF(Tabla22[[#This Row],[Req.2]]&gt;0,(Tabla22[[#This Row],[Base price2]]-LOOKUP(Tabla22[[#This Row],[Product2]],$R$18:$R$23,$S$18:$S$23))*Tabla22[[#This Row],[Req.2]],0)</f>
        <v>0</v>
      </c>
      <c r="O28" s="74">
        <f>SUM(Tabla22[[#This Row],[Bonus1]:[p2]])</f>
        <v>22883.248</v>
      </c>
      <c r="P28" s="71">
        <f>IF(Tabla22[[#This Row],[QualityBonus]]&gt;0,Tabla22[[#This Row],[No wages]]-$C$4,"")</f>
        <v>-24979.036238442226</v>
      </c>
      <c r="R28" s="113" t="s">
        <v>27</v>
      </c>
      <c r="S28" s="114">
        <f>AVERAGEIF(Tabla22[Product],R28,Tabla22[Req.])</f>
        <v>2.1428571428571428</v>
      </c>
      <c r="T28" s="114">
        <f>AVERAGEIF(Tabla22[Product2],R28,Tabla22[Req.2])</f>
        <v>2.5</v>
      </c>
      <c r="U28" s="83">
        <f>AVERAGE(S28,T28)</f>
        <v>2.3214285714285712</v>
      </c>
      <c r="V28" s="100"/>
      <c r="W28" s="45"/>
      <c r="X28" s="100"/>
    </row>
    <row r="29" spans="1:24" x14ac:dyDescent="0.25">
      <c r="A29" s="24">
        <v>13</v>
      </c>
      <c r="B29" s="24" t="s">
        <v>13</v>
      </c>
      <c r="C29" s="44">
        <v>1.23E-2</v>
      </c>
      <c r="D29" s="37" t="s">
        <v>57</v>
      </c>
      <c r="E29" s="72">
        <v>82625</v>
      </c>
      <c r="F29" s="39">
        <v>4</v>
      </c>
      <c r="G29" s="37" t="s">
        <v>54</v>
      </c>
      <c r="H29" s="72">
        <v>60733</v>
      </c>
      <c r="I29" s="39">
        <v>3</v>
      </c>
      <c r="J29" s="75">
        <f>Tabla22[[#This Row],[Base price1]]*Tabla22[[#This Row],[Req.]]+Tabla22[[#This Row],[Base price2]]*Tabla22[[#This Row],[Req.2]]</f>
        <v>512699</v>
      </c>
      <c r="K29" s="72">
        <f>IFERROR(LOOKUP(Tabla22[[#This Row],[Product]],$R$18:$R$23,$T$18:$T$23)*Tabla22[[#This Row],[QualityBonus]]*Tabla22[[#This Row],[Base price1]]*Tabla22[[#This Row],[Req.]],0)</f>
        <v>16260.6</v>
      </c>
      <c r="L29" s="72">
        <f>IF(Tabla22[[#This Row],[Req.2]]&gt;0,LOOKUP(Tabla22[[#This Row],[Product2]],$R$18:$R$23,$T$18:$T$23)*Tabla22[[#This Row],[Base price2]]*Tabla22[[#This Row],[Req.2]]*Tabla22[[#This Row],[QualityBonus]],0)</f>
        <v>11205.238499999999</v>
      </c>
      <c r="M29" s="75">
        <f>IFERROR((Tabla22[[#This Row],[Base price1]]-LOOKUP(Tabla22[[#This Row],[Product]],$R$18:$R$23,$S$18:$S$23))*Tabla22[[#This Row],[Req.]],0)</f>
        <v>22500</v>
      </c>
      <c r="N29" s="72">
        <f>IF(Tabla22[[#This Row],[Req.2]]&gt;0,(Tabla22[[#This Row],[Base price2]]-LOOKUP(Tabla22[[#This Row],[Product2]],$R$18:$R$23,$S$18:$S$23))*Tabla22[[#This Row],[Req.2]],0)</f>
        <v>12699</v>
      </c>
      <c r="O29" s="75">
        <f>SUM(Tabla22[[#This Row],[Bonus1]:[p2]])</f>
        <v>62664.838499999998</v>
      </c>
      <c r="P29" s="72">
        <f>IF(Tabla22[[#This Row],[QualityBonus]]&gt;0,Tabla22[[#This Row],[No wages]]-$C$4,"")</f>
        <v>14802.554261557772</v>
      </c>
      <c r="R29" s="113" t="s">
        <v>56</v>
      </c>
      <c r="S29" s="114">
        <f>AVERAGEIF(Tabla22[Product],R29,Tabla22[Req.])</f>
        <v>2.4074074074074074</v>
      </c>
      <c r="T29" s="114">
        <f>AVERAGEIF(Tabla22[Product2],R29,Tabla22[Req.2])</f>
        <v>2.5294117647058822</v>
      </c>
      <c r="U29" s="83">
        <f t="shared" ref="U29:U33" si="3">AVERAGE(S29,T29)</f>
        <v>2.4684095860566448</v>
      </c>
      <c r="V29" s="100"/>
      <c r="W29" s="45"/>
      <c r="X29" s="100"/>
    </row>
    <row r="30" spans="1:24" x14ac:dyDescent="0.25">
      <c r="A30" s="13">
        <v>14</v>
      </c>
      <c r="B30" s="13" t="s">
        <v>13</v>
      </c>
      <c r="C30" s="36">
        <v>2.4E-2</v>
      </c>
      <c r="D30" s="2" t="s">
        <v>52</v>
      </c>
      <c r="E30" s="71">
        <v>122928</v>
      </c>
      <c r="F30" s="4">
        <v>4</v>
      </c>
      <c r="G30" s="2" t="s">
        <v>57</v>
      </c>
      <c r="H30" s="71">
        <v>84564</v>
      </c>
      <c r="I30" s="4">
        <v>2</v>
      </c>
      <c r="J30" s="74">
        <f>Tabla22[[#This Row],[Base price1]]*Tabla22[[#This Row],[Req.]]+Tabla22[[#This Row],[Base price2]]*Tabla22[[#This Row],[Req.2]]</f>
        <v>660840</v>
      </c>
      <c r="K30" s="71">
        <f>IFERROR(LOOKUP(Tabla22[[#This Row],[Product]],$R$18:$R$23,$T$18:$T$23)*Tabla22[[#This Row],[QualityBonus]]*Tabla22[[#This Row],[Base price1]]*Tabla22[[#This Row],[Req.]],0)</f>
        <v>70806.528000000006</v>
      </c>
      <c r="L30" s="71">
        <f>IF(Tabla22[[#This Row],[Req.2]]&gt;0,LOOKUP(Tabla22[[#This Row],[Product2]],$R$18:$R$23,$T$18:$T$23)*Tabla22[[#This Row],[Base price2]]*Tabla22[[#This Row],[Req.2]]*Tabla22[[#This Row],[QualityBonus]],0)</f>
        <v>16236.288</v>
      </c>
      <c r="M30" s="74">
        <f>IFERROR((Tabla22[[#This Row],[Base price1]]-LOOKUP(Tabla22[[#This Row],[Product]],$R$18:$R$23,$S$18:$S$23))*Tabla22[[#This Row],[Req.]],0)</f>
        <v>27712</v>
      </c>
      <c r="N30" s="71">
        <f>IF(Tabla22[[#This Row],[Req.2]]&gt;0,(Tabla22[[#This Row],[Base price2]]-LOOKUP(Tabla22[[#This Row],[Product2]],$R$18:$R$23,$S$18:$S$23))*Tabla22[[#This Row],[Req.2]],0)</f>
        <v>15128</v>
      </c>
      <c r="O30" s="74">
        <f>SUM(Tabla22[[#This Row],[Bonus1]:[p2]])</f>
        <v>129882.81600000001</v>
      </c>
      <c r="P30" s="71">
        <f>IF(Tabla22[[#This Row],[QualityBonus]]&gt;0,Tabla22[[#This Row],[No wages]]-$C$4,"")</f>
        <v>82020.531761557781</v>
      </c>
      <c r="R30" s="113" t="s">
        <v>57</v>
      </c>
      <c r="S30" s="114">
        <f>AVERAGEIF(Tabla22[Product],R30,Tabla22[Req.])</f>
        <v>2.5555555555555554</v>
      </c>
      <c r="T30" s="114">
        <f>AVERAGEIF(Tabla22[Product2],R30,Tabla22[Req.2])</f>
        <v>2.59375</v>
      </c>
      <c r="U30" s="83">
        <f t="shared" si="3"/>
        <v>2.5746527777777777</v>
      </c>
      <c r="V30" s="100"/>
      <c r="W30" s="45"/>
      <c r="X30" s="100"/>
    </row>
    <row r="31" spans="1:24" x14ac:dyDescent="0.25">
      <c r="A31" s="13">
        <v>15</v>
      </c>
      <c r="B31" s="13" t="s">
        <v>13</v>
      </c>
      <c r="C31" s="36">
        <v>1.3299999999999999E-2</v>
      </c>
      <c r="D31" s="2" t="s">
        <v>53</v>
      </c>
      <c r="E31" s="71">
        <v>41066</v>
      </c>
      <c r="F31" s="4">
        <v>2</v>
      </c>
      <c r="G31" s="2" t="s">
        <v>54</v>
      </c>
      <c r="H31" s="71">
        <v>59787</v>
      </c>
      <c r="I31" s="4">
        <v>1</v>
      </c>
      <c r="J31" s="74">
        <f>Tabla22[[#This Row],[Base price1]]*Tabla22[[#This Row],[Req.]]+Tabla22[[#This Row],[Base price2]]*Tabla22[[#This Row],[Req.2]]</f>
        <v>141919</v>
      </c>
      <c r="K31" s="71">
        <f>IFERROR(LOOKUP(Tabla22[[#This Row],[Product]],$R$18:$R$23,$T$18:$T$23)*Tabla22[[#This Row],[QualityBonus]]*Tabla22[[#This Row],[Base price1]]*Tabla22[[#This Row],[Req.]],0)</f>
        <v>4369.4223999999995</v>
      </c>
      <c r="L31" s="71">
        <f>IF(Tabla22[[#This Row],[Req.2]]&gt;0,LOOKUP(Tabla22[[#This Row],[Product2]],$R$18:$R$23,$T$18:$T$23)*Tabla22[[#This Row],[Base price2]]*Tabla22[[#This Row],[Req.2]]*Tabla22[[#This Row],[QualityBonus]],0)</f>
        <v>3975.8354999999997</v>
      </c>
      <c r="M31" s="74">
        <f>IFERROR((Tabla22[[#This Row],[Base price1]]-LOOKUP(Tabla22[[#This Row],[Product]],$R$18:$R$23,$S$18:$S$23))*Tabla22[[#This Row],[Req.]],0)</f>
        <v>14132</v>
      </c>
      <c r="N31" s="71">
        <f>IF(Tabla22[[#This Row],[Req.2]]&gt;0,(Tabla22[[#This Row],[Base price2]]-LOOKUP(Tabla22[[#This Row],[Product2]],$R$18:$R$23,$S$18:$S$23))*Tabla22[[#This Row],[Req.2]],0)</f>
        <v>3287</v>
      </c>
      <c r="O31" s="74">
        <f>SUM(Tabla22[[#This Row],[Bonus1]:[p2]])</f>
        <v>25764.257899999997</v>
      </c>
      <c r="P31" s="71">
        <f>IF(Tabla22[[#This Row],[QualityBonus]]&gt;0,Tabla22[[#This Row],[No wages]]-$C$4,"")</f>
        <v>-22098.026338442229</v>
      </c>
      <c r="R31" s="113" t="s">
        <v>54</v>
      </c>
      <c r="S31" s="114">
        <f>AVERAGEIF(Tabla22[Product],R31,Tabla22[Req.])</f>
        <v>2.262135922330097</v>
      </c>
      <c r="T31" s="114">
        <f>AVERAGEIF(Tabla22[Product2],R31,Tabla22[Req.2])</f>
        <v>2.4941176470588236</v>
      </c>
      <c r="U31" s="83">
        <f t="shared" si="3"/>
        <v>2.3781267846944605</v>
      </c>
      <c r="V31" s="100"/>
      <c r="W31" s="45"/>
      <c r="X31" s="100"/>
    </row>
    <row r="32" spans="1:24" x14ac:dyDescent="0.25">
      <c r="A32" s="13">
        <v>16</v>
      </c>
      <c r="B32" s="13" t="s">
        <v>13</v>
      </c>
      <c r="C32" s="36">
        <v>1.9099999999999999E-2</v>
      </c>
      <c r="D32" s="2" t="s">
        <v>53</v>
      </c>
      <c r="E32" s="71">
        <v>40811</v>
      </c>
      <c r="F32" s="4">
        <v>5</v>
      </c>
      <c r="G32" s="2" t="s">
        <v>52</v>
      </c>
      <c r="H32" s="71">
        <v>119896</v>
      </c>
      <c r="I32" s="4">
        <v>2</v>
      </c>
      <c r="J32" s="74">
        <f>Tabla22[[#This Row],[Base price1]]*Tabla22[[#This Row],[Req.]]+Tabla22[[#This Row],[Base price2]]*Tabla22[[#This Row],[Req.2]]</f>
        <v>443847</v>
      </c>
      <c r="K32" s="71">
        <f>IFERROR(LOOKUP(Tabla22[[#This Row],[Product]],$R$18:$R$23,$T$18:$T$23)*Tabla22[[#This Row],[QualityBonus]]*Tabla22[[#This Row],[Base price1]]*Tabla22[[#This Row],[Req.]],0)</f>
        <v>15589.802</v>
      </c>
      <c r="L32" s="71">
        <f>IF(Tabla22[[#This Row],[Req.2]]&gt;0,LOOKUP(Tabla22[[#This Row],[Product2]],$R$18:$R$23,$T$18:$T$23)*Tabla22[[#This Row],[Base price2]]*Tabla22[[#This Row],[Req.2]]*Tabla22[[#This Row],[QualityBonus]],0)</f>
        <v>27480.163199999999</v>
      </c>
      <c r="M32" s="74">
        <f>IFERROR((Tabla22[[#This Row],[Base price1]]-LOOKUP(Tabla22[[#This Row],[Product]],$R$18:$R$23,$S$18:$S$23))*Tabla22[[#This Row],[Req.]],0)</f>
        <v>34055</v>
      </c>
      <c r="N32" s="71">
        <f>IF(Tabla22[[#This Row],[Req.2]]&gt;0,(Tabla22[[#This Row],[Base price2]]-LOOKUP(Tabla22[[#This Row],[Product2]],$R$18:$R$23,$S$18:$S$23))*Tabla22[[#This Row],[Req.2]],0)</f>
        <v>7792</v>
      </c>
      <c r="O32" s="74">
        <f>SUM(Tabla22[[#This Row],[Bonus1]:[p2]])</f>
        <v>84916.965200000006</v>
      </c>
      <c r="P32" s="71">
        <f>IF(Tabla22[[#This Row],[QualityBonus]]&gt;0,Tabla22[[#This Row],[No wages]]-$C$4,"")</f>
        <v>37054.68096155778</v>
      </c>
      <c r="R32" s="113" t="s">
        <v>53</v>
      </c>
      <c r="S32" s="114">
        <f>AVERAGEIF(Tabla22[Product],R32,Tabla22[Req.])</f>
        <v>3.5763888888888888</v>
      </c>
      <c r="T32" s="114">
        <f>AVERAGEIF(Tabla22[Product2],R32,Tabla22[Req.2])</f>
        <v>3.5975609756097562</v>
      </c>
      <c r="U32" s="83">
        <f t="shared" si="3"/>
        <v>3.5869749322493227</v>
      </c>
      <c r="V32" s="100"/>
      <c r="W32" s="45"/>
      <c r="X32" s="100"/>
    </row>
    <row r="33" spans="1:23" x14ac:dyDescent="0.25">
      <c r="A33" s="13">
        <v>17</v>
      </c>
      <c r="B33" s="13" t="s">
        <v>13</v>
      </c>
      <c r="C33" s="36">
        <v>2.53E-2</v>
      </c>
      <c r="D33" s="2" t="s">
        <v>52</v>
      </c>
      <c r="E33" s="71">
        <v>122798</v>
      </c>
      <c r="F33" s="4">
        <v>1</v>
      </c>
      <c r="G33" s="2" t="s">
        <v>54</v>
      </c>
      <c r="H33" s="71">
        <v>61610</v>
      </c>
      <c r="I33" s="4">
        <v>1</v>
      </c>
      <c r="J33" s="74">
        <f>Tabla22[[#This Row],[Base price1]]*Tabla22[[#This Row],[Req.]]+Tabla22[[#This Row],[Base price2]]*Tabla22[[#This Row],[Req.2]]</f>
        <v>184408</v>
      </c>
      <c r="K33" s="71">
        <f>IFERROR(LOOKUP(Tabla22[[#This Row],[Product]],$R$18:$R$23,$T$18:$T$23)*Tabla22[[#This Row],[QualityBonus]]*Tabla22[[#This Row],[Base price1]]*Tabla22[[#This Row],[Req.]],0)</f>
        <v>18640.736399999998</v>
      </c>
      <c r="L33" s="71">
        <f>IF(Tabla22[[#This Row],[Req.2]]&gt;0,LOOKUP(Tabla22[[#This Row],[Product2]],$R$18:$R$23,$T$18:$T$23)*Tabla22[[#This Row],[Base price2]]*Tabla22[[#This Row],[Req.2]]*Tabla22[[#This Row],[QualityBonus]],0)</f>
        <v>7793.665</v>
      </c>
      <c r="M33" s="74">
        <f>IFERROR((Tabla22[[#This Row],[Base price1]]-LOOKUP(Tabla22[[#This Row],[Product]],$R$18:$R$23,$S$18:$S$23))*Tabla22[[#This Row],[Req.]],0)</f>
        <v>6798</v>
      </c>
      <c r="N33" s="71">
        <f>IF(Tabla22[[#This Row],[Req.2]]&gt;0,(Tabla22[[#This Row],[Base price2]]-LOOKUP(Tabla22[[#This Row],[Product2]],$R$18:$R$23,$S$18:$S$23))*Tabla22[[#This Row],[Req.2]],0)</f>
        <v>5110</v>
      </c>
      <c r="O33" s="74">
        <f>SUM(Tabla22[[#This Row],[Bonus1]:[p2]])</f>
        <v>38342.401400000002</v>
      </c>
      <c r="P33" s="71">
        <f>IF(Tabla22[[#This Row],[QualityBonus]]&gt;0,Tabla22[[#This Row],[No wages]]-$C$4,"")</f>
        <v>-9519.8828384422231</v>
      </c>
      <c r="R33" s="113" t="s">
        <v>52</v>
      </c>
      <c r="S33" s="114">
        <f>AVERAGEIF(Tabla22[Product],R33,Tabla22[Req.])</f>
        <v>2.4888888888888889</v>
      </c>
      <c r="T33" s="114">
        <f>AVERAGEIF(Tabla22[Product2],R33,Tabla22[Req.2])</f>
        <v>2.5476190476190474</v>
      </c>
      <c r="U33" s="83">
        <f t="shared" si="3"/>
        <v>2.5182539682539682</v>
      </c>
      <c r="V33" s="45"/>
      <c r="W33" s="45"/>
    </row>
    <row r="34" spans="1:23" x14ac:dyDescent="0.25">
      <c r="A34" s="13">
        <v>18</v>
      </c>
      <c r="B34" s="13" t="s">
        <v>13</v>
      </c>
      <c r="C34" s="36">
        <v>1.4800000000000001E-2</v>
      </c>
      <c r="D34" s="2" t="s">
        <v>55</v>
      </c>
      <c r="E34" s="71">
        <v>86511</v>
      </c>
      <c r="F34" s="4">
        <v>2</v>
      </c>
      <c r="G34" s="2" t="s">
        <v>52</v>
      </c>
      <c r="H34" s="71">
        <v>117824</v>
      </c>
      <c r="I34" s="4">
        <v>3</v>
      </c>
      <c r="J34" s="74">
        <f>Tabla22[[#This Row],[Base price1]]*Tabla22[[#This Row],[Req.]]+Tabla22[[#This Row],[Base price2]]*Tabla22[[#This Row],[Req.2]]</f>
        <v>526494</v>
      </c>
      <c r="K34" s="71">
        <f>IFERROR(LOOKUP(Tabla22[[#This Row],[Product]],$R$18:$R$23,$T$18:$T$23)*Tabla22[[#This Row],[QualityBonus]]*Tabla22[[#This Row],[Base price1]]*Tabla22[[#This Row],[Req.]],0)</f>
        <v>10242.902400000001</v>
      </c>
      <c r="L34" s="71">
        <f>IF(Tabla22[[#This Row],[Req.2]]&gt;0,LOOKUP(Tabla22[[#This Row],[Product2]],$R$18:$R$23,$T$18:$T$23)*Tabla22[[#This Row],[Base price2]]*Tabla22[[#This Row],[Req.2]]*Tabla22[[#This Row],[QualityBonus]],0)</f>
        <v>31388.313600000001</v>
      </c>
      <c r="M34" s="74">
        <f>IFERROR((Tabla22[[#This Row],[Base price1]]-LOOKUP(Tabla22[[#This Row],[Product]],$R$18:$R$23,$S$18:$S$23))*Tabla22[[#This Row],[Req.]],0)</f>
        <v>19022</v>
      </c>
      <c r="N34" s="71">
        <f>IF(Tabla22[[#This Row],[Req.2]]&gt;0,(Tabla22[[#This Row],[Base price2]]-LOOKUP(Tabla22[[#This Row],[Product2]],$R$18:$R$23,$S$18:$S$23))*Tabla22[[#This Row],[Req.2]],0)</f>
        <v>5472</v>
      </c>
      <c r="O34" s="74">
        <f>SUM(Tabla22[[#This Row],[Bonus1]:[p2]])</f>
        <v>66125.216</v>
      </c>
      <c r="P34" s="71">
        <f>IF(Tabla22[[#This Row],[QualityBonus]]&gt;0,Tabla22[[#This Row],[No wages]]-$C$4,"")</f>
        <v>18262.931761557775</v>
      </c>
      <c r="S34" s="45"/>
      <c r="T34" s="45"/>
      <c r="V34" s="45"/>
    </row>
    <row r="35" spans="1:23" x14ac:dyDescent="0.25">
      <c r="A35" s="13">
        <v>19</v>
      </c>
      <c r="B35" s="13" t="s">
        <v>13</v>
      </c>
      <c r="C35" s="36">
        <v>2.3300000000000001E-2</v>
      </c>
      <c r="D35" s="2" t="s">
        <v>53</v>
      </c>
      <c r="E35" s="71">
        <v>41738</v>
      </c>
      <c r="F35" s="4">
        <v>4</v>
      </c>
      <c r="G35" s="2" t="s">
        <v>52</v>
      </c>
      <c r="H35" s="71">
        <v>119747</v>
      </c>
      <c r="I35" s="4">
        <v>1</v>
      </c>
      <c r="J35" s="74">
        <f>Tabla22[[#This Row],[Base price1]]*Tabla22[[#This Row],[Req.]]+Tabla22[[#This Row],[Base price2]]*Tabla22[[#This Row],[Req.2]]</f>
        <v>286699</v>
      </c>
      <c r="K35" s="71">
        <f>IFERROR(LOOKUP(Tabla22[[#This Row],[Product]],$R$18:$R$23,$T$18:$T$23)*Tabla22[[#This Row],[QualityBonus]]*Tabla22[[#This Row],[Base price1]]*Tabla22[[#This Row],[Req.]],0)</f>
        <v>15559.9264</v>
      </c>
      <c r="L35" s="71">
        <f>IF(Tabla22[[#This Row],[Req.2]]&gt;0,LOOKUP(Tabla22[[#This Row],[Product2]],$R$18:$R$23,$T$18:$T$23)*Tabla22[[#This Row],[Base price2]]*Tabla22[[#This Row],[Req.2]]*Tabla22[[#This Row],[QualityBonus]],0)</f>
        <v>16740.6306</v>
      </c>
      <c r="M35" s="74">
        <f>IFERROR((Tabla22[[#This Row],[Base price1]]-LOOKUP(Tabla22[[#This Row],[Product]],$R$18:$R$23,$S$18:$S$23))*Tabla22[[#This Row],[Req.]],0)</f>
        <v>30952</v>
      </c>
      <c r="N35" s="71">
        <f>IF(Tabla22[[#This Row],[Req.2]]&gt;0,(Tabla22[[#This Row],[Base price2]]-LOOKUP(Tabla22[[#This Row],[Product2]],$R$18:$R$23,$S$18:$S$23))*Tabla22[[#This Row],[Req.2]],0)</f>
        <v>3747</v>
      </c>
      <c r="O35" s="74">
        <f>SUM(Tabla22[[#This Row],[Bonus1]:[p2]])</f>
        <v>66999.557000000001</v>
      </c>
      <c r="P35" s="71">
        <f>IF(Tabla22[[#This Row],[QualityBonus]]&gt;0,Tabla22[[#This Row],[No wages]]-$C$4,"")</f>
        <v>19137.272761557775</v>
      </c>
      <c r="R35" s="111" t="s">
        <v>142</v>
      </c>
      <c r="S35" s="111"/>
      <c r="T35" s="111"/>
      <c r="U35" s="111"/>
      <c r="V35" s="45"/>
    </row>
    <row r="36" spans="1:23" x14ac:dyDescent="0.25">
      <c r="A36" s="13">
        <v>20</v>
      </c>
      <c r="B36" s="13" t="s">
        <v>13</v>
      </c>
      <c r="C36" s="36">
        <v>2.07E-2</v>
      </c>
      <c r="D36" s="2" t="s">
        <v>53</v>
      </c>
      <c r="E36" s="71">
        <v>41925</v>
      </c>
      <c r="F36" s="4">
        <v>5</v>
      </c>
      <c r="G36" s="2" t="s">
        <v>54</v>
      </c>
      <c r="H36" s="71">
        <v>60640</v>
      </c>
      <c r="I36" s="4">
        <v>2</v>
      </c>
      <c r="J36" s="74">
        <f>Tabla22[[#This Row],[Base price1]]*Tabla22[[#This Row],[Req.]]+Tabla22[[#This Row],[Base price2]]*Tabla22[[#This Row],[Req.2]]</f>
        <v>330905</v>
      </c>
      <c r="K36" s="71">
        <f>IFERROR(LOOKUP(Tabla22[[#This Row],[Product]],$R$18:$R$23,$T$18:$T$23)*Tabla22[[#This Row],[QualityBonus]]*Tabla22[[#This Row],[Base price1]]*Tabla22[[#This Row],[Req.]],0)</f>
        <v>17356.95</v>
      </c>
      <c r="L36" s="71">
        <f>IF(Tabla22[[#This Row],[Req.2]]&gt;0,LOOKUP(Tabla22[[#This Row],[Product2]],$R$18:$R$23,$T$18:$T$23)*Tabla22[[#This Row],[Base price2]]*Tabla22[[#This Row],[Req.2]]*Tabla22[[#This Row],[QualityBonus]],0)</f>
        <v>12552.48</v>
      </c>
      <c r="M36" s="74">
        <f>IFERROR((Tabla22[[#This Row],[Base price1]]-LOOKUP(Tabla22[[#This Row],[Product]],$R$18:$R$23,$S$18:$S$23))*Tabla22[[#This Row],[Req.]],0)</f>
        <v>39625</v>
      </c>
      <c r="N36" s="71">
        <f>IF(Tabla22[[#This Row],[Req.2]]&gt;0,(Tabla22[[#This Row],[Base price2]]-LOOKUP(Tabla22[[#This Row],[Product2]],$R$18:$R$23,$S$18:$S$23))*Tabla22[[#This Row],[Req.2]],0)</f>
        <v>8280</v>
      </c>
      <c r="O36" s="74">
        <f>SUM(Tabla22[[#This Row],[Bonus1]:[p2]])</f>
        <v>77814.429999999993</v>
      </c>
      <c r="P36" s="71">
        <f>IF(Tabla22[[#This Row],[QualityBonus]]&gt;0,Tabla22[[#This Row],[No wages]]-$C$4,"")</f>
        <v>29952.145761557767</v>
      </c>
      <c r="R36" s="13"/>
      <c r="S36" s="13" t="s">
        <v>141</v>
      </c>
      <c r="T36" s="13" t="s">
        <v>139</v>
      </c>
      <c r="U36" t="s">
        <v>144</v>
      </c>
      <c r="V36" s="45" t="s">
        <v>145</v>
      </c>
    </row>
    <row r="37" spans="1:23" x14ac:dyDescent="0.25">
      <c r="A37" s="24">
        <v>21</v>
      </c>
      <c r="B37" s="24" t="s">
        <v>13</v>
      </c>
      <c r="C37" s="44">
        <v>2.7E-2</v>
      </c>
      <c r="D37" s="37" t="s">
        <v>55</v>
      </c>
      <c r="E37" s="72">
        <v>83391</v>
      </c>
      <c r="F37" s="39">
        <v>1</v>
      </c>
      <c r="G37" s="37" t="s">
        <v>54</v>
      </c>
      <c r="H37" s="72">
        <v>63078</v>
      </c>
      <c r="I37" s="39">
        <v>3</v>
      </c>
      <c r="J37" s="75">
        <f>Tabla22[[#This Row],[Base price1]]*Tabla22[[#This Row],[Req.]]+Tabla22[[#This Row],[Base price2]]*Tabla22[[#This Row],[Req.2]]</f>
        <v>272625</v>
      </c>
      <c r="K37" s="72">
        <f>IFERROR(LOOKUP(Tabla22[[#This Row],[Product]],$R$18:$R$23,$T$18:$T$23)*Tabla22[[#This Row],[QualityBonus]]*Tabla22[[#This Row],[Base price1]]*Tabla22[[#This Row],[Req.]],0)</f>
        <v>9006.2279999999992</v>
      </c>
      <c r="L37" s="72">
        <f>IF(Tabla22[[#This Row],[Req.2]]&gt;0,LOOKUP(Tabla22[[#This Row],[Product2]],$R$18:$R$23,$T$18:$T$23)*Tabla22[[#This Row],[Base price2]]*Tabla22[[#This Row],[Req.2]]*Tabla22[[#This Row],[QualityBonus]],0)</f>
        <v>25546.59</v>
      </c>
      <c r="M37" s="75">
        <f>IFERROR((Tabla22[[#This Row],[Base price1]]-LOOKUP(Tabla22[[#This Row],[Product]],$R$18:$R$23,$S$18:$S$23))*Tabla22[[#This Row],[Req.]],0)</f>
        <v>6391</v>
      </c>
      <c r="N37" s="72">
        <f>IF(Tabla22[[#This Row],[Req.2]]&gt;0,(Tabla22[[#This Row],[Base price2]]-LOOKUP(Tabla22[[#This Row],[Product2]],$R$18:$R$23,$S$18:$S$23))*Tabla22[[#This Row],[Req.2]],0)</f>
        <v>19734</v>
      </c>
      <c r="O37" s="75">
        <f>SUM(Tabla22[[#This Row],[Bonus1]:[p2]])</f>
        <v>60677.817999999999</v>
      </c>
      <c r="P37" s="72">
        <f>IF(Tabla22[[#This Row],[QualityBonus]]&gt;0,Tabla22[[#This Row],[No wages]]-$C$4,"")</f>
        <v>12815.533761557774</v>
      </c>
      <c r="R37" s="113" t="s">
        <v>27</v>
      </c>
      <c r="S37" s="113">
        <f>COUNTIF(Tabla22[Product],R37)</f>
        <v>7</v>
      </c>
      <c r="T37" s="13">
        <f>COUNTIF(Tabla22[Product2],R37)</f>
        <v>10</v>
      </c>
      <c r="U37" s="115">
        <f>S37/$S$44</f>
        <v>1.7587939698492462E-2</v>
      </c>
      <c r="V37" s="115">
        <f>T37/$T$44</f>
        <v>2.5125628140703519E-2</v>
      </c>
    </row>
    <row r="38" spans="1:23" x14ac:dyDescent="0.25">
      <c r="A38" s="13">
        <v>22</v>
      </c>
      <c r="B38" s="13" t="s">
        <v>13</v>
      </c>
      <c r="C38" s="36">
        <v>1.2800000000000001E-2</v>
      </c>
      <c r="D38" s="2" t="s">
        <v>54</v>
      </c>
      <c r="E38" s="71">
        <v>62248</v>
      </c>
      <c r="F38" s="4">
        <v>2</v>
      </c>
      <c r="G38" s="2" t="s">
        <v>53</v>
      </c>
      <c r="H38" s="71">
        <v>41091</v>
      </c>
      <c r="I38" s="4">
        <v>4</v>
      </c>
      <c r="J38" s="74">
        <f>Tabla22[[#This Row],[Base price1]]*Tabla22[[#This Row],[Req.]]+Tabla22[[#This Row],[Base price2]]*Tabla22[[#This Row],[Req.2]]</f>
        <v>288860</v>
      </c>
      <c r="K38" s="71">
        <f>IFERROR(LOOKUP(Tabla22[[#This Row],[Product]],$R$18:$R$23,$T$18:$T$23)*Tabla22[[#This Row],[QualityBonus]]*Tabla22[[#This Row],[Base price1]]*Tabla22[[#This Row],[Req.]],0)</f>
        <v>7967.7440000000006</v>
      </c>
      <c r="L38" s="71">
        <f>IF(Tabla22[[#This Row],[Req.2]]&gt;0,LOOKUP(Tabla22[[#This Row],[Product2]],$R$18:$R$23,$T$18:$T$23)*Tabla22[[#This Row],[Base price2]]*Tabla22[[#This Row],[Req.2]]*Tabla22[[#This Row],[QualityBonus]],0)</f>
        <v>8415.4367999999995</v>
      </c>
      <c r="M38" s="74">
        <f>IFERROR((Tabla22[[#This Row],[Base price1]]-LOOKUP(Tabla22[[#This Row],[Product]],$R$18:$R$23,$S$18:$S$23))*Tabla22[[#This Row],[Req.]],0)</f>
        <v>11496</v>
      </c>
      <c r="N38" s="71">
        <f>IF(Tabla22[[#This Row],[Req.2]]&gt;0,(Tabla22[[#This Row],[Base price2]]-LOOKUP(Tabla22[[#This Row],[Product2]],$R$18:$R$23,$S$18:$S$23))*Tabla22[[#This Row],[Req.2]],0)</f>
        <v>28364</v>
      </c>
      <c r="O38" s="74">
        <f>SUM(Tabla22[[#This Row],[Bonus1]:[p2]])</f>
        <v>56243.180800000002</v>
      </c>
      <c r="P38" s="71">
        <f>IF(Tabla22[[#This Row],[QualityBonus]]&gt;0,Tabla22[[#This Row],[No wages]]-$C$4,"")</f>
        <v>8380.8965615577763</v>
      </c>
      <c r="R38" s="113" t="s">
        <v>56</v>
      </c>
      <c r="S38" s="113">
        <f>COUNTIF(Tabla22[Product],R38)</f>
        <v>27</v>
      </c>
      <c r="T38" s="13">
        <f>COUNTIF(Tabla22[Product2],R38)</f>
        <v>17</v>
      </c>
      <c r="U38" s="115">
        <f t="shared" ref="U38:U43" si="4">S38/$S$44</f>
        <v>6.78391959798995E-2</v>
      </c>
      <c r="V38" s="115">
        <f t="shared" ref="V38:V43" si="5">T38/$T$44</f>
        <v>4.2713567839195977E-2</v>
      </c>
    </row>
    <row r="39" spans="1:23" x14ac:dyDescent="0.25">
      <c r="A39" s="13">
        <v>23</v>
      </c>
      <c r="B39" s="13" t="s">
        <v>13</v>
      </c>
      <c r="C39" s="36">
        <v>2.6599999999999999E-2</v>
      </c>
      <c r="D39" s="2" t="s">
        <v>54</v>
      </c>
      <c r="E39" s="71">
        <v>63084</v>
      </c>
      <c r="F39" s="4">
        <v>3</v>
      </c>
      <c r="G39" s="2" t="s">
        <v>53</v>
      </c>
      <c r="H39" s="71">
        <v>40499</v>
      </c>
      <c r="I39" s="4">
        <v>5</v>
      </c>
      <c r="J39" s="74">
        <f>Tabla22[[#This Row],[Base price1]]*Tabla22[[#This Row],[Req.]]+Tabla22[[#This Row],[Base price2]]*Tabla22[[#This Row],[Req.2]]</f>
        <v>391747</v>
      </c>
      <c r="K39" s="71">
        <f>IFERROR(LOOKUP(Tabla22[[#This Row],[Product]],$R$18:$R$23,$T$18:$T$23)*Tabla22[[#This Row],[QualityBonus]]*Tabla22[[#This Row],[Base price1]]*Tabla22[[#This Row],[Req.]],0)</f>
        <v>25170.516000000003</v>
      </c>
      <c r="L39" s="71">
        <f>IF(Tabla22[[#This Row],[Req.2]]&gt;0,LOOKUP(Tabla22[[#This Row],[Product2]],$R$18:$R$23,$T$18:$T$23)*Tabla22[[#This Row],[Base price2]]*Tabla22[[#This Row],[Req.2]]*Tabla22[[#This Row],[QualityBonus]],0)</f>
        <v>21545.467999999997</v>
      </c>
      <c r="M39" s="74">
        <f>IFERROR((Tabla22[[#This Row],[Base price1]]-LOOKUP(Tabla22[[#This Row],[Product]],$R$18:$R$23,$S$18:$S$23))*Tabla22[[#This Row],[Req.]],0)</f>
        <v>19752</v>
      </c>
      <c r="N39" s="71">
        <f>IF(Tabla22[[#This Row],[Req.2]]&gt;0,(Tabla22[[#This Row],[Base price2]]-LOOKUP(Tabla22[[#This Row],[Product2]],$R$18:$R$23,$S$18:$S$23))*Tabla22[[#This Row],[Req.2]],0)</f>
        <v>32495</v>
      </c>
      <c r="O39" s="74">
        <f>SUM(Tabla22[[#This Row],[Bonus1]:[p2]])</f>
        <v>98962.983999999997</v>
      </c>
      <c r="P39" s="71">
        <f>IF(Tabla22[[#This Row],[QualityBonus]]&gt;0,Tabla22[[#This Row],[No wages]]-$C$4,"")</f>
        <v>51100.699761557771</v>
      </c>
      <c r="R39" s="113" t="s">
        <v>57</v>
      </c>
      <c r="S39" s="113">
        <f>COUNTIF(Tabla22[Product],R39)</f>
        <v>72</v>
      </c>
      <c r="T39" s="13">
        <f>COUNTIF(Tabla22[Product2],R39)</f>
        <v>64</v>
      </c>
      <c r="U39" s="115">
        <f t="shared" si="4"/>
        <v>0.18090452261306533</v>
      </c>
      <c r="V39" s="115">
        <f t="shared" si="5"/>
        <v>0.16080402010050251</v>
      </c>
    </row>
    <row r="40" spans="1:23" x14ac:dyDescent="0.25">
      <c r="A40" s="13">
        <v>24</v>
      </c>
      <c r="B40" s="13" t="s">
        <v>13</v>
      </c>
      <c r="C40" s="36">
        <v>2.3300000000000001E-2</v>
      </c>
      <c r="D40" s="2" t="s">
        <v>56</v>
      </c>
      <c r="E40" s="71">
        <v>226246</v>
      </c>
      <c r="F40" s="4">
        <v>2</v>
      </c>
      <c r="G40" s="2" t="s">
        <v>53</v>
      </c>
      <c r="H40" s="71">
        <v>40077</v>
      </c>
      <c r="I40" s="4">
        <v>5</v>
      </c>
      <c r="J40" s="74">
        <f>Tabla22[[#This Row],[Base price1]]*Tabla22[[#This Row],[Req.]]+Tabla22[[#This Row],[Base price2]]*Tabla22[[#This Row],[Req.2]]</f>
        <v>652877</v>
      </c>
      <c r="K40" s="71">
        <f>IFERROR(LOOKUP(Tabla22[[#This Row],[Product]],$R$18:$R$23,$T$18:$T$23)*Tabla22[[#This Row],[QualityBonus]]*Tabla22[[#This Row],[Base price1]]*Tabla22[[#This Row],[Req.]],0)</f>
        <v>31629.1908</v>
      </c>
      <c r="L40" s="71">
        <f>IF(Tabla22[[#This Row],[Req.2]]&gt;0,LOOKUP(Tabla22[[#This Row],[Product2]],$R$18:$R$23,$T$18:$T$23)*Tabla22[[#This Row],[Base price2]]*Tabla22[[#This Row],[Req.2]]*Tabla22[[#This Row],[QualityBonus]],0)</f>
        <v>18675.882000000001</v>
      </c>
      <c r="M40" s="74">
        <f>IFERROR((Tabla22[[#This Row],[Base price1]]-LOOKUP(Tabla22[[#This Row],[Product]],$R$18:$R$23,$S$18:$S$23))*Tabla22[[#This Row],[Req.]],0)</f>
        <v>10492</v>
      </c>
      <c r="N40" s="71">
        <f>IF(Tabla22[[#This Row],[Req.2]]&gt;0,(Tabla22[[#This Row],[Base price2]]-LOOKUP(Tabla22[[#This Row],[Product2]],$R$18:$R$23,$S$18:$S$23))*Tabla22[[#This Row],[Req.2]],0)</f>
        <v>30385</v>
      </c>
      <c r="O40" s="74">
        <f>SUM(Tabla22[[#This Row],[Bonus1]:[p2]])</f>
        <v>91182.072799999994</v>
      </c>
      <c r="P40" s="71">
        <f>IF(Tabla22[[#This Row],[QualityBonus]]&gt;0,Tabla22[[#This Row],[No wages]]-$C$4,"")</f>
        <v>43319.788561557769</v>
      </c>
      <c r="R40" s="113" t="s">
        <v>54</v>
      </c>
      <c r="S40" s="113">
        <f>COUNTIF(Tabla22[Product],R40)</f>
        <v>103</v>
      </c>
      <c r="T40" s="13">
        <f>COUNTIF(Tabla22[Product2],R40)</f>
        <v>85</v>
      </c>
      <c r="U40" s="115">
        <f t="shared" si="4"/>
        <v>0.25879396984924624</v>
      </c>
      <c r="V40" s="115">
        <f t="shared" si="5"/>
        <v>0.21356783919597991</v>
      </c>
    </row>
    <row r="41" spans="1:23" x14ac:dyDescent="0.25">
      <c r="A41" s="13">
        <v>25</v>
      </c>
      <c r="B41" s="13" t="s">
        <v>13</v>
      </c>
      <c r="C41" s="36">
        <v>2.6800000000000001E-2</v>
      </c>
      <c r="D41" s="2" t="s">
        <v>53</v>
      </c>
      <c r="E41" s="71">
        <v>42129</v>
      </c>
      <c r="F41" s="4">
        <v>3</v>
      </c>
      <c r="G41" s="2" t="s">
        <v>57</v>
      </c>
      <c r="H41" s="71">
        <v>84082</v>
      </c>
      <c r="I41" s="4">
        <v>3</v>
      </c>
      <c r="J41" s="74">
        <f>Tabla22[[#This Row],[Base price1]]*Tabla22[[#This Row],[Req.]]+Tabla22[[#This Row],[Base price2]]*Tabla22[[#This Row],[Req.2]]</f>
        <v>378633</v>
      </c>
      <c r="K41" s="71">
        <f>IFERROR(LOOKUP(Tabla22[[#This Row],[Product]],$R$18:$R$23,$T$18:$T$23)*Tabla22[[#This Row],[QualityBonus]]*Tabla22[[#This Row],[Base price1]]*Tabla22[[#This Row],[Req.]],0)</f>
        <v>13548.686399999999</v>
      </c>
      <c r="L41" s="71">
        <f>IF(Tabla22[[#This Row],[Req.2]]&gt;0,LOOKUP(Tabla22[[#This Row],[Product2]],$R$18:$R$23,$T$18:$T$23)*Tabla22[[#This Row],[Base price2]]*Tabla22[[#This Row],[Req.2]]*Tabla22[[#This Row],[QualityBonus]],0)</f>
        <v>27040.771199999999</v>
      </c>
      <c r="M41" s="74">
        <f>IFERROR((Tabla22[[#This Row],[Base price1]]-LOOKUP(Tabla22[[#This Row],[Product]],$R$18:$R$23,$S$18:$S$23))*Tabla22[[#This Row],[Req.]],0)</f>
        <v>24387</v>
      </c>
      <c r="N41" s="71">
        <f>IF(Tabla22[[#This Row],[Req.2]]&gt;0,(Tabla22[[#This Row],[Base price2]]-LOOKUP(Tabla22[[#This Row],[Product2]],$R$18:$R$23,$S$18:$S$23))*Tabla22[[#This Row],[Req.2]],0)</f>
        <v>21246</v>
      </c>
      <c r="O41" s="74">
        <f>SUM(Tabla22[[#This Row],[Bonus1]:[p2]])</f>
        <v>86222.457599999994</v>
      </c>
      <c r="P41" s="71">
        <f>IF(Tabla22[[#This Row],[QualityBonus]]&gt;0,Tabla22[[#This Row],[No wages]]-$C$4,"")</f>
        <v>38360.173361557769</v>
      </c>
      <c r="R41" s="113" t="s">
        <v>53</v>
      </c>
      <c r="S41" s="113">
        <f>COUNTIF(Tabla22[Product],R41)</f>
        <v>144</v>
      </c>
      <c r="T41" s="13">
        <f>COUNTIF(Tabla22[Product2],R41)</f>
        <v>82</v>
      </c>
      <c r="U41" s="115">
        <f t="shared" si="4"/>
        <v>0.36180904522613067</v>
      </c>
      <c r="V41" s="115">
        <f t="shared" si="5"/>
        <v>0.20603015075376885</v>
      </c>
    </row>
    <row r="42" spans="1:23" x14ac:dyDescent="0.25">
      <c r="A42" s="13">
        <v>26</v>
      </c>
      <c r="B42" s="13" t="s">
        <v>13</v>
      </c>
      <c r="C42" s="36">
        <v>2.81E-2</v>
      </c>
      <c r="D42" s="2" t="s">
        <v>53</v>
      </c>
      <c r="E42" s="71">
        <v>41691</v>
      </c>
      <c r="F42" s="4">
        <v>5</v>
      </c>
      <c r="G42" s="2" t="s">
        <v>54</v>
      </c>
      <c r="H42" s="71">
        <v>59925</v>
      </c>
      <c r="I42" s="4">
        <v>3</v>
      </c>
      <c r="J42" s="74">
        <f>Tabla22[[#This Row],[Base price1]]*Tabla22[[#This Row],[Req.]]+Tabla22[[#This Row],[Base price2]]*Tabla22[[#This Row],[Req.2]]</f>
        <v>388230</v>
      </c>
      <c r="K42" s="71">
        <f>IFERROR(LOOKUP(Tabla22[[#This Row],[Product]],$R$18:$R$23,$T$18:$T$23)*Tabla22[[#This Row],[QualityBonus]]*Tabla22[[#This Row],[Base price1]]*Tabla22[[#This Row],[Req.]],0)</f>
        <v>23430.342000000001</v>
      </c>
      <c r="L42" s="71">
        <f>IF(Tabla22[[#This Row],[Req.2]]&gt;0,LOOKUP(Tabla22[[#This Row],[Product2]],$R$18:$R$23,$T$18:$T$23)*Tabla22[[#This Row],[Base price2]]*Tabla22[[#This Row],[Req.2]]*Tabla22[[#This Row],[QualityBonus]],0)</f>
        <v>25258.387500000001</v>
      </c>
      <c r="M42" s="74">
        <f>IFERROR((Tabla22[[#This Row],[Base price1]]-LOOKUP(Tabla22[[#This Row],[Product]],$R$18:$R$23,$S$18:$S$23))*Tabla22[[#This Row],[Req.]],0)</f>
        <v>38455</v>
      </c>
      <c r="N42" s="71">
        <f>IF(Tabla22[[#This Row],[Req.2]]&gt;0,(Tabla22[[#This Row],[Base price2]]-LOOKUP(Tabla22[[#This Row],[Product2]],$R$18:$R$23,$S$18:$S$23))*Tabla22[[#This Row],[Req.2]],0)</f>
        <v>10275</v>
      </c>
      <c r="O42" s="74">
        <f>SUM(Tabla22[[#This Row],[Bonus1]:[p2]])</f>
        <v>97418.729500000001</v>
      </c>
      <c r="P42" s="71">
        <f>IF(Tabla22[[#This Row],[QualityBonus]]&gt;0,Tabla22[[#This Row],[No wages]]-$C$4,"")</f>
        <v>49556.445261557776</v>
      </c>
      <c r="R42" s="113" t="s">
        <v>52</v>
      </c>
      <c r="S42" s="113">
        <f>COUNTIF(Tabla22[Product],R42)</f>
        <v>45</v>
      </c>
      <c r="T42" s="13">
        <f>COUNTIF(Tabla22[Product2],R42)</f>
        <v>42</v>
      </c>
      <c r="U42" s="115">
        <f t="shared" si="4"/>
        <v>0.11306532663316583</v>
      </c>
      <c r="V42" s="115">
        <f t="shared" si="5"/>
        <v>0.10552763819095477</v>
      </c>
    </row>
    <row r="43" spans="1:23" x14ac:dyDescent="0.25">
      <c r="A43" s="13">
        <v>27</v>
      </c>
      <c r="B43" s="13" t="s">
        <v>13</v>
      </c>
      <c r="C43" s="36">
        <v>2.53E-2</v>
      </c>
      <c r="D43" s="2" t="s">
        <v>53</v>
      </c>
      <c r="E43" s="71">
        <v>42580</v>
      </c>
      <c r="F43" s="4">
        <v>4</v>
      </c>
      <c r="G43" s="2"/>
      <c r="H43" s="71"/>
      <c r="I43" s="4"/>
      <c r="J43" s="74">
        <f>Tabla22[[#This Row],[Base price1]]*Tabla22[[#This Row],[Req.]]+Tabla22[[#This Row],[Base price2]]*Tabla22[[#This Row],[Req.2]]</f>
        <v>170320</v>
      </c>
      <c r="K43" s="71">
        <f>IFERROR(LOOKUP(Tabla22[[#This Row],[Product]],$R$18:$R$23,$T$18:$T$23)*Tabla22[[#This Row],[QualityBonus]]*Tabla22[[#This Row],[Base price1]]*Tabla22[[#This Row],[Req.]],0)</f>
        <v>17236.383999999998</v>
      </c>
      <c r="L43" s="71">
        <f>IF(Tabla22[[#This Row],[Req.2]]&gt;0,LOOKUP(Tabla22[[#This Row],[Product2]],$R$18:$R$23,$T$18:$T$23)*Tabla22[[#This Row],[Base price2]]*Tabla22[[#This Row],[Req.2]]*Tabla22[[#This Row],[QualityBonus]],0)</f>
        <v>0</v>
      </c>
      <c r="M43" s="74">
        <f>IFERROR((Tabla22[[#This Row],[Base price1]]-LOOKUP(Tabla22[[#This Row],[Product]],$R$18:$R$23,$S$18:$S$23))*Tabla22[[#This Row],[Req.]],0)</f>
        <v>34320</v>
      </c>
      <c r="N43" s="71">
        <f>IF(Tabla22[[#This Row],[Req.2]]&gt;0,(Tabla22[[#This Row],[Base price2]]-LOOKUP(Tabla22[[#This Row],[Product2]],$R$18:$R$23,$S$18:$S$23))*Tabla22[[#This Row],[Req.2]],0)</f>
        <v>0</v>
      </c>
      <c r="O43" s="74">
        <f>SUM(Tabla22[[#This Row],[Bonus1]:[p2]])</f>
        <v>51556.383999999998</v>
      </c>
      <c r="P43" s="71">
        <f>IF(Tabla22[[#This Row],[QualityBonus]]&gt;0,Tabla22[[#This Row],[No wages]]-$C$4,"")</f>
        <v>3694.0997615577726</v>
      </c>
      <c r="R43" s="116" t="s">
        <v>143</v>
      </c>
      <c r="S43" s="113">
        <v>0</v>
      </c>
      <c r="T43" s="13">
        <f>S44-SUM(T37:T42)</f>
        <v>98</v>
      </c>
      <c r="U43" s="115">
        <f t="shared" si="4"/>
        <v>0</v>
      </c>
      <c r="V43" s="115">
        <f t="shared" si="5"/>
        <v>0.24623115577889448</v>
      </c>
    </row>
    <row r="44" spans="1:23" x14ac:dyDescent="0.25">
      <c r="A44" s="13">
        <v>28</v>
      </c>
      <c r="B44" s="13" t="s">
        <v>13</v>
      </c>
      <c r="C44" s="36">
        <v>1.17E-2</v>
      </c>
      <c r="D44" s="2" t="s">
        <v>53</v>
      </c>
      <c r="E44" s="71">
        <v>41608</v>
      </c>
      <c r="F44" s="4">
        <v>5</v>
      </c>
      <c r="G44" s="2" t="s">
        <v>54</v>
      </c>
      <c r="H44" s="71">
        <v>62343</v>
      </c>
      <c r="I44" s="4">
        <v>4</v>
      </c>
      <c r="J44" s="74">
        <f>Tabla22[[#This Row],[Base price1]]*Tabla22[[#This Row],[Req.]]+Tabla22[[#This Row],[Base price2]]*Tabla22[[#This Row],[Req.2]]</f>
        <v>457412</v>
      </c>
      <c r="K44" s="71">
        <f>IFERROR(LOOKUP(Tabla22[[#This Row],[Product]],$R$18:$R$23,$T$18:$T$23)*Tabla22[[#This Row],[QualityBonus]]*Tabla22[[#This Row],[Base price1]]*Tabla22[[#This Row],[Req.]],0)</f>
        <v>9736.2720000000008</v>
      </c>
      <c r="L44" s="71">
        <f>IF(Tabla22[[#This Row],[Req.2]]&gt;0,LOOKUP(Tabla22[[#This Row],[Product2]],$R$18:$R$23,$T$18:$T$23)*Tabla22[[#This Row],[Base price2]]*Tabla22[[#This Row],[Req.2]]*Tabla22[[#This Row],[QualityBonus]],0)</f>
        <v>14588.262000000001</v>
      </c>
      <c r="M44" s="74">
        <f>IFERROR((Tabla22[[#This Row],[Base price1]]-LOOKUP(Tabla22[[#This Row],[Product]],$R$18:$R$23,$S$18:$S$23))*Tabla22[[#This Row],[Req.]],0)</f>
        <v>38040</v>
      </c>
      <c r="N44" s="71">
        <f>IF(Tabla22[[#This Row],[Req.2]]&gt;0,(Tabla22[[#This Row],[Base price2]]-LOOKUP(Tabla22[[#This Row],[Product2]],$R$18:$R$23,$S$18:$S$23))*Tabla22[[#This Row],[Req.2]],0)</f>
        <v>23372</v>
      </c>
      <c r="O44" s="74">
        <f>SUM(Tabla22[[#This Row],[Bonus1]:[p2]])</f>
        <v>85736.534</v>
      </c>
      <c r="P44" s="71">
        <f>IF(Tabla22[[#This Row],[QualityBonus]]&gt;0,Tabla22[[#This Row],[No wages]]-$C$4,"")</f>
        <v>37874.249761557774</v>
      </c>
      <c r="R44" s="13"/>
      <c r="S44" s="113">
        <f>SUM(S37:S42)</f>
        <v>398</v>
      </c>
      <c r="T44" s="113">
        <f>SUM(T37:T43)</f>
        <v>398</v>
      </c>
      <c r="U44" s="117">
        <f>SUM(U37:U43)</f>
        <v>1</v>
      </c>
      <c r="V44" s="117">
        <f>SUM(V37:V43)</f>
        <v>1</v>
      </c>
    </row>
    <row r="45" spans="1:23" x14ac:dyDescent="0.25">
      <c r="A45" s="13">
        <v>29</v>
      </c>
      <c r="B45" s="13" t="s">
        <v>13</v>
      </c>
      <c r="C45" s="36">
        <v>2.5999999999999999E-2</v>
      </c>
      <c r="D45" s="2" t="s">
        <v>53</v>
      </c>
      <c r="E45" s="71">
        <v>42445</v>
      </c>
      <c r="F45" s="4">
        <v>5</v>
      </c>
      <c r="G45" s="2"/>
      <c r="H45" s="71"/>
      <c r="I45" s="4"/>
      <c r="J45" s="74">
        <f>Tabla22[[#This Row],[Base price1]]*Tabla22[[#This Row],[Req.]]+Tabla22[[#This Row],[Base price2]]*Tabla22[[#This Row],[Req.2]]</f>
        <v>212225</v>
      </c>
      <c r="K45" s="71">
        <f>IFERROR(LOOKUP(Tabla22[[#This Row],[Product]],$R$18:$R$23,$T$18:$T$23)*Tabla22[[#This Row],[QualityBonus]]*Tabla22[[#This Row],[Base price1]]*Tabla22[[#This Row],[Req.]],0)</f>
        <v>22071.399999999998</v>
      </c>
      <c r="L45" s="71">
        <f>IF(Tabla22[[#This Row],[Req.2]]&gt;0,LOOKUP(Tabla22[[#This Row],[Product2]],$R$18:$R$23,$T$18:$T$23)*Tabla22[[#This Row],[Base price2]]*Tabla22[[#This Row],[Req.2]]*Tabla22[[#This Row],[QualityBonus]],0)</f>
        <v>0</v>
      </c>
      <c r="M45" s="74">
        <f>IFERROR((Tabla22[[#This Row],[Base price1]]-LOOKUP(Tabla22[[#This Row],[Product]],$R$18:$R$23,$S$18:$S$23))*Tabla22[[#This Row],[Req.]],0)</f>
        <v>42225</v>
      </c>
      <c r="N45" s="71">
        <f>IF(Tabla22[[#This Row],[Req.2]]&gt;0,(Tabla22[[#This Row],[Base price2]]-LOOKUP(Tabla22[[#This Row],[Product2]],$R$18:$R$23,$S$18:$S$23))*Tabla22[[#This Row],[Req.2]],0)</f>
        <v>0</v>
      </c>
      <c r="O45" s="74">
        <f>SUM(Tabla22[[#This Row],[Bonus1]:[p2]])</f>
        <v>64296.399999999994</v>
      </c>
      <c r="P45" s="71">
        <f>IF(Tabla22[[#This Row],[QualityBonus]]&gt;0,Tabla22[[#This Row],[No wages]]-$C$4,"")</f>
        <v>16434.115761557769</v>
      </c>
      <c r="R45" s="116"/>
      <c r="S45" s="13"/>
      <c r="T45" s="13"/>
    </row>
    <row r="46" spans="1:23" x14ac:dyDescent="0.25">
      <c r="A46" s="13">
        <v>30</v>
      </c>
      <c r="B46" s="13" t="s">
        <v>13</v>
      </c>
      <c r="C46" s="36">
        <v>2.2599999999999999E-2</v>
      </c>
      <c r="D46" s="2" t="s">
        <v>53</v>
      </c>
      <c r="E46" s="71">
        <v>41129</v>
      </c>
      <c r="F46" s="4">
        <v>2</v>
      </c>
      <c r="G46" s="2" t="s">
        <v>52</v>
      </c>
      <c r="H46" s="71">
        <v>121638</v>
      </c>
      <c r="I46" s="4">
        <v>3</v>
      </c>
      <c r="J46" s="74">
        <f>Tabla22[[#This Row],[Base price1]]*Tabla22[[#This Row],[Req.]]+Tabla22[[#This Row],[Base price2]]*Tabla22[[#This Row],[Req.2]]</f>
        <v>447172</v>
      </c>
      <c r="K46" s="71">
        <f>IFERROR(LOOKUP(Tabla22[[#This Row],[Product]],$R$18:$R$23,$T$18:$T$23)*Tabla22[[#This Row],[QualityBonus]]*Tabla22[[#This Row],[Base price1]]*Tabla22[[#This Row],[Req.]],0)</f>
        <v>7436.1231999999991</v>
      </c>
      <c r="L46" s="71">
        <f>IF(Tabla22[[#This Row],[Req.2]]&gt;0,LOOKUP(Tabla22[[#This Row],[Product2]],$R$18:$R$23,$T$18:$T$23)*Tabla22[[#This Row],[Base price2]]*Tabla22[[#This Row],[Req.2]]*Tabla22[[#This Row],[QualityBonus]],0)</f>
        <v>49482.338399999993</v>
      </c>
      <c r="M46" s="74">
        <f>IFERROR((Tabla22[[#This Row],[Base price1]]-LOOKUP(Tabla22[[#This Row],[Product]],$R$18:$R$23,$S$18:$S$23))*Tabla22[[#This Row],[Req.]],0)</f>
        <v>14258</v>
      </c>
      <c r="N46" s="71">
        <f>IF(Tabla22[[#This Row],[Req.2]]&gt;0,(Tabla22[[#This Row],[Base price2]]-LOOKUP(Tabla22[[#This Row],[Product2]],$R$18:$R$23,$S$18:$S$23))*Tabla22[[#This Row],[Req.2]],0)</f>
        <v>16914</v>
      </c>
      <c r="O46" s="74">
        <f>SUM(Tabla22[[#This Row],[Bonus1]:[p2]])</f>
        <v>88090.461599999995</v>
      </c>
      <c r="P46" s="71">
        <f>IF(Tabla22[[#This Row],[QualityBonus]]&gt;0,Tabla22[[#This Row],[No wages]]-$C$4,"")</f>
        <v>40228.177361557769</v>
      </c>
      <c r="R46" s="13"/>
      <c r="S46" s="13"/>
      <c r="T46" s="13"/>
    </row>
    <row r="47" spans="1:23" x14ac:dyDescent="0.25">
      <c r="A47" s="13">
        <v>31</v>
      </c>
      <c r="B47" s="13" t="s">
        <v>13</v>
      </c>
      <c r="C47" s="36">
        <v>2.9600000000000001E-2</v>
      </c>
      <c r="D47" s="2" t="s">
        <v>54</v>
      </c>
      <c r="E47" s="71">
        <v>60948</v>
      </c>
      <c r="F47" s="4">
        <v>1</v>
      </c>
      <c r="G47" s="2" t="s">
        <v>53</v>
      </c>
      <c r="H47" s="71">
        <v>41020</v>
      </c>
      <c r="I47" s="4">
        <v>3</v>
      </c>
      <c r="J47" s="74">
        <f>Tabla22[[#This Row],[Base price1]]*Tabla22[[#This Row],[Req.]]+Tabla22[[#This Row],[Base price2]]*Tabla22[[#This Row],[Req.2]]</f>
        <v>184008</v>
      </c>
      <c r="K47" s="71">
        <f>IFERROR(LOOKUP(Tabla22[[#This Row],[Product]],$R$18:$R$23,$T$18:$T$23)*Tabla22[[#This Row],[QualityBonus]]*Tabla22[[#This Row],[Base price1]]*Tabla22[[#This Row],[Req.]],0)</f>
        <v>9020.3040000000019</v>
      </c>
      <c r="L47" s="71">
        <f>IF(Tabla22[[#This Row],[Req.2]]&gt;0,LOOKUP(Tabla22[[#This Row],[Product2]],$R$18:$R$23,$T$18:$T$23)*Tabla22[[#This Row],[Base price2]]*Tabla22[[#This Row],[Req.2]]*Tabla22[[#This Row],[QualityBonus]],0)</f>
        <v>14570.304</v>
      </c>
      <c r="M47" s="74">
        <f>IFERROR((Tabla22[[#This Row],[Base price1]]-LOOKUP(Tabla22[[#This Row],[Product]],$R$18:$R$23,$S$18:$S$23))*Tabla22[[#This Row],[Req.]],0)</f>
        <v>4448</v>
      </c>
      <c r="N47" s="71">
        <f>IF(Tabla22[[#This Row],[Req.2]]&gt;0,(Tabla22[[#This Row],[Base price2]]-LOOKUP(Tabla22[[#This Row],[Product2]],$R$18:$R$23,$S$18:$S$23))*Tabla22[[#This Row],[Req.2]],0)</f>
        <v>21060</v>
      </c>
      <c r="O47" s="74">
        <f>SUM(Tabla22[[#This Row],[Bonus1]:[p2]])</f>
        <v>49098.608</v>
      </c>
      <c r="P47" s="71">
        <f>IF(Tabla22[[#This Row],[QualityBonus]]&gt;0,Tabla22[[#This Row],[No wages]]-$C$4,"")</f>
        <v>1236.3237615577746</v>
      </c>
    </row>
    <row r="48" spans="1:23" x14ac:dyDescent="0.25">
      <c r="A48" s="13">
        <v>32</v>
      </c>
      <c r="B48" s="13" t="s">
        <v>13</v>
      </c>
      <c r="C48" s="36">
        <v>1.7600000000000001E-2</v>
      </c>
      <c r="D48" s="2" t="s">
        <v>52</v>
      </c>
      <c r="E48" s="71">
        <v>117745</v>
      </c>
      <c r="F48" s="4">
        <v>3</v>
      </c>
      <c r="G48" s="2" t="s">
        <v>54</v>
      </c>
      <c r="H48" s="71">
        <v>62072</v>
      </c>
      <c r="I48" s="4">
        <v>2</v>
      </c>
      <c r="J48" s="74">
        <f>Tabla22[[#This Row],[Base price1]]*Tabla22[[#This Row],[Req.]]+Tabla22[[#This Row],[Base price2]]*Tabla22[[#This Row],[Req.2]]</f>
        <v>477379</v>
      </c>
      <c r="K48" s="71">
        <f>IFERROR(LOOKUP(Tabla22[[#This Row],[Product]],$R$18:$R$23,$T$18:$T$23)*Tabla22[[#This Row],[QualityBonus]]*Tabla22[[#This Row],[Base price1]]*Tabla22[[#This Row],[Req.]],0)</f>
        <v>37301.615999999995</v>
      </c>
      <c r="L48" s="71">
        <f>IF(Tabla22[[#This Row],[Req.2]]&gt;0,LOOKUP(Tabla22[[#This Row],[Product2]],$R$18:$R$23,$T$18:$T$23)*Tabla22[[#This Row],[Base price2]]*Tabla22[[#This Row],[Req.2]]*Tabla22[[#This Row],[QualityBonus]],0)</f>
        <v>10924.672</v>
      </c>
      <c r="M48" s="74">
        <f>IFERROR((Tabla22[[#This Row],[Base price1]]-LOOKUP(Tabla22[[#This Row],[Product]],$R$18:$R$23,$S$18:$S$23))*Tabla22[[#This Row],[Req.]],0)</f>
        <v>5235</v>
      </c>
      <c r="N48" s="71">
        <f>IF(Tabla22[[#This Row],[Req.2]]&gt;0,(Tabla22[[#This Row],[Base price2]]-LOOKUP(Tabla22[[#This Row],[Product2]],$R$18:$R$23,$S$18:$S$23))*Tabla22[[#This Row],[Req.2]],0)</f>
        <v>11144</v>
      </c>
      <c r="O48" s="74">
        <f>SUM(Tabla22[[#This Row],[Bonus1]:[p2]])</f>
        <v>64605.287999999993</v>
      </c>
      <c r="P48" s="71">
        <f>IF(Tabla22[[#This Row],[QualityBonus]]&gt;0,Tabla22[[#This Row],[No wages]]-$C$4,"")</f>
        <v>16743.003761557768</v>
      </c>
      <c r="T48" t="s">
        <v>30</v>
      </c>
      <c r="V48" s="7">
        <v>49</v>
      </c>
    </row>
    <row r="49" spans="1:22" x14ac:dyDescent="0.25">
      <c r="A49" s="13">
        <v>33</v>
      </c>
      <c r="B49" s="13" t="s">
        <v>13</v>
      </c>
      <c r="C49" s="36">
        <v>1.7000000000000001E-2</v>
      </c>
      <c r="D49" s="2" t="s">
        <v>54</v>
      </c>
      <c r="E49" s="71">
        <v>62999</v>
      </c>
      <c r="F49" s="4">
        <v>1</v>
      </c>
      <c r="G49" s="2"/>
      <c r="H49" s="71"/>
      <c r="I49" s="4"/>
      <c r="J49" s="74">
        <f>Tabla22[[#This Row],[Base price1]]*Tabla22[[#This Row],[Req.]]+Tabla22[[#This Row],[Base price2]]*Tabla22[[#This Row],[Req.2]]</f>
        <v>62999</v>
      </c>
      <c r="K49" s="71">
        <f>IFERROR(LOOKUP(Tabla22[[#This Row],[Product]],$R$18:$R$23,$T$18:$T$23)*Tabla22[[#This Row],[QualityBonus]]*Tabla22[[#This Row],[Base price1]]*Tabla22[[#This Row],[Req.]],0)</f>
        <v>5354.915</v>
      </c>
      <c r="L49" s="71">
        <f>IF(Tabla22[[#This Row],[Req.2]]&gt;0,LOOKUP(Tabla22[[#This Row],[Product2]],$R$18:$R$23,$T$18:$T$23)*Tabla22[[#This Row],[Base price2]]*Tabla22[[#This Row],[Req.2]]*Tabla22[[#This Row],[QualityBonus]],0)</f>
        <v>0</v>
      </c>
      <c r="M49" s="74">
        <f>IFERROR((Tabla22[[#This Row],[Base price1]]-LOOKUP(Tabla22[[#This Row],[Product]],$R$18:$R$23,$S$18:$S$23))*Tabla22[[#This Row],[Req.]],0)</f>
        <v>6499</v>
      </c>
      <c r="N49" s="71">
        <f>IF(Tabla22[[#This Row],[Req.2]]&gt;0,(Tabla22[[#This Row],[Base price2]]-LOOKUP(Tabla22[[#This Row],[Product2]],$R$18:$R$23,$S$18:$S$23))*Tabla22[[#This Row],[Req.2]],0)</f>
        <v>0</v>
      </c>
      <c r="O49" s="74">
        <f>SUM(Tabla22[[#This Row],[Bonus1]:[p2]])</f>
        <v>11853.915000000001</v>
      </c>
      <c r="P49" s="71">
        <f>IF(Tabla22[[#This Row],[QualityBonus]]&gt;0,Tabla22[[#This Row],[No wages]]-$C$4,"")</f>
        <v>-36008.369238442225</v>
      </c>
      <c r="R49" s="116" t="s">
        <v>137</v>
      </c>
      <c r="S49" t="s">
        <v>138</v>
      </c>
      <c r="T49" t="s">
        <v>139</v>
      </c>
      <c r="U49" s="10" t="s">
        <v>146</v>
      </c>
    </row>
    <row r="50" spans="1:22" x14ac:dyDescent="0.25">
      <c r="A50" s="24">
        <v>34</v>
      </c>
      <c r="B50" s="24" t="s">
        <v>13</v>
      </c>
      <c r="C50" s="44">
        <v>2.8199999999999999E-2</v>
      </c>
      <c r="D50" s="37" t="s">
        <v>52</v>
      </c>
      <c r="E50" s="72">
        <v>117232</v>
      </c>
      <c r="F50" s="39">
        <v>1</v>
      </c>
      <c r="G50" s="37"/>
      <c r="H50" s="72"/>
      <c r="I50" s="39"/>
      <c r="J50" s="75">
        <f>Tabla22[[#This Row],[Base price1]]*Tabla22[[#This Row],[Req.]]+Tabla22[[#This Row],[Base price2]]*Tabla22[[#This Row],[Req.2]]</f>
        <v>117232</v>
      </c>
      <c r="K50" s="72">
        <f>IFERROR(LOOKUP(Tabla22[[#This Row],[Product]],$R$18:$R$23,$T$18:$T$23)*Tabla22[[#This Row],[QualityBonus]]*Tabla22[[#This Row],[Base price1]]*Tabla22[[#This Row],[Req.]],0)</f>
        <v>19835.654399999999</v>
      </c>
      <c r="L50" s="72">
        <f>IF(Tabla22[[#This Row],[Req.2]]&gt;0,LOOKUP(Tabla22[[#This Row],[Product2]],$R$18:$R$23,$T$18:$T$23)*Tabla22[[#This Row],[Base price2]]*Tabla22[[#This Row],[Req.2]]*Tabla22[[#This Row],[QualityBonus]],0)</f>
        <v>0</v>
      </c>
      <c r="M50" s="75">
        <f>IFERROR((Tabla22[[#This Row],[Base price1]]-LOOKUP(Tabla22[[#This Row],[Product]],$R$18:$R$23,$S$18:$S$23))*Tabla22[[#This Row],[Req.]],0)</f>
        <v>1232</v>
      </c>
      <c r="N50" s="72">
        <f>IF(Tabla22[[#This Row],[Req.2]]&gt;0,(Tabla22[[#This Row],[Base price2]]-LOOKUP(Tabla22[[#This Row],[Product2]],$R$18:$R$23,$S$18:$S$23))*Tabla22[[#This Row],[Req.2]],0)</f>
        <v>0</v>
      </c>
      <c r="O50" s="75">
        <f>SUM(Tabla22[[#This Row],[Bonus1]:[p2]])</f>
        <v>21067.654399999999</v>
      </c>
      <c r="P50" s="72">
        <f>IF(Tabla22[[#This Row],[QualityBonus]]&gt;0,Tabla22[[#This Row],[No wages]]-$C$4,"")</f>
        <v>-26794.629838442226</v>
      </c>
      <c r="R50" s="113" t="s">
        <v>27</v>
      </c>
      <c r="S50" s="11">
        <f>S28*U37</f>
        <v>3.7688442211055273E-2</v>
      </c>
      <c r="T50" s="11">
        <f>T28*V37</f>
        <v>6.2814070351758802E-2</v>
      </c>
      <c r="U50" s="118">
        <f>SUM(S50:T50)</f>
        <v>0.10050251256281408</v>
      </c>
      <c r="V50" s="119">
        <f>U50*$V$48/2</f>
        <v>2.4623115577889449</v>
      </c>
    </row>
    <row r="51" spans="1:22" x14ac:dyDescent="0.25">
      <c r="A51" s="13">
        <v>35</v>
      </c>
      <c r="B51" s="13" t="s">
        <v>13</v>
      </c>
      <c r="C51" s="36">
        <v>2.6499999999999999E-2</v>
      </c>
      <c r="D51" s="2" t="s">
        <v>55</v>
      </c>
      <c r="E51" s="71">
        <v>82956</v>
      </c>
      <c r="F51" s="4">
        <v>4</v>
      </c>
      <c r="G51" s="2" t="s">
        <v>53</v>
      </c>
      <c r="H51" s="71">
        <v>42566</v>
      </c>
      <c r="I51" s="4">
        <v>5</v>
      </c>
      <c r="J51" s="74">
        <f>Tabla22[[#This Row],[Base price1]]*Tabla22[[#This Row],[Req.]]+Tabla22[[#This Row],[Base price2]]*Tabla22[[#This Row],[Req.2]]</f>
        <v>544654</v>
      </c>
      <c r="K51" s="71">
        <f>IFERROR(LOOKUP(Tabla22[[#This Row],[Product]],$R$18:$R$23,$T$18:$T$23)*Tabla22[[#This Row],[QualityBonus]]*Tabla22[[#This Row],[Base price1]]*Tabla22[[#This Row],[Req.]],0)</f>
        <v>35173.343999999997</v>
      </c>
      <c r="L51" s="71">
        <f>IF(Tabla22[[#This Row],[Req.2]]&gt;0,LOOKUP(Tabla22[[#This Row],[Product2]],$R$18:$R$23,$T$18:$T$23)*Tabla22[[#This Row],[Base price2]]*Tabla22[[#This Row],[Req.2]]*Tabla22[[#This Row],[QualityBonus]],0)</f>
        <v>22559.98</v>
      </c>
      <c r="M51" s="74">
        <f>IFERROR((Tabla22[[#This Row],[Base price1]]-LOOKUP(Tabla22[[#This Row],[Product]],$R$18:$R$23,$S$18:$S$23))*Tabla22[[#This Row],[Req.]],0)</f>
        <v>23824</v>
      </c>
      <c r="N51" s="71">
        <f>IF(Tabla22[[#This Row],[Req.2]]&gt;0,(Tabla22[[#This Row],[Base price2]]-LOOKUP(Tabla22[[#This Row],[Product2]],$R$18:$R$23,$S$18:$S$23))*Tabla22[[#This Row],[Req.2]],0)</f>
        <v>42830</v>
      </c>
      <c r="O51" s="74">
        <f>SUM(Tabla22[[#This Row],[Bonus1]:[p2]])</f>
        <v>124387.32399999999</v>
      </c>
      <c r="P51" s="71">
        <f>IF(Tabla22[[#This Row],[QualityBonus]]&gt;0,Tabla22[[#This Row],[No wages]]-$C$4,"")</f>
        <v>76525.039761557768</v>
      </c>
      <c r="R51" s="113" t="s">
        <v>56</v>
      </c>
      <c r="S51" s="11">
        <f>S29*U38</f>
        <v>0.16331658291457288</v>
      </c>
      <c r="T51" s="11">
        <f>T29*V38</f>
        <v>0.10804020100502512</v>
      </c>
      <c r="U51" s="118">
        <f t="shared" ref="U51:U55" si="6">SUM(S51:T51)</f>
        <v>0.271356783919598</v>
      </c>
      <c r="V51" s="119">
        <f>U51*$V$48/2</f>
        <v>6.6482412060301508</v>
      </c>
    </row>
    <row r="52" spans="1:22" x14ac:dyDescent="0.25">
      <c r="A52" s="13">
        <v>36</v>
      </c>
      <c r="B52" s="13" t="s">
        <v>13</v>
      </c>
      <c r="C52" s="36">
        <v>2.5999999999999999E-2</v>
      </c>
      <c r="D52" s="2" t="s">
        <v>53</v>
      </c>
      <c r="E52" s="71">
        <v>42329</v>
      </c>
      <c r="F52" s="4">
        <v>4</v>
      </c>
      <c r="G52" s="2"/>
      <c r="H52" s="71"/>
      <c r="I52" s="4"/>
      <c r="J52" s="74">
        <f>Tabla22[[#This Row],[Base price1]]*Tabla22[[#This Row],[Req.]]+Tabla22[[#This Row],[Base price2]]*Tabla22[[#This Row],[Req.2]]</f>
        <v>169316</v>
      </c>
      <c r="K52" s="71">
        <f>IFERROR(LOOKUP(Tabla22[[#This Row],[Product]],$R$18:$R$23,$T$18:$T$23)*Tabla22[[#This Row],[QualityBonus]]*Tabla22[[#This Row],[Base price1]]*Tabla22[[#This Row],[Req.]],0)</f>
        <v>17608.863999999998</v>
      </c>
      <c r="L52" s="71">
        <f>IF(Tabla22[[#This Row],[Req.2]]&gt;0,LOOKUP(Tabla22[[#This Row],[Product2]],$R$18:$R$23,$T$18:$T$23)*Tabla22[[#This Row],[Base price2]]*Tabla22[[#This Row],[Req.2]]*Tabla22[[#This Row],[QualityBonus]],0)</f>
        <v>0</v>
      </c>
      <c r="M52" s="74">
        <f>IFERROR((Tabla22[[#This Row],[Base price1]]-LOOKUP(Tabla22[[#This Row],[Product]],$R$18:$R$23,$S$18:$S$23))*Tabla22[[#This Row],[Req.]],0)</f>
        <v>33316</v>
      </c>
      <c r="N52" s="71">
        <f>IF(Tabla22[[#This Row],[Req.2]]&gt;0,(Tabla22[[#This Row],[Base price2]]-LOOKUP(Tabla22[[#This Row],[Product2]],$R$18:$R$23,$S$18:$S$23))*Tabla22[[#This Row],[Req.2]],0)</f>
        <v>0</v>
      </c>
      <c r="O52" s="74">
        <f>SUM(Tabla22[[#This Row],[Bonus1]:[p2]])</f>
        <v>50924.864000000001</v>
      </c>
      <c r="P52" s="71">
        <f>IF(Tabla22[[#This Row],[QualityBonus]]&gt;0,Tabla22[[#This Row],[No wages]]-$C$4,"")</f>
        <v>3062.5797615577758</v>
      </c>
      <c r="R52" s="113" t="s">
        <v>57</v>
      </c>
      <c r="S52" s="11">
        <f>S30*U39</f>
        <v>0.46231155778894473</v>
      </c>
      <c r="T52" s="11">
        <f>T30*V39</f>
        <v>0.41708542713567842</v>
      </c>
      <c r="U52" s="118">
        <f t="shared" si="6"/>
        <v>0.87939698492462315</v>
      </c>
      <c r="V52" s="119">
        <f>U52*$V$48/2</f>
        <v>21.545226130653266</v>
      </c>
    </row>
    <row r="53" spans="1:22" x14ac:dyDescent="0.25">
      <c r="A53" s="13">
        <v>37</v>
      </c>
      <c r="B53" s="13" t="s">
        <v>13</v>
      </c>
      <c r="C53" s="36">
        <v>2.4299999999999999E-2</v>
      </c>
      <c r="D53" s="2" t="s">
        <v>53</v>
      </c>
      <c r="E53" s="71">
        <v>41309</v>
      </c>
      <c r="F53" s="4">
        <v>2</v>
      </c>
      <c r="G53" s="2" t="s">
        <v>52</v>
      </c>
      <c r="H53" s="71">
        <v>118549</v>
      </c>
      <c r="I53" s="4">
        <v>3</v>
      </c>
      <c r="J53" s="74">
        <f>Tabla22[[#This Row],[Base price1]]*Tabla22[[#This Row],[Req.]]+Tabla22[[#This Row],[Base price2]]*Tabla22[[#This Row],[Req.2]]</f>
        <v>438265</v>
      </c>
      <c r="K53" s="71">
        <f>IFERROR(LOOKUP(Tabla22[[#This Row],[Product]],$R$18:$R$23,$T$18:$T$23)*Tabla22[[#This Row],[QualityBonus]]*Tabla22[[#This Row],[Base price1]]*Tabla22[[#This Row],[Req.]],0)</f>
        <v>8030.4695999999994</v>
      </c>
      <c r="L53" s="71">
        <f>IF(Tabla22[[#This Row],[Req.2]]&gt;0,LOOKUP(Tabla22[[#This Row],[Product2]],$R$18:$R$23,$T$18:$T$23)*Tabla22[[#This Row],[Base price2]]*Tabla22[[#This Row],[Req.2]]*Tabla22[[#This Row],[QualityBonus]],0)</f>
        <v>51853.332599999994</v>
      </c>
      <c r="M53" s="74">
        <f>IFERROR((Tabla22[[#This Row],[Base price1]]-LOOKUP(Tabla22[[#This Row],[Product]],$R$18:$R$23,$S$18:$S$23))*Tabla22[[#This Row],[Req.]],0)</f>
        <v>14618</v>
      </c>
      <c r="N53" s="71">
        <f>IF(Tabla22[[#This Row],[Req.2]]&gt;0,(Tabla22[[#This Row],[Base price2]]-LOOKUP(Tabla22[[#This Row],[Product2]],$R$18:$R$23,$S$18:$S$23))*Tabla22[[#This Row],[Req.2]],0)</f>
        <v>7647</v>
      </c>
      <c r="O53" s="74">
        <f>SUM(Tabla22[[#This Row],[Bonus1]:[p2]])</f>
        <v>82148.802199999991</v>
      </c>
      <c r="P53" s="71">
        <f>IF(Tabla22[[#This Row],[QualityBonus]]&gt;0,Tabla22[[#This Row],[No wages]]-$C$4,"")</f>
        <v>34286.517961557765</v>
      </c>
      <c r="R53" s="113" t="s">
        <v>54</v>
      </c>
      <c r="S53" s="11">
        <f>S31*U40</f>
        <v>0.585427135678392</v>
      </c>
      <c r="T53" s="11">
        <f>T31*V40</f>
        <v>0.53266331658291455</v>
      </c>
      <c r="U53" s="118">
        <f t="shared" si="6"/>
        <v>1.1180904522613067</v>
      </c>
      <c r="V53" s="119">
        <f>U53*$V$48/2</f>
        <v>27.393216080402013</v>
      </c>
    </row>
    <row r="54" spans="1:22" x14ac:dyDescent="0.25">
      <c r="A54" s="13">
        <v>38</v>
      </c>
      <c r="B54" s="13" t="s">
        <v>13</v>
      </c>
      <c r="C54" s="36">
        <v>1.6799999999999999E-2</v>
      </c>
      <c r="D54" s="2" t="s">
        <v>53</v>
      </c>
      <c r="E54" s="71">
        <v>41700</v>
      </c>
      <c r="F54" s="4">
        <v>3</v>
      </c>
      <c r="G54" s="2" t="s">
        <v>57</v>
      </c>
      <c r="H54" s="71">
        <v>86334</v>
      </c>
      <c r="I54" s="4">
        <v>1</v>
      </c>
      <c r="J54" s="74">
        <f>Tabla22[[#This Row],[Base price1]]*Tabla22[[#This Row],[Req.]]+Tabla22[[#This Row],[Base price2]]*Tabla22[[#This Row],[Req.2]]</f>
        <v>211434</v>
      </c>
      <c r="K54" s="71">
        <f>IFERROR(LOOKUP(Tabla22[[#This Row],[Product]],$R$18:$R$23,$T$18:$T$23)*Tabla22[[#This Row],[QualityBonus]]*Tabla22[[#This Row],[Base price1]]*Tabla22[[#This Row],[Req.]],0)</f>
        <v>8406.7199999999993</v>
      </c>
      <c r="L54" s="71">
        <f>IF(Tabla22[[#This Row],[Req.2]]&gt;0,LOOKUP(Tabla22[[#This Row],[Product2]],$R$18:$R$23,$T$18:$T$23)*Tabla22[[#This Row],[Base price2]]*Tabla22[[#This Row],[Req.2]]*Tabla22[[#This Row],[QualityBonus]],0)</f>
        <v>5801.6448</v>
      </c>
      <c r="M54" s="74">
        <f>IFERROR((Tabla22[[#This Row],[Base price1]]-LOOKUP(Tabla22[[#This Row],[Product]],$R$18:$R$23,$S$18:$S$23))*Tabla22[[#This Row],[Req.]],0)</f>
        <v>23100</v>
      </c>
      <c r="N54" s="71">
        <f>IF(Tabla22[[#This Row],[Req.2]]&gt;0,(Tabla22[[#This Row],[Base price2]]-LOOKUP(Tabla22[[#This Row],[Product2]],$R$18:$R$23,$S$18:$S$23))*Tabla22[[#This Row],[Req.2]],0)</f>
        <v>9334</v>
      </c>
      <c r="O54" s="74">
        <f>SUM(Tabla22[[#This Row],[Bonus1]:[p2]])</f>
        <v>46642.364799999996</v>
      </c>
      <c r="P54" s="71">
        <f>IF(Tabla22[[#This Row],[QualityBonus]]&gt;0,Tabla22[[#This Row],[No wages]]-$C$4,"")</f>
        <v>-1219.9194384422299</v>
      </c>
      <c r="R54" s="113" t="s">
        <v>53</v>
      </c>
      <c r="S54" s="11">
        <f>S32*U41</f>
        <v>1.2939698492462313</v>
      </c>
      <c r="T54" s="11">
        <f>T32*V41</f>
        <v>0.74120603015075381</v>
      </c>
      <c r="U54" s="118">
        <f t="shared" si="6"/>
        <v>2.0351758793969852</v>
      </c>
      <c r="V54" s="119">
        <f>U54*$V$48/2</f>
        <v>49.861809045226138</v>
      </c>
    </row>
    <row r="55" spans="1:22" x14ac:dyDescent="0.25">
      <c r="A55" s="13">
        <v>39</v>
      </c>
      <c r="B55" s="13" t="s">
        <v>13</v>
      </c>
      <c r="C55" s="36">
        <v>2.3300000000000001E-2</v>
      </c>
      <c r="D55" s="2" t="s">
        <v>53</v>
      </c>
      <c r="E55" s="71">
        <v>41268</v>
      </c>
      <c r="F55" s="4">
        <v>2</v>
      </c>
      <c r="G55" s="2"/>
      <c r="H55" s="71"/>
      <c r="I55" s="4"/>
      <c r="J55" s="74">
        <f>Tabla22[[#This Row],[Base price1]]*Tabla22[[#This Row],[Req.]]+Tabla22[[#This Row],[Base price2]]*Tabla22[[#This Row],[Req.2]]</f>
        <v>82536</v>
      </c>
      <c r="K55" s="71">
        <f>IFERROR(LOOKUP(Tabla22[[#This Row],[Product]],$R$18:$R$23,$T$18:$T$23)*Tabla22[[#This Row],[QualityBonus]]*Tabla22[[#This Row],[Base price1]]*Tabla22[[#This Row],[Req.]],0)</f>
        <v>7692.3552</v>
      </c>
      <c r="L55" s="71">
        <f>IF(Tabla22[[#This Row],[Req.2]]&gt;0,LOOKUP(Tabla22[[#This Row],[Product2]],$R$18:$R$23,$T$18:$T$23)*Tabla22[[#This Row],[Base price2]]*Tabla22[[#This Row],[Req.2]]*Tabla22[[#This Row],[QualityBonus]],0)</f>
        <v>0</v>
      </c>
      <c r="M55" s="74">
        <f>IFERROR((Tabla22[[#This Row],[Base price1]]-LOOKUP(Tabla22[[#This Row],[Product]],$R$18:$R$23,$S$18:$S$23))*Tabla22[[#This Row],[Req.]],0)</f>
        <v>14536</v>
      </c>
      <c r="N55" s="71">
        <f>IF(Tabla22[[#This Row],[Req.2]]&gt;0,(Tabla22[[#This Row],[Base price2]]-LOOKUP(Tabla22[[#This Row],[Product2]],$R$18:$R$23,$S$18:$S$23))*Tabla22[[#This Row],[Req.2]],0)</f>
        <v>0</v>
      </c>
      <c r="O55" s="74">
        <f>SUM(Tabla22[[#This Row],[Bonus1]:[p2]])</f>
        <v>22228.355199999998</v>
      </c>
      <c r="P55" s="71">
        <f>IF(Tabla22[[#This Row],[QualityBonus]]&gt;0,Tabla22[[#This Row],[No wages]]-$C$4,"")</f>
        <v>-25633.929038442227</v>
      </c>
      <c r="R55" s="113" t="s">
        <v>52</v>
      </c>
      <c r="S55" s="11">
        <f>S33*U42</f>
        <v>0.28140703517587939</v>
      </c>
      <c r="T55" s="11">
        <f>T33*V42</f>
        <v>0.26884422110552764</v>
      </c>
      <c r="U55" s="118">
        <f t="shared" si="6"/>
        <v>0.55025125628140703</v>
      </c>
      <c r="V55" s="119">
        <f>U55*$V$48/2</f>
        <v>13.481155778894472</v>
      </c>
    </row>
    <row r="56" spans="1:22" x14ac:dyDescent="0.25">
      <c r="A56" s="13">
        <v>40</v>
      </c>
      <c r="B56" s="13" t="s">
        <v>13</v>
      </c>
      <c r="C56" s="36">
        <v>2.18E-2</v>
      </c>
      <c r="D56" s="2" t="s">
        <v>55</v>
      </c>
      <c r="E56" s="71">
        <v>85536</v>
      </c>
      <c r="F56" s="4">
        <v>4</v>
      </c>
      <c r="G56" s="2" t="s">
        <v>53</v>
      </c>
      <c r="H56" s="71">
        <v>42025</v>
      </c>
      <c r="I56" s="4">
        <v>5</v>
      </c>
      <c r="J56" s="74">
        <f>Tabla22[[#This Row],[Base price1]]*Tabla22[[#This Row],[Req.]]+Tabla22[[#This Row],[Base price2]]*Tabla22[[#This Row],[Req.2]]</f>
        <v>552269</v>
      </c>
      <c r="K56" s="71">
        <f>IFERROR(LOOKUP(Tabla22[[#This Row],[Product]],$R$18:$R$23,$T$18:$T$23)*Tabla22[[#This Row],[QualityBonus]]*Tabla22[[#This Row],[Base price1]]*Tabla22[[#This Row],[Req.]],0)</f>
        <v>29834.9568</v>
      </c>
      <c r="L56" s="71">
        <f>IF(Tabla22[[#This Row],[Req.2]]&gt;0,LOOKUP(Tabla22[[#This Row],[Product2]],$R$18:$R$23,$T$18:$T$23)*Tabla22[[#This Row],[Base price2]]*Tabla22[[#This Row],[Req.2]]*Tabla22[[#This Row],[QualityBonus]],0)</f>
        <v>18322.900000000001</v>
      </c>
      <c r="M56" s="74">
        <f>IFERROR((Tabla22[[#This Row],[Base price1]]-LOOKUP(Tabla22[[#This Row],[Product]],$R$18:$R$23,$S$18:$S$23))*Tabla22[[#This Row],[Req.]],0)</f>
        <v>34144</v>
      </c>
      <c r="N56" s="71">
        <f>IF(Tabla22[[#This Row],[Req.2]]&gt;0,(Tabla22[[#This Row],[Base price2]]-LOOKUP(Tabla22[[#This Row],[Product2]],$R$18:$R$23,$S$18:$S$23))*Tabla22[[#This Row],[Req.2]],0)</f>
        <v>40125</v>
      </c>
      <c r="O56" s="74">
        <f>SUM(Tabla22[[#This Row],[Bonus1]:[p2]])</f>
        <v>122426.85680000001</v>
      </c>
      <c r="P56" s="71">
        <f>IF(Tabla22[[#This Row],[QualityBonus]]&gt;0,Tabla22[[#This Row],[No wages]]-$C$4,"")</f>
        <v>74564.572561557783</v>
      </c>
    </row>
    <row r="57" spans="1:22" x14ac:dyDescent="0.25">
      <c r="A57" s="13">
        <v>41</v>
      </c>
      <c r="B57" s="13" t="s">
        <v>13</v>
      </c>
      <c r="C57" s="36">
        <v>1.9800000000000002E-2</v>
      </c>
      <c r="D57" s="2" t="s">
        <v>54</v>
      </c>
      <c r="E57" s="71">
        <v>61103</v>
      </c>
      <c r="F57" s="4">
        <v>2</v>
      </c>
      <c r="G57" s="2" t="s">
        <v>53</v>
      </c>
      <c r="H57" s="71">
        <v>42071</v>
      </c>
      <c r="I57" s="4">
        <v>2</v>
      </c>
      <c r="J57" s="74">
        <f>Tabla22[[#This Row],[Base price1]]*Tabla22[[#This Row],[Req.]]+Tabla22[[#This Row],[Base price2]]*Tabla22[[#This Row],[Req.2]]</f>
        <v>206348</v>
      </c>
      <c r="K57" s="71">
        <f>IFERROR(LOOKUP(Tabla22[[#This Row],[Product]],$R$18:$R$23,$T$18:$T$23)*Tabla22[[#This Row],[QualityBonus]]*Tabla22[[#This Row],[Base price1]]*Tabla22[[#This Row],[Req.]],0)</f>
        <v>12098.394</v>
      </c>
      <c r="L57" s="71">
        <f>IF(Tabla22[[#This Row],[Req.2]]&gt;0,LOOKUP(Tabla22[[#This Row],[Product2]],$R$18:$R$23,$T$18:$T$23)*Tabla22[[#This Row],[Base price2]]*Tabla22[[#This Row],[Req.2]]*Tabla22[[#This Row],[QualityBonus]],0)</f>
        <v>6664.0464000000002</v>
      </c>
      <c r="M57" s="74">
        <f>IFERROR((Tabla22[[#This Row],[Base price1]]-LOOKUP(Tabla22[[#This Row],[Product]],$R$18:$R$23,$S$18:$S$23))*Tabla22[[#This Row],[Req.]],0)</f>
        <v>9206</v>
      </c>
      <c r="N57" s="71">
        <f>IF(Tabla22[[#This Row],[Req.2]]&gt;0,(Tabla22[[#This Row],[Base price2]]-LOOKUP(Tabla22[[#This Row],[Product2]],$R$18:$R$23,$S$18:$S$23))*Tabla22[[#This Row],[Req.2]],0)</f>
        <v>16142</v>
      </c>
      <c r="O57" s="74">
        <f>SUM(Tabla22[[#This Row],[Bonus1]:[p2]])</f>
        <v>44110.440399999999</v>
      </c>
      <c r="P57" s="71">
        <f>IF(Tabla22[[#This Row],[QualityBonus]]&gt;0,Tabla22[[#This Row],[No wages]]-$C$4,"")</f>
        <v>-3751.8438384422261</v>
      </c>
    </row>
    <row r="58" spans="1:22" x14ac:dyDescent="0.25">
      <c r="A58" s="24">
        <v>42</v>
      </c>
      <c r="B58" s="24" t="s">
        <v>13</v>
      </c>
      <c r="C58" s="44">
        <v>1.0200000000000001E-2</v>
      </c>
      <c r="D58" s="37" t="s">
        <v>53</v>
      </c>
      <c r="E58" s="72">
        <v>39994</v>
      </c>
      <c r="F58" s="39">
        <v>2</v>
      </c>
      <c r="G58" s="37"/>
      <c r="H58" s="72"/>
      <c r="I58" s="39"/>
      <c r="J58" s="75">
        <f>Tabla22[[#This Row],[Base price1]]*Tabla22[[#This Row],[Req.]]+Tabla22[[#This Row],[Base price2]]*Tabla22[[#This Row],[Req.2]]</f>
        <v>79988</v>
      </c>
      <c r="K58" s="72">
        <f>IFERROR(LOOKUP(Tabla22[[#This Row],[Product]],$R$18:$R$23,$T$18:$T$23)*Tabla22[[#This Row],[QualityBonus]]*Tabla22[[#This Row],[Base price1]]*Tabla22[[#This Row],[Req.]],0)</f>
        <v>3263.5104000000001</v>
      </c>
      <c r="L58" s="72">
        <f>IF(Tabla22[[#This Row],[Req.2]]&gt;0,LOOKUP(Tabla22[[#This Row],[Product2]],$R$18:$R$23,$T$18:$T$23)*Tabla22[[#This Row],[Base price2]]*Tabla22[[#This Row],[Req.2]]*Tabla22[[#This Row],[QualityBonus]],0)</f>
        <v>0</v>
      </c>
      <c r="M58" s="75">
        <f>IFERROR((Tabla22[[#This Row],[Base price1]]-LOOKUP(Tabla22[[#This Row],[Product]],$R$18:$R$23,$S$18:$S$23))*Tabla22[[#This Row],[Req.]],0)</f>
        <v>11988</v>
      </c>
      <c r="N58" s="72">
        <f>IF(Tabla22[[#This Row],[Req.2]]&gt;0,(Tabla22[[#This Row],[Base price2]]-LOOKUP(Tabla22[[#This Row],[Product2]],$R$18:$R$23,$S$18:$S$23))*Tabla22[[#This Row],[Req.2]],0)</f>
        <v>0</v>
      </c>
      <c r="O58" s="75">
        <f>SUM(Tabla22[[#This Row],[Bonus1]:[p2]])</f>
        <v>15251.510399999999</v>
      </c>
      <c r="P58" s="72">
        <f>IF(Tabla22[[#This Row],[QualityBonus]]&gt;0,Tabla22[[#This Row],[No wages]]-$C$4,"")</f>
        <v>-32610.773838442226</v>
      </c>
    </row>
    <row r="59" spans="1:22" x14ac:dyDescent="0.25">
      <c r="A59" s="13">
        <v>43</v>
      </c>
      <c r="B59" s="13" t="s">
        <v>13</v>
      </c>
      <c r="C59" s="36">
        <v>2.2800000000000001E-2</v>
      </c>
      <c r="D59" s="2" t="s">
        <v>53</v>
      </c>
      <c r="E59" s="71">
        <v>41087</v>
      </c>
      <c r="F59" s="4">
        <v>4</v>
      </c>
      <c r="G59" s="2" t="s">
        <v>52</v>
      </c>
      <c r="H59" s="71">
        <v>118450</v>
      </c>
      <c r="I59" s="4">
        <v>3</v>
      </c>
      <c r="J59" s="74">
        <f>Tabla22[[#This Row],[Base price1]]*Tabla22[[#This Row],[Req.]]+Tabla22[[#This Row],[Base price2]]*Tabla22[[#This Row],[Req.2]]</f>
        <v>519698</v>
      </c>
      <c r="K59" s="71">
        <f>IFERROR(LOOKUP(Tabla22[[#This Row],[Product]],$R$18:$R$23,$T$18:$T$23)*Tabla22[[#This Row],[QualityBonus]]*Tabla22[[#This Row],[Base price1]]*Tabla22[[#This Row],[Req.]],0)</f>
        <v>14988.5376</v>
      </c>
      <c r="L59" s="71">
        <f>IF(Tabla22[[#This Row],[Req.2]]&gt;0,LOOKUP(Tabla22[[#This Row],[Product2]],$R$18:$R$23,$T$18:$T$23)*Tabla22[[#This Row],[Base price2]]*Tabla22[[#This Row],[Req.2]]*Tabla22[[#This Row],[QualityBonus]],0)</f>
        <v>48611.880000000005</v>
      </c>
      <c r="M59" s="74">
        <f>IFERROR((Tabla22[[#This Row],[Base price1]]-LOOKUP(Tabla22[[#This Row],[Product]],$R$18:$R$23,$S$18:$S$23))*Tabla22[[#This Row],[Req.]],0)</f>
        <v>28348</v>
      </c>
      <c r="N59" s="71">
        <f>IF(Tabla22[[#This Row],[Req.2]]&gt;0,(Tabla22[[#This Row],[Base price2]]-LOOKUP(Tabla22[[#This Row],[Product2]],$R$18:$R$23,$S$18:$S$23))*Tabla22[[#This Row],[Req.2]],0)</f>
        <v>7350</v>
      </c>
      <c r="O59" s="74">
        <f>SUM(Tabla22[[#This Row],[Bonus1]:[p2]])</f>
        <v>99298.417600000001</v>
      </c>
      <c r="P59" s="71">
        <f>IF(Tabla22[[#This Row],[QualityBonus]]&gt;0,Tabla22[[#This Row],[No wages]]-$C$4,"")</f>
        <v>51436.133361557775</v>
      </c>
    </row>
    <row r="60" spans="1:22" x14ac:dyDescent="0.25">
      <c r="A60" s="13">
        <v>44</v>
      </c>
      <c r="B60" s="13" t="s">
        <v>13</v>
      </c>
      <c r="C60" s="36">
        <v>1.7399999999999999E-2</v>
      </c>
      <c r="D60" s="2" t="s">
        <v>53</v>
      </c>
      <c r="E60" s="71">
        <v>40290</v>
      </c>
      <c r="F60" s="4">
        <v>5</v>
      </c>
      <c r="G60" s="2"/>
      <c r="H60" s="71"/>
      <c r="I60" s="4"/>
      <c r="J60" s="74">
        <f>Tabla22[[#This Row],[Base price1]]*Tabla22[[#This Row],[Req.]]+Tabla22[[#This Row],[Base price2]]*Tabla22[[#This Row],[Req.2]]</f>
        <v>201450</v>
      </c>
      <c r="K60" s="71">
        <f>IFERROR(LOOKUP(Tabla22[[#This Row],[Product]],$R$18:$R$23,$T$18:$T$23)*Tabla22[[#This Row],[QualityBonus]]*Tabla22[[#This Row],[Base price1]]*Tabla22[[#This Row],[Req.]],0)</f>
        <v>14020.919999999998</v>
      </c>
      <c r="L60" s="71">
        <f>IF(Tabla22[[#This Row],[Req.2]]&gt;0,LOOKUP(Tabla22[[#This Row],[Product2]],$R$18:$R$23,$T$18:$T$23)*Tabla22[[#This Row],[Base price2]]*Tabla22[[#This Row],[Req.2]]*Tabla22[[#This Row],[QualityBonus]],0)</f>
        <v>0</v>
      </c>
      <c r="M60" s="74">
        <f>IFERROR((Tabla22[[#This Row],[Base price1]]-LOOKUP(Tabla22[[#This Row],[Product]],$R$18:$R$23,$S$18:$S$23))*Tabla22[[#This Row],[Req.]],0)</f>
        <v>31450</v>
      </c>
      <c r="N60" s="71">
        <f>IF(Tabla22[[#This Row],[Req.2]]&gt;0,(Tabla22[[#This Row],[Base price2]]-LOOKUP(Tabla22[[#This Row],[Product2]],$R$18:$R$23,$S$18:$S$23))*Tabla22[[#This Row],[Req.2]],0)</f>
        <v>0</v>
      </c>
      <c r="O60" s="74">
        <f>SUM(Tabla22[[#This Row],[Bonus1]:[p2]])</f>
        <v>45470.92</v>
      </c>
      <c r="P60" s="71">
        <f>IF(Tabla22[[#This Row],[QualityBonus]]&gt;0,Tabla22[[#This Row],[No wages]]-$C$4,"")</f>
        <v>-2391.3642384422274</v>
      </c>
    </row>
    <row r="61" spans="1:22" x14ac:dyDescent="0.25">
      <c r="A61" s="13">
        <v>45</v>
      </c>
      <c r="B61" s="13" t="s">
        <v>13</v>
      </c>
      <c r="C61" s="36">
        <v>2.9000000000000001E-2</v>
      </c>
      <c r="D61" s="2" t="s">
        <v>54</v>
      </c>
      <c r="E61" s="71">
        <v>61156</v>
      </c>
      <c r="F61" s="4">
        <v>3</v>
      </c>
      <c r="G61" s="2"/>
      <c r="H61" s="71"/>
      <c r="I61" s="4"/>
      <c r="J61" s="74">
        <f>Tabla22[[#This Row],[Base price1]]*Tabla22[[#This Row],[Req.]]+Tabla22[[#This Row],[Base price2]]*Tabla22[[#This Row],[Req.2]]</f>
        <v>183468</v>
      </c>
      <c r="K61" s="71">
        <f>IFERROR(LOOKUP(Tabla22[[#This Row],[Product]],$R$18:$R$23,$T$18:$T$23)*Tabla22[[#This Row],[QualityBonus]]*Tabla22[[#This Row],[Base price1]]*Tabla22[[#This Row],[Req.]],0)</f>
        <v>26602.86</v>
      </c>
      <c r="L61" s="71">
        <f>IF(Tabla22[[#This Row],[Req.2]]&gt;0,LOOKUP(Tabla22[[#This Row],[Product2]],$R$18:$R$23,$T$18:$T$23)*Tabla22[[#This Row],[Base price2]]*Tabla22[[#This Row],[Req.2]]*Tabla22[[#This Row],[QualityBonus]],0)</f>
        <v>0</v>
      </c>
      <c r="M61" s="74">
        <f>IFERROR((Tabla22[[#This Row],[Base price1]]-LOOKUP(Tabla22[[#This Row],[Product]],$R$18:$R$23,$S$18:$S$23))*Tabla22[[#This Row],[Req.]],0)</f>
        <v>13968</v>
      </c>
      <c r="N61" s="71">
        <f>IF(Tabla22[[#This Row],[Req.2]]&gt;0,(Tabla22[[#This Row],[Base price2]]-LOOKUP(Tabla22[[#This Row],[Product2]],$R$18:$R$23,$S$18:$S$23))*Tabla22[[#This Row],[Req.2]],0)</f>
        <v>0</v>
      </c>
      <c r="O61" s="74">
        <f>SUM(Tabla22[[#This Row],[Bonus1]:[p2]])</f>
        <v>40570.86</v>
      </c>
      <c r="P61" s="71">
        <f>IF(Tabla22[[#This Row],[QualityBonus]]&gt;0,Tabla22[[#This Row],[No wages]]-$C$4,"")</f>
        <v>-7291.424238442225</v>
      </c>
    </row>
    <row r="62" spans="1:22" x14ac:dyDescent="0.25">
      <c r="A62" s="13">
        <v>46</v>
      </c>
      <c r="B62" s="13" t="s">
        <v>13</v>
      </c>
      <c r="C62" s="36">
        <v>1.5299999999999999E-2</v>
      </c>
      <c r="D62" s="2" t="s">
        <v>53</v>
      </c>
      <c r="E62" s="71">
        <v>40841</v>
      </c>
      <c r="F62" s="4">
        <v>3</v>
      </c>
      <c r="G62" s="2" t="s">
        <v>57</v>
      </c>
      <c r="H62" s="71">
        <v>85277</v>
      </c>
      <c r="I62" s="4">
        <v>4</v>
      </c>
      <c r="J62" s="74">
        <f>Tabla22[[#This Row],[Base price1]]*Tabla22[[#This Row],[Req.]]+Tabla22[[#This Row],[Base price2]]*Tabla22[[#This Row],[Req.2]]</f>
        <v>463631</v>
      </c>
      <c r="K62" s="71">
        <f>IFERROR(LOOKUP(Tabla22[[#This Row],[Product]],$R$18:$R$23,$T$18:$T$23)*Tabla22[[#This Row],[QualityBonus]]*Tabla22[[#This Row],[Base price1]]*Tabla22[[#This Row],[Req.]],0)</f>
        <v>7498.4076000000005</v>
      </c>
      <c r="L62" s="71">
        <f>IF(Tabla22[[#This Row],[Req.2]]&gt;0,LOOKUP(Tabla22[[#This Row],[Product2]],$R$18:$R$23,$T$18:$T$23)*Tabla22[[#This Row],[Base price2]]*Tabla22[[#This Row],[Req.2]]*Tabla22[[#This Row],[QualityBonus]],0)</f>
        <v>20875.809600000001</v>
      </c>
      <c r="M62" s="74">
        <f>IFERROR((Tabla22[[#This Row],[Base price1]]-LOOKUP(Tabla22[[#This Row],[Product]],$R$18:$R$23,$S$18:$S$23))*Tabla22[[#This Row],[Req.]],0)</f>
        <v>20523</v>
      </c>
      <c r="N62" s="71">
        <f>IF(Tabla22[[#This Row],[Req.2]]&gt;0,(Tabla22[[#This Row],[Base price2]]-LOOKUP(Tabla22[[#This Row],[Product2]],$R$18:$R$23,$S$18:$S$23))*Tabla22[[#This Row],[Req.2]],0)</f>
        <v>33108</v>
      </c>
      <c r="O62" s="74">
        <f>SUM(Tabla22[[#This Row],[Bonus1]:[p2]])</f>
        <v>82005.217199999999</v>
      </c>
      <c r="P62" s="71">
        <f>IF(Tabla22[[#This Row],[QualityBonus]]&gt;0,Tabla22[[#This Row],[No wages]]-$C$4,"")</f>
        <v>34142.932961557774</v>
      </c>
    </row>
    <row r="63" spans="1:22" x14ac:dyDescent="0.25">
      <c r="A63" s="13">
        <v>47</v>
      </c>
      <c r="B63" s="13" t="s">
        <v>13</v>
      </c>
      <c r="C63" s="36">
        <v>2.0899999999999998E-2</v>
      </c>
      <c r="D63" s="2" t="s">
        <v>54</v>
      </c>
      <c r="E63" s="71">
        <v>62292</v>
      </c>
      <c r="F63" s="4">
        <v>2</v>
      </c>
      <c r="G63" s="2"/>
      <c r="H63" s="71"/>
      <c r="I63" s="4"/>
      <c r="J63" s="74">
        <f>Tabla22[[#This Row],[Base price1]]*Tabla22[[#This Row],[Req.]]+Tabla22[[#This Row],[Base price2]]*Tabla22[[#This Row],[Req.2]]</f>
        <v>124584</v>
      </c>
      <c r="K63" s="71">
        <f>IFERROR(LOOKUP(Tabla22[[#This Row],[Product]],$R$18:$R$23,$T$18:$T$23)*Tabla22[[#This Row],[QualityBonus]]*Tabla22[[#This Row],[Base price1]]*Tabla22[[#This Row],[Req.]],0)</f>
        <v>13019.028</v>
      </c>
      <c r="L63" s="71">
        <f>IF(Tabla22[[#This Row],[Req.2]]&gt;0,LOOKUP(Tabla22[[#This Row],[Product2]],$R$18:$R$23,$T$18:$T$23)*Tabla22[[#This Row],[Base price2]]*Tabla22[[#This Row],[Req.2]]*Tabla22[[#This Row],[QualityBonus]],0)</f>
        <v>0</v>
      </c>
      <c r="M63" s="74">
        <f>IFERROR((Tabla22[[#This Row],[Base price1]]-LOOKUP(Tabla22[[#This Row],[Product]],$R$18:$R$23,$S$18:$S$23))*Tabla22[[#This Row],[Req.]],0)</f>
        <v>11584</v>
      </c>
      <c r="N63" s="71">
        <f>IF(Tabla22[[#This Row],[Req.2]]&gt;0,(Tabla22[[#This Row],[Base price2]]-LOOKUP(Tabla22[[#This Row],[Product2]],$R$18:$R$23,$S$18:$S$23))*Tabla22[[#This Row],[Req.2]],0)</f>
        <v>0</v>
      </c>
      <c r="O63" s="74">
        <f>SUM(Tabla22[[#This Row],[Bonus1]:[p2]])</f>
        <v>24603.027999999998</v>
      </c>
      <c r="P63" s="71">
        <f>IF(Tabla22[[#This Row],[QualityBonus]]&gt;0,Tabla22[[#This Row],[No wages]]-$C$4,"")</f>
        <v>-23259.256238442227</v>
      </c>
    </row>
    <row r="64" spans="1:22" x14ac:dyDescent="0.25">
      <c r="A64" s="13">
        <v>48</v>
      </c>
      <c r="B64" s="13" t="s">
        <v>13</v>
      </c>
      <c r="C64" s="66">
        <v>2.5999999999999999E-2</v>
      </c>
      <c r="D64" s="2" t="s">
        <v>54</v>
      </c>
      <c r="E64" s="73">
        <v>62770</v>
      </c>
      <c r="F64" s="5">
        <v>4</v>
      </c>
      <c r="G64" s="2" t="s">
        <v>57</v>
      </c>
      <c r="H64" s="71">
        <v>84716</v>
      </c>
      <c r="I64" s="5">
        <v>1</v>
      </c>
      <c r="J64" s="74">
        <f>Tabla22[[#This Row],[Base price1]]*Tabla22[[#This Row],[Req.]]+Tabla22[[#This Row],[Base price2]]*Tabla22[[#This Row],[Req.2]]</f>
        <v>335796</v>
      </c>
      <c r="K64" s="71">
        <f>IFERROR(LOOKUP(Tabla22[[#This Row],[Product]],$R$18:$R$23,$T$18:$T$23)*Tabla22[[#This Row],[QualityBonus]]*Tabla22[[#This Row],[Base price1]]*Tabla22[[#This Row],[Req.]],0)</f>
        <v>32640.400000000001</v>
      </c>
      <c r="L64" s="71">
        <f>IF(Tabla22[[#This Row],[Req.2]]&gt;0,LOOKUP(Tabla22[[#This Row],[Product2]],$R$18:$R$23,$T$18:$T$23)*Tabla22[[#This Row],[Base price2]]*Tabla22[[#This Row],[Req.2]]*Tabla22[[#This Row],[QualityBonus]],0)</f>
        <v>8810.4639999999999</v>
      </c>
      <c r="M64" s="74">
        <f>IFERROR((Tabla22[[#This Row],[Base price1]]-LOOKUP(Tabla22[[#This Row],[Product]],$R$18:$R$23,$S$18:$S$23))*Tabla22[[#This Row],[Req.]],0)</f>
        <v>25080</v>
      </c>
      <c r="N64" s="71">
        <f>IF(Tabla22[[#This Row],[Req.2]]&gt;0,(Tabla22[[#This Row],[Base price2]]-LOOKUP(Tabla22[[#This Row],[Product2]],$R$18:$R$23,$S$18:$S$23))*Tabla22[[#This Row],[Req.2]],0)</f>
        <v>7716</v>
      </c>
      <c r="O64" s="74">
        <f>SUM(Tabla22[[#This Row],[Bonus1]:[p2]])</f>
        <v>74246.864000000001</v>
      </c>
      <c r="P64" s="73">
        <f>IF(Tabla22[[#This Row],[QualityBonus]]&gt;0,Tabla22[[#This Row],[No wages]]-$C$4,"")</f>
        <v>26384.579761557776</v>
      </c>
    </row>
    <row r="65" spans="1:16" x14ac:dyDescent="0.25">
      <c r="A65" s="13">
        <v>49</v>
      </c>
      <c r="B65" s="13" t="s">
        <v>13</v>
      </c>
      <c r="C65" s="66">
        <v>1.7100000000000001E-2</v>
      </c>
      <c r="D65" s="2" t="s">
        <v>53</v>
      </c>
      <c r="E65" s="73">
        <v>42582</v>
      </c>
      <c r="F65" s="5">
        <v>5</v>
      </c>
      <c r="G65" s="2" t="s">
        <v>54</v>
      </c>
      <c r="H65" s="71">
        <v>62487</v>
      </c>
      <c r="I65" s="5">
        <v>2</v>
      </c>
      <c r="J65" s="74">
        <f>Tabla22[[#This Row],[Base price1]]*Tabla22[[#This Row],[Req.]]+Tabla22[[#This Row],[Base price2]]*Tabla22[[#This Row],[Req.2]]</f>
        <v>337884</v>
      </c>
      <c r="K65" s="71">
        <f>IFERROR(LOOKUP(Tabla22[[#This Row],[Product]],$R$18:$R$23,$T$18:$T$23)*Tabla22[[#This Row],[QualityBonus]]*Tabla22[[#This Row],[Base price1]]*Tabla22[[#This Row],[Req.]],0)</f>
        <v>14563.044</v>
      </c>
      <c r="L65" s="71">
        <f>IF(Tabla22[[#This Row],[Req.2]]&gt;0,LOOKUP(Tabla22[[#This Row],[Product2]],$R$18:$R$23,$T$18:$T$23)*Tabla22[[#This Row],[Base price2]]*Tabla22[[#This Row],[Req.2]]*Tabla22[[#This Row],[QualityBonus]],0)</f>
        <v>10685.277</v>
      </c>
      <c r="M65" s="74">
        <f>IFERROR((Tabla22[[#This Row],[Base price1]]-LOOKUP(Tabla22[[#This Row],[Product]],$R$18:$R$23,$S$18:$S$23))*Tabla22[[#This Row],[Req.]],0)</f>
        <v>42910</v>
      </c>
      <c r="N65" s="71">
        <f>IF(Tabla22[[#This Row],[Req.2]]&gt;0,(Tabla22[[#This Row],[Base price2]]-LOOKUP(Tabla22[[#This Row],[Product2]],$R$18:$R$23,$S$18:$S$23))*Tabla22[[#This Row],[Req.2]],0)</f>
        <v>11974</v>
      </c>
      <c r="O65" s="74">
        <f>SUM(Tabla22[[#This Row],[Bonus1]:[p2]])</f>
        <v>80132.320999999996</v>
      </c>
      <c r="P65" s="73">
        <f>IF(Tabla22[[#This Row],[QualityBonus]]&gt;0,Tabla22[[#This Row],[No wages]]-$C$4,"")</f>
        <v>32270.036761557771</v>
      </c>
    </row>
    <row r="66" spans="1:16" x14ac:dyDescent="0.25">
      <c r="A66" s="13">
        <v>50</v>
      </c>
      <c r="B66" s="13" t="s">
        <v>13</v>
      </c>
      <c r="C66" s="66">
        <v>1.0200000000000001E-2</v>
      </c>
      <c r="D66" s="2" t="s">
        <v>54</v>
      </c>
      <c r="E66" s="73">
        <v>59416</v>
      </c>
      <c r="F66" s="5">
        <v>2</v>
      </c>
      <c r="G66" s="2"/>
      <c r="H66" s="71"/>
      <c r="I66" s="5"/>
      <c r="J66" s="74">
        <f>Tabla22[[#This Row],[Base price1]]*Tabla22[[#This Row],[Req.]]+Tabla22[[#This Row],[Base price2]]*Tabla22[[#This Row],[Req.2]]</f>
        <v>118832</v>
      </c>
      <c r="K66" s="71">
        <f>IFERROR(LOOKUP(Tabla22[[#This Row],[Product]],$R$18:$R$23,$T$18:$T$23)*Tabla22[[#This Row],[QualityBonus]]*Tabla22[[#This Row],[Base price1]]*Tabla22[[#This Row],[Req.]],0)</f>
        <v>6060.4320000000007</v>
      </c>
      <c r="L66" s="71">
        <f>IF(Tabla22[[#This Row],[Req.2]]&gt;0,LOOKUP(Tabla22[[#This Row],[Product2]],$R$18:$R$23,$T$18:$T$23)*Tabla22[[#This Row],[Base price2]]*Tabla22[[#This Row],[Req.2]]*Tabla22[[#This Row],[QualityBonus]],0)</f>
        <v>0</v>
      </c>
      <c r="M66" s="74">
        <f>IFERROR((Tabla22[[#This Row],[Base price1]]-LOOKUP(Tabla22[[#This Row],[Product]],$R$18:$R$23,$S$18:$S$23))*Tabla22[[#This Row],[Req.]],0)</f>
        <v>5832</v>
      </c>
      <c r="N66" s="71">
        <f>IF(Tabla22[[#This Row],[Req.2]]&gt;0,(Tabla22[[#This Row],[Base price2]]-LOOKUP(Tabla22[[#This Row],[Product2]],$R$18:$R$23,$S$18:$S$23))*Tabla22[[#This Row],[Req.2]],0)</f>
        <v>0</v>
      </c>
      <c r="O66" s="74">
        <f>SUM(Tabla22[[#This Row],[Bonus1]:[p2]])</f>
        <v>11892.432000000001</v>
      </c>
      <c r="P66" s="73">
        <f>IF(Tabla22[[#This Row],[QualityBonus]]&gt;0,Tabla22[[#This Row],[No wages]]-$C$4,"")</f>
        <v>-35969.852238442225</v>
      </c>
    </row>
    <row r="67" spans="1:16" x14ac:dyDescent="0.25">
      <c r="A67" s="13">
        <v>51</v>
      </c>
      <c r="B67" s="13" t="s">
        <v>13</v>
      </c>
      <c r="C67" s="66">
        <v>2.7099999999999999E-2</v>
      </c>
      <c r="D67" s="2" t="s">
        <v>53</v>
      </c>
      <c r="E67" s="73">
        <v>42602</v>
      </c>
      <c r="F67" s="5">
        <v>5</v>
      </c>
      <c r="G67" s="2"/>
      <c r="H67" s="71"/>
      <c r="I67" s="5"/>
      <c r="J67" s="74">
        <f>Tabla22[[#This Row],[Base price1]]*Tabla22[[#This Row],[Req.]]+Tabla22[[#This Row],[Base price2]]*Tabla22[[#This Row],[Req.2]]</f>
        <v>213010</v>
      </c>
      <c r="K67" s="71">
        <f>IFERROR(LOOKUP(Tabla22[[#This Row],[Product]],$R$18:$R$23,$T$18:$T$23)*Tabla22[[#This Row],[QualityBonus]]*Tabla22[[#This Row],[Base price1]]*Tabla22[[#This Row],[Req.]],0)</f>
        <v>23090.284</v>
      </c>
      <c r="L67" s="71">
        <f>IF(Tabla22[[#This Row],[Req.2]]&gt;0,LOOKUP(Tabla22[[#This Row],[Product2]],$R$18:$R$23,$T$18:$T$23)*Tabla22[[#This Row],[Base price2]]*Tabla22[[#This Row],[Req.2]]*Tabla22[[#This Row],[QualityBonus]],0)</f>
        <v>0</v>
      </c>
      <c r="M67" s="74">
        <f>IFERROR((Tabla22[[#This Row],[Base price1]]-LOOKUP(Tabla22[[#This Row],[Product]],$R$18:$R$23,$S$18:$S$23))*Tabla22[[#This Row],[Req.]],0)</f>
        <v>43010</v>
      </c>
      <c r="N67" s="71">
        <f>IF(Tabla22[[#This Row],[Req.2]]&gt;0,(Tabla22[[#This Row],[Base price2]]-LOOKUP(Tabla22[[#This Row],[Product2]],$R$18:$R$23,$S$18:$S$23))*Tabla22[[#This Row],[Req.2]],0)</f>
        <v>0</v>
      </c>
      <c r="O67" s="74">
        <f>SUM(Tabla22[[#This Row],[Bonus1]:[p2]])</f>
        <v>66100.284</v>
      </c>
      <c r="P67" s="73">
        <f>IF(Tabla22[[#This Row],[QualityBonus]]&gt;0,Tabla22[[#This Row],[No wages]]-$C$4,"")</f>
        <v>18237.999761557774</v>
      </c>
    </row>
    <row r="68" spans="1:16" x14ac:dyDescent="0.25">
      <c r="A68" s="13">
        <v>52</v>
      </c>
      <c r="B68" s="13" t="s">
        <v>13</v>
      </c>
      <c r="C68" s="66">
        <v>2.9399999999999999E-2</v>
      </c>
      <c r="D68" s="2" t="s">
        <v>27</v>
      </c>
      <c r="E68" s="73">
        <v>825825</v>
      </c>
      <c r="F68" s="5">
        <v>3</v>
      </c>
      <c r="G68" s="2" t="s">
        <v>53</v>
      </c>
      <c r="H68" s="71">
        <v>40101</v>
      </c>
      <c r="I68" s="5">
        <v>5</v>
      </c>
      <c r="J68" s="74">
        <f>Tabla22[[#This Row],[Base price1]]*Tabla22[[#This Row],[Req.]]+Tabla22[[#This Row],[Base price2]]*Tabla22[[#This Row],[Req.2]]</f>
        <v>2677980</v>
      </c>
      <c r="K68" s="71">
        <f>IFERROR(LOOKUP(Tabla22[[#This Row],[Product]],$R$18:$R$23,$T$18:$T$23)*Tabla22[[#This Row],[QualityBonus]]*Tabla22[[#This Row],[Base price1]]*Tabla22[[#This Row],[Req.]],0)</f>
        <v>437026.58999999997</v>
      </c>
      <c r="L68" s="71">
        <f>IF(Tabla22[[#This Row],[Req.2]]&gt;0,LOOKUP(Tabla22[[#This Row],[Product2]],$R$18:$R$23,$T$18:$T$23)*Tabla22[[#This Row],[Base price2]]*Tabla22[[#This Row],[Req.2]]*Tabla22[[#This Row],[QualityBonus]],0)</f>
        <v>23579.387999999999</v>
      </c>
      <c r="M68" s="74">
        <f>IFERROR((Tabla22[[#This Row],[Base price1]]-LOOKUP(Tabla22[[#This Row],[Product]],$R$18:$R$23,$S$18:$S$23))*Tabla22[[#This Row],[Req.]],0)</f>
        <v>-39525</v>
      </c>
      <c r="N68" s="71">
        <f>IF(Tabla22[[#This Row],[Req.2]]&gt;0,(Tabla22[[#This Row],[Base price2]]-LOOKUP(Tabla22[[#This Row],[Product2]],$R$18:$R$23,$S$18:$S$23))*Tabla22[[#This Row],[Req.2]],0)</f>
        <v>30505</v>
      </c>
      <c r="O68" s="74">
        <f>SUM(Tabla22[[#This Row],[Bonus1]:[p2]])</f>
        <v>451585.97799999994</v>
      </c>
      <c r="P68" s="73">
        <f>IF(Tabla22[[#This Row],[QualityBonus]]&gt;0,Tabla22[[#This Row],[No wages]]-$C$4,"")</f>
        <v>403723.69376155769</v>
      </c>
    </row>
    <row r="69" spans="1:16" x14ac:dyDescent="0.25">
      <c r="A69" s="13">
        <v>53</v>
      </c>
      <c r="B69" s="13" t="s">
        <v>13</v>
      </c>
      <c r="C69" s="66">
        <v>2.9600000000000001E-2</v>
      </c>
      <c r="D69" s="2" t="s">
        <v>54</v>
      </c>
      <c r="E69" s="73">
        <v>61467</v>
      </c>
      <c r="F69" s="5">
        <v>1</v>
      </c>
      <c r="G69" s="2"/>
      <c r="H69" s="71"/>
      <c r="I69" s="5"/>
      <c r="J69" s="74">
        <f>Tabla22[[#This Row],[Base price1]]*Tabla22[[#This Row],[Req.]]+Tabla22[[#This Row],[Base price2]]*Tabla22[[#This Row],[Req.2]]</f>
        <v>61467</v>
      </c>
      <c r="K69" s="71">
        <f>IFERROR(LOOKUP(Tabla22[[#This Row],[Product]],$R$18:$R$23,$T$18:$T$23)*Tabla22[[#This Row],[QualityBonus]]*Tabla22[[#This Row],[Base price1]]*Tabla22[[#This Row],[Req.]],0)</f>
        <v>9097.1160000000018</v>
      </c>
      <c r="L69" s="71">
        <f>IF(Tabla22[[#This Row],[Req.2]]&gt;0,LOOKUP(Tabla22[[#This Row],[Product2]],$R$18:$R$23,$T$18:$T$23)*Tabla22[[#This Row],[Base price2]]*Tabla22[[#This Row],[Req.2]]*Tabla22[[#This Row],[QualityBonus]],0)</f>
        <v>0</v>
      </c>
      <c r="M69" s="74">
        <f>IFERROR((Tabla22[[#This Row],[Base price1]]-LOOKUP(Tabla22[[#This Row],[Product]],$R$18:$R$23,$S$18:$S$23))*Tabla22[[#This Row],[Req.]],0)</f>
        <v>4967</v>
      </c>
      <c r="N69" s="71">
        <f>IF(Tabla22[[#This Row],[Req.2]]&gt;0,(Tabla22[[#This Row],[Base price2]]-LOOKUP(Tabla22[[#This Row],[Product2]],$R$18:$R$23,$S$18:$S$23))*Tabla22[[#This Row],[Req.2]],0)</f>
        <v>0</v>
      </c>
      <c r="O69" s="74">
        <f>SUM(Tabla22[[#This Row],[Bonus1]:[p2]])</f>
        <v>14064.116000000002</v>
      </c>
      <c r="P69" s="73">
        <f>IF(Tabla22[[#This Row],[QualityBonus]]&gt;0,Tabla22[[#This Row],[No wages]]-$C$4,"")</f>
        <v>-33798.168238442224</v>
      </c>
    </row>
    <row r="70" spans="1:16" x14ac:dyDescent="0.25">
      <c r="A70" s="13">
        <v>54</v>
      </c>
      <c r="B70" s="13" t="s">
        <v>13</v>
      </c>
      <c r="C70" s="66">
        <v>1.9099999999999999E-2</v>
      </c>
      <c r="D70" s="2" t="s">
        <v>52</v>
      </c>
      <c r="E70" s="73">
        <v>119307</v>
      </c>
      <c r="F70" s="5">
        <v>1</v>
      </c>
      <c r="G70" s="2" t="s">
        <v>53</v>
      </c>
      <c r="H70" s="71">
        <v>42570</v>
      </c>
      <c r="I70" s="5">
        <v>3</v>
      </c>
      <c r="J70" s="74">
        <f>Tabla22[[#This Row],[Base price1]]*Tabla22[[#This Row],[Req.]]+Tabla22[[#This Row],[Base price2]]*Tabla22[[#This Row],[Req.2]]</f>
        <v>247017</v>
      </c>
      <c r="K70" s="71">
        <f>IFERROR(LOOKUP(Tabla22[[#This Row],[Product]],$R$18:$R$23,$T$18:$T$23)*Tabla22[[#This Row],[QualityBonus]]*Tabla22[[#This Row],[Base price1]]*Tabla22[[#This Row],[Req.]],0)</f>
        <v>13672.582199999999</v>
      </c>
      <c r="L70" s="71">
        <f>IF(Tabla22[[#This Row],[Req.2]]&gt;0,LOOKUP(Tabla22[[#This Row],[Product2]],$R$18:$R$23,$T$18:$T$23)*Tabla22[[#This Row],[Base price2]]*Tabla22[[#This Row],[Req.2]]*Tabla22[[#This Row],[QualityBonus]],0)</f>
        <v>9757.0439999999999</v>
      </c>
      <c r="M70" s="74">
        <f>IFERROR((Tabla22[[#This Row],[Base price1]]-LOOKUP(Tabla22[[#This Row],[Product]],$R$18:$R$23,$S$18:$S$23))*Tabla22[[#This Row],[Req.]],0)</f>
        <v>3307</v>
      </c>
      <c r="N70" s="71">
        <f>IF(Tabla22[[#This Row],[Req.2]]&gt;0,(Tabla22[[#This Row],[Base price2]]-LOOKUP(Tabla22[[#This Row],[Product2]],$R$18:$R$23,$S$18:$S$23))*Tabla22[[#This Row],[Req.2]],0)</f>
        <v>25710</v>
      </c>
      <c r="O70" s="74">
        <f>SUM(Tabla22[[#This Row],[Bonus1]:[p2]])</f>
        <v>52446.626199999999</v>
      </c>
      <c r="P70" s="73">
        <f>IF(Tabla22[[#This Row],[QualityBonus]]&gt;0,Tabla22[[#This Row],[No wages]]-$C$4,"")</f>
        <v>4584.3419615577732</v>
      </c>
    </row>
    <row r="71" spans="1:16" x14ac:dyDescent="0.25">
      <c r="A71" s="13">
        <v>55</v>
      </c>
      <c r="B71" s="13" t="s">
        <v>13</v>
      </c>
      <c r="C71" s="66">
        <v>1.61E-2</v>
      </c>
      <c r="D71" s="2" t="s">
        <v>54</v>
      </c>
      <c r="E71" s="71">
        <v>61283</v>
      </c>
      <c r="F71" s="4">
        <v>1</v>
      </c>
      <c r="G71" s="2"/>
      <c r="H71" s="71"/>
      <c r="I71" s="4"/>
      <c r="J71" s="74">
        <f>Tabla22[[#This Row],[Base price1]]*Tabla22[[#This Row],[Req.]]+Tabla22[[#This Row],[Base price2]]*Tabla22[[#This Row],[Req.2]]</f>
        <v>61283</v>
      </c>
      <c r="K71" s="71">
        <f>IFERROR(LOOKUP(Tabla22[[#This Row],[Product]],$R$18:$R$23,$T$18:$T$23)*Tabla22[[#This Row],[QualityBonus]]*Tabla22[[#This Row],[Base price1]]*Tabla22[[#This Row],[Req.]],0)</f>
        <v>4933.2815000000001</v>
      </c>
      <c r="L71" s="71">
        <f>IF(Tabla22[[#This Row],[Req.2]]&gt;0,LOOKUP(Tabla22[[#This Row],[Product2]],$R$18:$R$23,$T$18:$T$23)*Tabla22[[#This Row],[Base price2]]*Tabla22[[#This Row],[Req.2]]*Tabla22[[#This Row],[QualityBonus]],0)</f>
        <v>0</v>
      </c>
      <c r="M71" s="74">
        <f>IFERROR((Tabla22[[#This Row],[Base price1]]-LOOKUP(Tabla22[[#This Row],[Product]],$R$18:$R$23,$S$18:$S$23))*Tabla22[[#This Row],[Req.]],0)</f>
        <v>4783</v>
      </c>
      <c r="N71" s="71">
        <f>IF(Tabla22[[#This Row],[Req.2]]&gt;0,(Tabla22[[#This Row],[Base price2]]-LOOKUP(Tabla22[[#This Row],[Product2]],$R$18:$R$23,$S$18:$S$23))*Tabla22[[#This Row],[Req.2]],0)</f>
        <v>0</v>
      </c>
      <c r="O71" s="74">
        <f>SUM(Tabla22[[#This Row],[Bonus1]:[p2]])</f>
        <v>9716.281500000001</v>
      </c>
      <c r="P71" s="71">
        <f>IF(Tabla22[[#This Row],[QualityBonus]]&gt;0,Tabla22[[#This Row],[No wages]]-$C$4,"")</f>
        <v>-38146.002738442228</v>
      </c>
    </row>
    <row r="72" spans="1:16" x14ac:dyDescent="0.25">
      <c r="A72" s="24">
        <v>56</v>
      </c>
      <c r="B72" s="24" t="s">
        <v>13</v>
      </c>
      <c r="C72" s="44">
        <v>2.1899999999999999E-2</v>
      </c>
      <c r="D72" s="37" t="s">
        <v>55</v>
      </c>
      <c r="E72" s="72">
        <v>84255</v>
      </c>
      <c r="F72" s="39">
        <v>1</v>
      </c>
      <c r="G72" s="37" t="s">
        <v>54</v>
      </c>
      <c r="H72" s="72">
        <v>59249</v>
      </c>
      <c r="I72" s="39">
        <v>1</v>
      </c>
      <c r="J72" s="75">
        <f>Tabla22[[#This Row],[Base price1]]*Tabla22[[#This Row],[Req.]]+Tabla22[[#This Row],[Base price2]]*Tabla22[[#This Row],[Req.2]]</f>
        <v>143504</v>
      </c>
      <c r="K72" s="72">
        <f>IFERROR(LOOKUP(Tabla22[[#This Row],[Product]],$R$18:$R$23,$T$18:$T$23)*Tabla22[[#This Row],[QualityBonus]]*Tabla22[[#This Row],[Base price1]]*Tabla22[[#This Row],[Req.]],0)</f>
        <v>7380.7379999999994</v>
      </c>
      <c r="L72" s="72">
        <f>IF(Tabla22[[#This Row],[Req.2]]&gt;0,LOOKUP(Tabla22[[#This Row],[Product2]],$R$18:$R$23,$T$18:$T$23)*Tabla22[[#This Row],[Base price2]]*Tabla22[[#This Row],[Req.2]]*Tabla22[[#This Row],[QualityBonus]],0)</f>
        <v>6487.7654999999995</v>
      </c>
      <c r="M72" s="75">
        <f>IFERROR((Tabla22[[#This Row],[Base price1]]-LOOKUP(Tabla22[[#This Row],[Product]],$R$18:$R$23,$S$18:$S$23))*Tabla22[[#This Row],[Req.]],0)</f>
        <v>7255</v>
      </c>
      <c r="N72" s="72">
        <f>IF(Tabla22[[#This Row],[Req.2]]&gt;0,(Tabla22[[#This Row],[Base price2]]-LOOKUP(Tabla22[[#This Row],[Product2]],$R$18:$R$23,$S$18:$S$23))*Tabla22[[#This Row],[Req.2]],0)</f>
        <v>2749</v>
      </c>
      <c r="O72" s="75">
        <f>SUM(Tabla22[[#This Row],[Bonus1]:[p2]])</f>
        <v>23872.503499999999</v>
      </c>
      <c r="P72" s="72">
        <f>IF(Tabla22[[#This Row],[QualityBonus]]&gt;0,Tabla22[[#This Row],[No wages]]-$C$4,"")</f>
        <v>-23989.780738442227</v>
      </c>
    </row>
    <row r="73" spans="1:16" x14ac:dyDescent="0.25">
      <c r="A73" s="13">
        <v>57</v>
      </c>
      <c r="B73" s="13" t="s">
        <v>13</v>
      </c>
      <c r="C73" s="66">
        <v>1.5800000000000002E-2</v>
      </c>
      <c r="D73" s="2" t="s">
        <v>54</v>
      </c>
      <c r="E73" s="73">
        <v>62381</v>
      </c>
      <c r="F73" s="5">
        <v>2</v>
      </c>
      <c r="G73" s="2" t="s">
        <v>53</v>
      </c>
      <c r="H73" s="71">
        <v>41862</v>
      </c>
      <c r="I73" s="5">
        <v>3</v>
      </c>
      <c r="J73" s="74">
        <f>Tabla22[[#This Row],[Base price1]]*Tabla22[[#This Row],[Req.]]+Tabla22[[#This Row],[Base price2]]*Tabla22[[#This Row],[Req.2]]</f>
        <v>250348</v>
      </c>
      <c r="K73" s="71">
        <f>IFERROR(LOOKUP(Tabla22[[#This Row],[Product]],$R$18:$R$23,$T$18:$T$23)*Tabla22[[#This Row],[QualityBonus]]*Tabla22[[#This Row],[Base price1]]*Tabla22[[#This Row],[Req.]],0)</f>
        <v>9856.1980000000021</v>
      </c>
      <c r="L73" s="71">
        <f>IF(Tabla22[[#This Row],[Req.2]]&gt;0,LOOKUP(Tabla22[[#This Row],[Product2]],$R$18:$R$23,$T$18:$T$23)*Tabla22[[#This Row],[Base price2]]*Tabla22[[#This Row],[Req.2]]*Tabla22[[#This Row],[QualityBonus]],0)</f>
        <v>7937.0352000000012</v>
      </c>
      <c r="M73" s="74">
        <f>IFERROR((Tabla22[[#This Row],[Base price1]]-LOOKUP(Tabla22[[#This Row],[Product]],$R$18:$R$23,$S$18:$S$23))*Tabla22[[#This Row],[Req.]],0)</f>
        <v>11762</v>
      </c>
      <c r="N73" s="71">
        <f>IF(Tabla22[[#This Row],[Req.2]]&gt;0,(Tabla22[[#This Row],[Base price2]]-LOOKUP(Tabla22[[#This Row],[Product2]],$R$18:$R$23,$S$18:$S$23))*Tabla22[[#This Row],[Req.2]],0)</f>
        <v>23586</v>
      </c>
      <c r="O73" s="74">
        <f>SUM(Tabla22[[#This Row],[Bonus1]:[p2]])</f>
        <v>53141.233200000002</v>
      </c>
      <c r="P73" s="73">
        <f>IF(Tabla22[[#This Row],[QualityBonus]]&gt;0,Tabla22[[#This Row],[No wages]]-$C$4,"")</f>
        <v>5278.9489615577768</v>
      </c>
    </row>
    <row r="74" spans="1:16" x14ac:dyDescent="0.25">
      <c r="A74" s="13">
        <v>58</v>
      </c>
      <c r="B74" s="13" t="s">
        <v>13</v>
      </c>
      <c r="C74" s="66">
        <v>1.21E-2</v>
      </c>
      <c r="D74" s="2" t="s">
        <v>53</v>
      </c>
      <c r="E74" s="73">
        <v>40404</v>
      </c>
      <c r="F74" s="5">
        <v>2</v>
      </c>
      <c r="G74" s="2" t="s">
        <v>52</v>
      </c>
      <c r="H74" s="71">
        <v>121380</v>
      </c>
      <c r="I74" s="5">
        <v>2</v>
      </c>
      <c r="J74" s="74">
        <f>Tabla22[[#This Row],[Base price1]]*Tabla22[[#This Row],[Req.]]+Tabla22[[#This Row],[Base price2]]*Tabla22[[#This Row],[Req.2]]</f>
        <v>323568</v>
      </c>
      <c r="K74" s="71">
        <f>IFERROR(LOOKUP(Tabla22[[#This Row],[Product]],$R$18:$R$23,$T$18:$T$23)*Tabla22[[#This Row],[QualityBonus]]*Tabla22[[#This Row],[Base price1]]*Tabla22[[#This Row],[Req.]],0)</f>
        <v>3911.1071999999999</v>
      </c>
      <c r="L74" s="71">
        <f>IF(Tabla22[[#This Row],[Req.2]]&gt;0,LOOKUP(Tabla22[[#This Row],[Product2]],$R$18:$R$23,$T$18:$T$23)*Tabla22[[#This Row],[Base price2]]*Tabla22[[#This Row],[Req.2]]*Tabla22[[#This Row],[QualityBonus]],0)</f>
        <v>17624.376</v>
      </c>
      <c r="M74" s="74">
        <f>IFERROR((Tabla22[[#This Row],[Base price1]]-LOOKUP(Tabla22[[#This Row],[Product]],$R$18:$R$23,$S$18:$S$23))*Tabla22[[#This Row],[Req.]],0)</f>
        <v>12808</v>
      </c>
      <c r="N74" s="71">
        <f>IF(Tabla22[[#This Row],[Req.2]]&gt;0,(Tabla22[[#This Row],[Base price2]]-LOOKUP(Tabla22[[#This Row],[Product2]],$R$18:$R$23,$S$18:$S$23))*Tabla22[[#This Row],[Req.2]],0)</f>
        <v>10760</v>
      </c>
      <c r="O74" s="74">
        <f>SUM(Tabla22[[#This Row],[Bonus1]:[p2]])</f>
        <v>45103.483200000002</v>
      </c>
      <c r="P74" s="73">
        <f>IF(Tabla22[[#This Row],[QualityBonus]]&gt;0,Tabla22[[#This Row],[No wages]]-$C$4,"")</f>
        <v>-2758.8010384422232</v>
      </c>
    </row>
    <row r="75" spans="1:16" x14ac:dyDescent="0.25">
      <c r="A75" s="13">
        <v>59</v>
      </c>
      <c r="B75" s="13" t="s">
        <v>13</v>
      </c>
      <c r="C75" s="66">
        <v>1.1599999999999999E-2</v>
      </c>
      <c r="D75" s="2" t="s">
        <v>54</v>
      </c>
      <c r="E75" s="73">
        <v>62536</v>
      </c>
      <c r="F75" s="5">
        <v>4</v>
      </c>
      <c r="G75" s="2" t="s">
        <v>53</v>
      </c>
      <c r="H75" s="71">
        <v>41912</v>
      </c>
      <c r="I75" s="5">
        <v>2</v>
      </c>
      <c r="J75" s="74">
        <f>Tabla22[[#This Row],[Base price1]]*Tabla22[[#This Row],[Req.]]+Tabla22[[#This Row],[Base price2]]*Tabla22[[#This Row],[Req.2]]</f>
        <v>333968</v>
      </c>
      <c r="K75" s="71">
        <f>IFERROR(LOOKUP(Tabla22[[#This Row],[Product]],$R$18:$R$23,$T$18:$T$23)*Tabla22[[#This Row],[QualityBonus]]*Tabla22[[#This Row],[Base price1]]*Tabla22[[#This Row],[Req.]],0)</f>
        <v>14508.351999999999</v>
      </c>
      <c r="L75" s="71">
        <f>IF(Tabla22[[#This Row],[Req.2]]&gt;0,LOOKUP(Tabla22[[#This Row],[Product2]],$R$18:$R$23,$T$18:$T$23)*Tabla22[[#This Row],[Base price2]]*Tabla22[[#This Row],[Req.2]]*Tabla22[[#This Row],[QualityBonus]],0)</f>
        <v>3889.4335999999998</v>
      </c>
      <c r="M75" s="74">
        <f>IFERROR((Tabla22[[#This Row],[Base price1]]-LOOKUP(Tabla22[[#This Row],[Product]],$R$18:$R$23,$S$18:$S$23))*Tabla22[[#This Row],[Req.]],0)</f>
        <v>24144</v>
      </c>
      <c r="N75" s="71">
        <f>IF(Tabla22[[#This Row],[Req.2]]&gt;0,(Tabla22[[#This Row],[Base price2]]-LOOKUP(Tabla22[[#This Row],[Product2]],$R$18:$R$23,$S$18:$S$23))*Tabla22[[#This Row],[Req.2]],0)</f>
        <v>15824</v>
      </c>
      <c r="O75" s="74">
        <f>SUM(Tabla22[[#This Row],[Bonus1]:[p2]])</f>
        <v>58365.785600000003</v>
      </c>
      <c r="P75" s="73">
        <f>IF(Tabla22[[#This Row],[QualityBonus]]&gt;0,Tabla22[[#This Row],[No wages]]-$C$4,"")</f>
        <v>10503.501361557777</v>
      </c>
    </row>
    <row r="76" spans="1:16" x14ac:dyDescent="0.25">
      <c r="A76" s="13">
        <v>60</v>
      </c>
      <c r="B76" s="13" t="s">
        <v>13</v>
      </c>
      <c r="C76" s="66">
        <v>2.0299999999999999E-2</v>
      </c>
      <c r="D76" s="2" t="s">
        <v>53</v>
      </c>
      <c r="E76" s="73">
        <v>40580</v>
      </c>
      <c r="F76" s="5">
        <v>4</v>
      </c>
      <c r="G76" s="2" t="s">
        <v>54</v>
      </c>
      <c r="H76" s="71">
        <v>59385</v>
      </c>
      <c r="I76" s="5">
        <v>1</v>
      </c>
      <c r="J76" s="74">
        <f>Tabla22[[#This Row],[Base price1]]*Tabla22[[#This Row],[Req.]]+Tabla22[[#This Row],[Base price2]]*Tabla22[[#This Row],[Req.2]]</f>
        <v>221705</v>
      </c>
      <c r="K76" s="71">
        <f>IFERROR(LOOKUP(Tabla22[[#This Row],[Product]],$R$18:$R$23,$T$18:$T$23)*Tabla22[[#This Row],[QualityBonus]]*Tabla22[[#This Row],[Base price1]]*Tabla22[[#This Row],[Req.]],0)</f>
        <v>13180.383999999998</v>
      </c>
      <c r="L76" s="71">
        <f>IF(Tabla22[[#This Row],[Req.2]]&gt;0,LOOKUP(Tabla22[[#This Row],[Product2]],$R$18:$R$23,$T$18:$T$23)*Tabla22[[#This Row],[Base price2]]*Tabla22[[#This Row],[Req.2]]*Tabla22[[#This Row],[QualityBonus]],0)</f>
        <v>6027.5774999999994</v>
      </c>
      <c r="M76" s="74">
        <f>IFERROR((Tabla22[[#This Row],[Base price1]]-LOOKUP(Tabla22[[#This Row],[Product]],$R$18:$R$23,$S$18:$S$23))*Tabla22[[#This Row],[Req.]],0)</f>
        <v>26320</v>
      </c>
      <c r="N76" s="71">
        <f>IF(Tabla22[[#This Row],[Req.2]]&gt;0,(Tabla22[[#This Row],[Base price2]]-LOOKUP(Tabla22[[#This Row],[Product2]],$R$18:$R$23,$S$18:$S$23))*Tabla22[[#This Row],[Req.2]],0)</f>
        <v>2885</v>
      </c>
      <c r="O76" s="74">
        <f>SUM(Tabla22[[#This Row],[Bonus1]:[p2]])</f>
        <v>48412.961499999998</v>
      </c>
      <c r="P76" s="73">
        <f>IF(Tabla22[[#This Row],[QualityBonus]]&gt;0,Tabla22[[#This Row],[No wages]]-$C$4,"")</f>
        <v>550.677261557772</v>
      </c>
    </row>
    <row r="77" spans="1:16" x14ac:dyDescent="0.25">
      <c r="A77" s="13">
        <v>61</v>
      </c>
      <c r="B77" s="13" t="s">
        <v>13</v>
      </c>
      <c r="C77" s="66">
        <v>2.2200000000000001E-2</v>
      </c>
      <c r="D77" s="2" t="s">
        <v>56</v>
      </c>
      <c r="E77" s="73">
        <v>222195</v>
      </c>
      <c r="F77" s="5">
        <v>1</v>
      </c>
      <c r="G77" s="2" t="s">
        <v>52</v>
      </c>
      <c r="H77" s="73">
        <v>117614</v>
      </c>
      <c r="I77" s="5">
        <v>3</v>
      </c>
      <c r="J77" s="74">
        <f>Tabla22[[#This Row],[Base price1]]*Tabla22[[#This Row],[Req.]]+Tabla22[[#This Row],[Base price2]]*Tabla22[[#This Row],[Req.2]]</f>
        <v>575037</v>
      </c>
      <c r="K77" s="71">
        <f>IFERROR(LOOKUP(Tabla22[[#This Row],[Product]],$R$18:$R$23,$T$18:$T$23)*Tabla22[[#This Row],[QualityBonus]]*Tabla22[[#This Row],[Base price1]]*Tabla22[[#This Row],[Req.]],0)</f>
        <v>14798.187000000002</v>
      </c>
      <c r="L77" s="71">
        <f>IF(Tabla22[[#This Row],[Req.2]]&gt;0,LOOKUP(Tabla22[[#This Row],[Product2]],$R$18:$R$23,$T$18:$T$23)*Tabla22[[#This Row],[Base price2]]*Tabla22[[#This Row],[Req.2]]*Tabla22[[#This Row],[QualityBonus]],0)</f>
        <v>46998.554400000001</v>
      </c>
      <c r="M77" s="74">
        <f>IFERROR((Tabla22[[#This Row],[Base price1]]-LOOKUP(Tabla22[[#This Row],[Product]],$R$18:$R$23,$S$18:$S$23))*Tabla22[[#This Row],[Req.]],0)</f>
        <v>1195</v>
      </c>
      <c r="N77" s="71">
        <f>IF(Tabla22[[#This Row],[Req.2]]&gt;0,(Tabla22[[#This Row],[Base price2]]-LOOKUP(Tabla22[[#This Row],[Product2]],$R$18:$R$23,$S$18:$S$23))*Tabla22[[#This Row],[Req.2]],0)</f>
        <v>4842</v>
      </c>
      <c r="O77" s="74">
        <f>SUM(Tabla22[[#This Row],[Bonus1]:[p2]])</f>
        <v>67833.741399999999</v>
      </c>
      <c r="P77" s="73">
        <f>IF(Tabla22[[#This Row],[QualityBonus]]&gt;0,Tabla22[[#This Row],[No wages]]-$C$4,"")</f>
        <v>19971.457161557773</v>
      </c>
    </row>
    <row r="78" spans="1:16" x14ac:dyDescent="0.25">
      <c r="A78" s="13">
        <v>62</v>
      </c>
      <c r="B78" s="13" t="s">
        <v>13</v>
      </c>
      <c r="C78" s="66">
        <v>2.1299999999999999E-2</v>
      </c>
      <c r="D78" s="2" t="s">
        <v>52</v>
      </c>
      <c r="E78" s="73">
        <v>120518</v>
      </c>
      <c r="F78" s="5">
        <v>1</v>
      </c>
      <c r="G78" s="2" t="s">
        <v>53</v>
      </c>
      <c r="H78" s="73">
        <v>40446</v>
      </c>
      <c r="I78" s="5">
        <v>3</v>
      </c>
      <c r="J78" s="74">
        <f>Tabla22[[#This Row],[Base price1]]*Tabla22[[#This Row],[Req.]]+Tabla22[[#This Row],[Base price2]]*Tabla22[[#This Row],[Req.2]]</f>
        <v>241856</v>
      </c>
      <c r="K78" s="71">
        <f>IFERROR(LOOKUP(Tabla22[[#This Row],[Product]],$R$18:$R$23,$T$18:$T$23)*Tabla22[[#This Row],[QualityBonus]]*Tabla22[[#This Row],[Base price1]]*Tabla22[[#This Row],[Req.]],0)</f>
        <v>15402.2004</v>
      </c>
      <c r="L78" s="71">
        <f>IF(Tabla22[[#This Row],[Req.2]]&gt;0,LOOKUP(Tabla22[[#This Row],[Product2]],$R$18:$R$23,$T$18:$T$23)*Tabla22[[#This Row],[Base price2]]*Tabla22[[#This Row],[Req.2]]*Tabla22[[#This Row],[QualityBonus]],0)</f>
        <v>10337.997600000001</v>
      </c>
      <c r="M78" s="74">
        <f>IFERROR((Tabla22[[#This Row],[Base price1]]-LOOKUP(Tabla22[[#This Row],[Product]],$R$18:$R$23,$S$18:$S$23))*Tabla22[[#This Row],[Req.]],0)</f>
        <v>4518</v>
      </c>
      <c r="N78" s="71">
        <f>IF(Tabla22[[#This Row],[Req.2]]&gt;0,(Tabla22[[#This Row],[Base price2]]-LOOKUP(Tabla22[[#This Row],[Product2]],$R$18:$R$23,$S$18:$S$23))*Tabla22[[#This Row],[Req.2]],0)</f>
        <v>19338</v>
      </c>
      <c r="O78" s="74">
        <f>SUM(Tabla22[[#This Row],[Bonus1]:[p2]])</f>
        <v>49596.198000000004</v>
      </c>
      <c r="P78" s="73">
        <f>IF(Tabla22[[#This Row],[QualityBonus]]&gt;0,Tabla22[[#This Row],[No wages]]-$C$4,"")</f>
        <v>1733.9137615577783</v>
      </c>
    </row>
    <row r="79" spans="1:16" x14ac:dyDescent="0.25">
      <c r="A79" s="13">
        <v>63</v>
      </c>
      <c r="B79" s="13" t="s">
        <v>13</v>
      </c>
      <c r="C79" s="66">
        <v>2.75E-2</v>
      </c>
      <c r="D79" s="2" t="s">
        <v>53</v>
      </c>
      <c r="E79" s="73">
        <v>40932</v>
      </c>
      <c r="F79" s="5">
        <v>2</v>
      </c>
      <c r="G79" s="2" t="s">
        <v>54</v>
      </c>
      <c r="H79" s="73">
        <v>59663</v>
      </c>
      <c r="I79" s="5">
        <v>4</v>
      </c>
      <c r="J79" s="74">
        <f>Tabla22[[#This Row],[Base price1]]*Tabla22[[#This Row],[Req.]]+Tabla22[[#This Row],[Base price2]]*Tabla22[[#This Row],[Req.2]]</f>
        <v>320516</v>
      </c>
      <c r="K79" s="71">
        <f>IFERROR(LOOKUP(Tabla22[[#This Row],[Product]],$R$18:$R$23,$T$18:$T$23)*Tabla22[[#This Row],[QualityBonus]]*Tabla22[[#This Row],[Base price1]]*Tabla22[[#This Row],[Req.]],0)</f>
        <v>9005.0400000000009</v>
      </c>
      <c r="L79" s="71">
        <f>IF(Tabla22[[#This Row],[Req.2]]&gt;0,LOOKUP(Tabla22[[#This Row],[Product2]],$R$18:$R$23,$T$18:$T$23)*Tabla22[[#This Row],[Base price2]]*Tabla22[[#This Row],[Req.2]]*Tabla22[[#This Row],[QualityBonus]],0)</f>
        <v>32814.65</v>
      </c>
      <c r="M79" s="74">
        <f>IFERROR((Tabla22[[#This Row],[Base price1]]-LOOKUP(Tabla22[[#This Row],[Product]],$R$18:$R$23,$S$18:$S$23))*Tabla22[[#This Row],[Req.]],0)</f>
        <v>13864</v>
      </c>
      <c r="N79" s="71">
        <f>IF(Tabla22[[#This Row],[Req.2]]&gt;0,(Tabla22[[#This Row],[Base price2]]-LOOKUP(Tabla22[[#This Row],[Product2]],$R$18:$R$23,$S$18:$S$23))*Tabla22[[#This Row],[Req.2]],0)</f>
        <v>12652</v>
      </c>
      <c r="O79" s="74">
        <f>SUM(Tabla22[[#This Row],[Bonus1]:[p2]])</f>
        <v>68335.69</v>
      </c>
      <c r="P79" s="73">
        <f>IF(Tabla22[[#This Row],[QualityBonus]]&gt;0,Tabla22[[#This Row],[No wages]]-$C$4,"")</f>
        <v>20473.405761557777</v>
      </c>
    </row>
    <row r="80" spans="1:16" x14ac:dyDescent="0.25">
      <c r="A80" s="13">
        <v>64</v>
      </c>
      <c r="B80" s="13" t="s">
        <v>13</v>
      </c>
      <c r="C80" s="66">
        <v>2.0400000000000001E-2</v>
      </c>
      <c r="D80" s="2" t="s">
        <v>53</v>
      </c>
      <c r="E80" s="73">
        <v>40605</v>
      </c>
      <c r="F80" s="5">
        <v>3</v>
      </c>
      <c r="G80" s="2" t="s">
        <v>54</v>
      </c>
      <c r="H80" s="73">
        <v>62919</v>
      </c>
      <c r="I80" s="5">
        <v>1</v>
      </c>
      <c r="J80" s="74">
        <f>Tabla22[[#This Row],[Base price1]]*Tabla22[[#This Row],[Req.]]+Tabla22[[#This Row],[Base price2]]*Tabla22[[#This Row],[Req.2]]</f>
        <v>184734</v>
      </c>
      <c r="K80" s="71">
        <f>IFERROR(LOOKUP(Tabla22[[#This Row],[Product]],$R$18:$R$23,$T$18:$T$23)*Tabla22[[#This Row],[QualityBonus]]*Tabla22[[#This Row],[Base price1]]*Tabla22[[#This Row],[Req.]],0)</f>
        <v>9940.1040000000012</v>
      </c>
      <c r="L80" s="71">
        <f>IF(Tabla22[[#This Row],[Req.2]]&gt;0,LOOKUP(Tabla22[[#This Row],[Product2]],$R$18:$R$23,$T$18:$T$23)*Tabla22[[#This Row],[Base price2]]*Tabla22[[#This Row],[Req.2]]*Tabla22[[#This Row],[QualityBonus]],0)</f>
        <v>6417.7380000000003</v>
      </c>
      <c r="M80" s="74">
        <f>IFERROR((Tabla22[[#This Row],[Base price1]]-LOOKUP(Tabla22[[#This Row],[Product]],$R$18:$R$23,$S$18:$S$23))*Tabla22[[#This Row],[Req.]],0)</f>
        <v>19815</v>
      </c>
      <c r="N80" s="71">
        <f>IF(Tabla22[[#This Row],[Req.2]]&gt;0,(Tabla22[[#This Row],[Base price2]]-LOOKUP(Tabla22[[#This Row],[Product2]],$R$18:$R$23,$S$18:$S$23))*Tabla22[[#This Row],[Req.2]],0)</f>
        <v>6419</v>
      </c>
      <c r="O80" s="74">
        <f>SUM(Tabla22[[#This Row],[Bonus1]:[p2]])</f>
        <v>42591.842000000004</v>
      </c>
      <c r="P80" s="73">
        <f>IF(Tabla22[[#This Row],[QualityBonus]]&gt;0,Tabla22[[#This Row],[No wages]]-$C$4,"")</f>
        <v>-5270.4422384422214</v>
      </c>
    </row>
    <row r="81" spans="1:16" x14ac:dyDescent="0.25">
      <c r="A81" s="13">
        <v>65</v>
      </c>
      <c r="B81" s="13" t="s">
        <v>13</v>
      </c>
      <c r="C81" s="66">
        <v>1.9699999999999999E-2</v>
      </c>
      <c r="D81" s="2" t="s">
        <v>53</v>
      </c>
      <c r="E81" s="73">
        <v>41913</v>
      </c>
      <c r="F81" s="5">
        <v>2</v>
      </c>
      <c r="G81" s="2" t="s">
        <v>54</v>
      </c>
      <c r="H81" s="73">
        <v>59770</v>
      </c>
      <c r="I81" s="5">
        <v>1</v>
      </c>
      <c r="J81" s="74">
        <f>Tabla22[[#This Row],[Base price1]]*Tabla22[[#This Row],[Req.]]+Tabla22[[#This Row],[Base price2]]*Tabla22[[#This Row],[Req.2]]</f>
        <v>143596</v>
      </c>
      <c r="K81" s="71">
        <f>IFERROR(LOOKUP(Tabla22[[#This Row],[Product]],$R$18:$R$23,$T$18:$T$23)*Tabla22[[#This Row],[QualityBonus]]*Tabla22[[#This Row],[Base price1]]*Tabla22[[#This Row],[Req.]],0)</f>
        <v>6605.4887999999992</v>
      </c>
      <c r="L81" s="71">
        <f>IF(Tabla22[[#This Row],[Req.2]]&gt;0,LOOKUP(Tabla22[[#This Row],[Product2]],$R$18:$R$23,$T$18:$T$23)*Tabla22[[#This Row],[Base price2]]*Tabla22[[#This Row],[Req.2]]*Tabla22[[#This Row],[QualityBonus]],0)</f>
        <v>5887.3449999999993</v>
      </c>
      <c r="M81" s="74">
        <f>IFERROR((Tabla22[[#This Row],[Base price1]]-LOOKUP(Tabla22[[#This Row],[Product]],$R$18:$R$23,$S$18:$S$23))*Tabla22[[#This Row],[Req.]],0)</f>
        <v>15826</v>
      </c>
      <c r="N81" s="71">
        <f>IF(Tabla22[[#This Row],[Req.2]]&gt;0,(Tabla22[[#This Row],[Base price2]]-LOOKUP(Tabla22[[#This Row],[Product2]],$R$18:$R$23,$S$18:$S$23))*Tabla22[[#This Row],[Req.2]],0)</f>
        <v>3270</v>
      </c>
      <c r="O81" s="74">
        <f>SUM(Tabla22[[#This Row],[Bonus1]:[p2]])</f>
        <v>31588.8338</v>
      </c>
      <c r="P81" s="73">
        <f>IF(Tabla22[[#This Row],[QualityBonus]]&gt;0,Tabla22[[#This Row],[No wages]]-$C$4,"")</f>
        <v>-16273.450438442225</v>
      </c>
    </row>
    <row r="82" spans="1:16" x14ac:dyDescent="0.25">
      <c r="A82" s="13">
        <v>66</v>
      </c>
      <c r="B82" s="13" t="s">
        <v>13</v>
      </c>
      <c r="C82" s="66">
        <v>2.5700000000000001E-2</v>
      </c>
      <c r="D82" s="2" t="s">
        <v>54</v>
      </c>
      <c r="E82" s="73">
        <v>59654</v>
      </c>
      <c r="F82" s="5">
        <v>4</v>
      </c>
      <c r="G82" s="2" t="s">
        <v>53</v>
      </c>
      <c r="H82" s="73">
        <v>42145</v>
      </c>
      <c r="I82" s="5">
        <v>3</v>
      </c>
      <c r="J82" s="74">
        <f>Tabla22[[#This Row],[Base price1]]*Tabla22[[#This Row],[Req.]]+Tabla22[[#This Row],[Base price2]]*Tabla22[[#This Row],[Req.2]]</f>
        <v>365051</v>
      </c>
      <c r="K82" s="73">
        <f>IFERROR(LOOKUP(Tabla22[[#This Row],[Product]],$R$18:$R$23,$T$18:$T$23)*Tabla22[[#This Row],[QualityBonus]]*Tabla22[[#This Row],[Base price1]]*Tabla22[[#This Row],[Req.]],0)</f>
        <v>30662.155999999999</v>
      </c>
      <c r="L82" s="71">
        <f>IF(Tabla22[[#This Row],[Req.2]]&gt;0,LOOKUP(Tabla22[[#This Row],[Product2]],$R$18:$R$23,$T$18:$T$23)*Tabla22[[#This Row],[Base price2]]*Tabla22[[#This Row],[Req.2]]*Tabla22[[#This Row],[QualityBonus]],0)</f>
        <v>12997.518</v>
      </c>
      <c r="M82" s="74">
        <f>IFERROR((Tabla22[[#This Row],[Base price1]]-LOOKUP(Tabla22[[#This Row],[Product]],$R$18:$R$23,$S$18:$S$23))*Tabla22[[#This Row],[Req.]],0)</f>
        <v>12616</v>
      </c>
      <c r="N82" s="71">
        <f>IF(Tabla22[[#This Row],[Req.2]]&gt;0,(Tabla22[[#This Row],[Base price2]]-LOOKUP(Tabla22[[#This Row],[Product2]],$R$18:$R$23,$S$18:$S$23))*Tabla22[[#This Row],[Req.2]],0)</f>
        <v>24435</v>
      </c>
      <c r="O82" s="74">
        <f>SUM(Tabla22[[#This Row],[Bonus1]:[p2]])</f>
        <v>80710.673999999999</v>
      </c>
      <c r="P82" s="73">
        <f>IF(Tabla22[[#This Row],[QualityBonus]]&gt;0,Tabla22[[#This Row],[No wages]]-$C$4,"")</f>
        <v>32848.389761557773</v>
      </c>
    </row>
    <row r="83" spans="1:16" x14ac:dyDescent="0.25">
      <c r="A83" s="13">
        <v>67</v>
      </c>
      <c r="B83" s="13" t="s">
        <v>13</v>
      </c>
      <c r="C83" s="66">
        <v>2.3199999999999998E-2</v>
      </c>
      <c r="D83" s="2" t="s">
        <v>53</v>
      </c>
      <c r="E83" s="73">
        <v>42232</v>
      </c>
      <c r="F83" s="5">
        <v>3</v>
      </c>
      <c r="G83" s="2" t="s">
        <v>54</v>
      </c>
      <c r="H83" s="73">
        <v>61628</v>
      </c>
      <c r="I83" s="5">
        <v>4</v>
      </c>
      <c r="J83" s="74">
        <f>Tabla22[[#This Row],[Base price1]]*Tabla22[[#This Row],[Req.]]+Tabla22[[#This Row],[Base price2]]*Tabla22[[#This Row],[Req.2]]</f>
        <v>373208</v>
      </c>
      <c r="K83" s="73">
        <f>IFERROR(LOOKUP(Tabla22[[#This Row],[Product]],$R$18:$R$23,$T$18:$T$23)*Tabla22[[#This Row],[QualityBonus]]*Tabla22[[#This Row],[Base price1]]*Tabla22[[#This Row],[Req.]],0)</f>
        <v>11757.388799999999</v>
      </c>
      <c r="L83" s="71">
        <f>IF(Tabla22[[#This Row],[Req.2]]&gt;0,LOOKUP(Tabla22[[#This Row],[Product2]],$R$18:$R$23,$T$18:$T$23)*Tabla22[[#This Row],[Base price2]]*Tabla22[[#This Row],[Req.2]]*Tabla22[[#This Row],[QualityBonus]],0)</f>
        <v>28595.392</v>
      </c>
      <c r="M83" s="74">
        <f>IFERROR((Tabla22[[#This Row],[Base price1]]-LOOKUP(Tabla22[[#This Row],[Product]],$R$18:$R$23,$S$18:$S$23))*Tabla22[[#This Row],[Req.]],0)</f>
        <v>24696</v>
      </c>
      <c r="N83" s="71">
        <f>IF(Tabla22[[#This Row],[Req.2]]&gt;0,(Tabla22[[#This Row],[Base price2]]-LOOKUP(Tabla22[[#This Row],[Product2]],$R$18:$R$23,$S$18:$S$23))*Tabla22[[#This Row],[Req.2]],0)</f>
        <v>20512</v>
      </c>
      <c r="O83" s="74">
        <f>SUM(Tabla22[[#This Row],[Bonus1]:[p2]])</f>
        <v>85560.780800000008</v>
      </c>
      <c r="P83" s="73">
        <f>IF(Tabla22[[#This Row],[QualityBonus]]&gt;0,Tabla22[[#This Row],[No wages]]-$C$4,"")</f>
        <v>37698.496561557782</v>
      </c>
    </row>
    <row r="84" spans="1:16" x14ac:dyDescent="0.25">
      <c r="A84" s="13">
        <v>68</v>
      </c>
      <c r="B84" s="13" t="s">
        <v>13</v>
      </c>
      <c r="C84" s="66">
        <v>2.8000000000000001E-2</v>
      </c>
      <c r="D84" s="2" t="s">
        <v>54</v>
      </c>
      <c r="E84" s="73">
        <v>61156</v>
      </c>
      <c r="F84" s="5">
        <v>2</v>
      </c>
      <c r="G84" s="2"/>
      <c r="H84" s="73"/>
      <c r="I84" s="5"/>
      <c r="J84" s="74">
        <f>Tabla22[[#This Row],[Base price1]]*Tabla22[[#This Row],[Req.]]+Tabla22[[#This Row],[Base price2]]*Tabla22[[#This Row],[Req.2]]</f>
        <v>122312</v>
      </c>
      <c r="K84" s="73">
        <f>IFERROR(LOOKUP(Tabla22[[#This Row],[Product]],$R$18:$R$23,$T$18:$T$23)*Tabla22[[#This Row],[QualityBonus]]*Tabla22[[#This Row],[Base price1]]*Tabla22[[#This Row],[Req.]],0)</f>
        <v>17123.68</v>
      </c>
      <c r="L84" s="71">
        <f>IF(Tabla22[[#This Row],[Req.2]]&gt;0,LOOKUP(Tabla22[[#This Row],[Product2]],$R$18:$R$23,$T$18:$T$23)*Tabla22[[#This Row],[Base price2]]*Tabla22[[#This Row],[Req.2]]*Tabla22[[#This Row],[QualityBonus]],0)</f>
        <v>0</v>
      </c>
      <c r="M84" s="74">
        <f>IFERROR((Tabla22[[#This Row],[Base price1]]-LOOKUP(Tabla22[[#This Row],[Product]],$R$18:$R$23,$S$18:$S$23))*Tabla22[[#This Row],[Req.]],0)</f>
        <v>9312</v>
      </c>
      <c r="N84" s="71">
        <f>IF(Tabla22[[#This Row],[Req.2]]&gt;0,(Tabla22[[#This Row],[Base price2]]-LOOKUP(Tabla22[[#This Row],[Product2]],$R$18:$R$23,$S$18:$S$23))*Tabla22[[#This Row],[Req.2]],0)</f>
        <v>0</v>
      </c>
      <c r="O84" s="74">
        <f>SUM(Tabla22[[#This Row],[Bonus1]:[p2]])</f>
        <v>26435.68</v>
      </c>
      <c r="P84" s="73">
        <f>IF(Tabla22[[#This Row],[QualityBonus]]&gt;0,Tabla22[[#This Row],[No wages]]-$C$4,"")</f>
        <v>-21426.604238442225</v>
      </c>
    </row>
    <row r="85" spans="1:16" x14ac:dyDescent="0.25">
      <c r="A85" s="13">
        <v>69</v>
      </c>
      <c r="B85" s="13" t="s">
        <v>13</v>
      </c>
      <c r="C85" s="66">
        <v>2.7799999999999998E-2</v>
      </c>
      <c r="D85" s="2" t="s">
        <v>55</v>
      </c>
      <c r="E85" s="73">
        <v>85384</v>
      </c>
      <c r="F85" s="5">
        <v>3</v>
      </c>
      <c r="G85" s="2" t="s">
        <v>54</v>
      </c>
      <c r="H85" s="73">
        <v>61275</v>
      </c>
      <c r="I85" s="5">
        <v>2</v>
      </c>
      <c r="J85" s="74">
        <f>Tabla22[[#This Row],[Base price1]]*Tabla22[[#This Row],[Req.]]+Tabla22[[#This Row],[Base price2]]*Tabla22[[#This Row],[Req.2]]</f>
        <v>378702</v>
      </c>
      <c r="K85" s="73">
        <f>IFERROR(LOOKUP(Tabla22[[#This Row],[Product]],$R$18:$R$23,$T$18:$T$23)*Tabla22[[#This Row],[QualityBonus]]*Tabla22[[#This Row],[Base price1]]*Tabla22[[#This Row],[Req.]],0)</f>
        <v>28484.102399999996</v>
      </c>
      <c r="L85" s="71">
        <f>IF(Tabla22[[#This Row],[Req.2]]&gt;0,LOOKUP(Tabla22[[#This Row],[Product2]],$R$18:$R$23,$T$18:$T$23)*Tabla22[[#This Row],[Base price2]]*Tabla22[[#This Row],[Req.2]]*Tabla22[[#This Row],[QualityBonus]],0)</f>
        <v>17034.45</v>
      </c>
      <c r="M85" s="74">
        <f>IFERROR((Tabla22[[#This Row],[Base price1]]-LOOKUP(Tabla22[[#This Row],[Product]],$R$18:$R$23,$S$18:$S$23))*Tabla22[[#This Row],[Req.]],0)</f>
        <v>25152</v>
      </c>
      <c r="N85" s="71">
        <f>IF(Tabla22[[#This Row],[Req.2]]&gt;0,(Tabla22[[#This Row],[Base price2]]-LOOKUP(Tabla22[[#This Row],[Product2]],$R$18:$R$23,$S$18:$S$23))*Tabla22[[#This Row],[Req.2]],0)</f>
        <v>9550</v>
      </c>
      <c r="O85" s="74">
        <f>SUM(Tabla22[[#This Row],[Bonus1]:[p2]])</f>
        <v>80220.5524</v>
      </c>
      <c r="P85" s="73">
        <f>IF(Tabla22[[#This Row],[QualityBonus]]&gt;0,Tabla22[[#This Row],[No wages]]-$C$4,"")</f>
        <v>32358.268161557775</v>
      </c>
    </row>
    <row r="86" spans="1:16" x14ac:dyDescent="0.25">
      <c r="A86" s="13">
        <v>70</v>
      </c>
      <c r="B86" s="13" t="s">
        <v>13</v>
      </c>
      <c r="C86" s="66">
        <v>2.98E-2</v>
      </c>
      <c r="D86" s="2" t="s">
        <v>53</v>
      </c>
      <c r="E86" s="73">
        <v>42066</v>
      </c>
      <c r="F86" s="5">
        <v>5</v>
      </c>
      <c r="G86" s="2"/>
      <c r="H86" s="73"/>
      <c r="I86" s="5"/>
      <c r="J86" s="74">
        <f>Tabla22[[#This Row],[Base price1]]*Tabla22[[#This Row],[Req.]]+Tabla22[[#This Row],[Base price2]]*Tabla22[[#This Row],[Req.2]]</f>
        <v>210330</v>
      </c>
      <c r="K86" s="73">
        <f>IFERROR(LOOKUP(Tabla22[[#This Row],[Product]],$R$18:$R$23,$T$18:$T$23)*Tabla22[[#This Row],[QualityBonus]]*Tabla22[[#This Row],[Base price1]]*Tabla22[[#This Row],[Req.]],0)</f>
        <v>25071.336000000003</v>
      </c>
      <c r="L86" s="71">
        <f>IF(Tabla22[[#This Row],[Req.2]]&gt;0,LOOKUP(Tabla22[[#This Row],[Product2]],$R$18:$R$23,$T$18:$T$23)*Tabla22[[#This Row],[Base price2]]*Tabla22[[#This Row],[Req.2]]*Tabla22[[#This Row],[QualityBonus]],0)</f>
        <v>0</v>
      </c>
      <c r="M86" s="74">
        <f>IFERROR((Tabla22[[#This Row],[Base price1]]-LOOKUP(Tabla22[[#This Row],[Product]],$R$18:$R$23,$S$18:$S$23))*Tabla22[[#This Row],[Req.]],0)</f>
        <v>40330</v>
      </c>
      <c r="N86" s="71">
        <f>IF(Tabla22[[#This Row],[Req.2]]&gt;0,(Tabla22[[#This Row],[Base price2]]-LOOKUP(Tabla22[[#This Row],[Product2]],$R$18:$R$23,$S$18:$S$23))*Tabla22[[#This Row],[Req.2]],0)</f>
        <v>0</v>
      </c>
      <c r="O86" s="74">
        <f>SUM(Tabla22[[#This Row],[Bonus1]:[p2]])</f>
        <v>65401.336000000003</v>
      </c>
      <c r="P86" s="73">
        <f>IF(Tabla22[[#This Row],[QualityBonus]]&gt;0,Tabla22[[#This Row],[No wages]]-$C$4,"")</f>
        <v>17539.051761557777</v>
      </c>
    </row>
    <row r="87" spans="1:16" x14ac:dyDescent="0.25">
      <c r="A87" s="13">
        <v>71</v>
      </c>
      <c r="B87" s="13" t="s">
        <v>13</v>
      </c>
      <c r="C87" s="66">
        <v>2.3400000000000001E-2</v>
      </c>
      <c r="D87" s="2" t="s">
        <v>53</v>
      </c>
      <c r="E87" s="73">
        <v>42670</v>
      </c>
      <c r="F87" s="5">
        <v>5</v>
      </c>
      <c r="G87" s="2" t="s">
        <v>54</v>
      </c>
      <c r="H87" s="73">
        <v>59386</v>
      </c>
      <c r="I87" s="5">
        <v>3</v>
      </c>
      <c r="J87" s="74">
        <f>Tabla22[[#This Row],[Base price1]]*Tabla22[[#This Row],[Req.]]+Tabla22[[#This Row],[Base price2]]*Tabla22[[#This Row],[Req.2]]</f>
        <v>391508</v>
      </c>
      <c r="K87" s="73">
        <f>IFERROR(LOOKUP(Tabla22[[#This Row],[Product]],$R$18:$R$23,$T$18:$T$23)*Tabla22[[#This Row],[QualityBonus]]*Tabla22[[#This Row],[Base price1]]*Tabla22[[#This Row],[Req.]],0)</f>
        <v>19969.560000000001</v>
      </c>
      <c r="L87" s="71">
        <f>IF(Tabla22[[#This Row],[Req.2]]&gt;0,LOOKUP(Tabla22[[#This Row],[Product2]],$R$18:$R$23,$T$18:$T$23)*Tabla22[[#This Row],[Base price2]]*Tabla22[[#This Row],[Req.2]]*Tabla22[[#This Row],[QualityBonus]],0)</f>
        <v>20844.486000000001</v>
      </c>
      <c r="M87" s="74">
        <f>IFERROR((Tabla22[[#This Row],[Base price1]]-LOOKUP(Tabla22[[#This Row],[Product]],$R$18:$R$23,$S$18:$S$23))*Tabla22[[#This Row],[Req.]],0)</f>
        <v>43350</v>
      </c>
      <c r="N87" s="71">
        <f>IF(Tabla22[[#This Row],[Req.2]]&gt;0,(Tabla22[[#This Row],[Base price2]]-LOOKUP(Tabla22[[#This Row],[Product2]],$R$18:$R$23,$S$18:$S$23))*Tabla22[[#This Row],[Req.2]],0)</f>
        <v>8658</v>
      </c>
      <c r="O87" s="74">
        <f>SUM(Tabla22[[#This Row],[Bonus1]:[p2]])</f>
        <v>92822.046000000002</v>
      </c>
      <c r="P87" s="73">
        <f>IF(Tabla22[[#This Row],[QualityBonus]]&gt;0,Tabla22[[#This Row],[No wages]]-$C$4,"")</f>
        <v>44959.761761557776</v>
      </c>
    </row>
    <row r="88" spans="1:16" x14ac:dyDescent="0.25">
      <c r="A88" s="13">
        <v>72</v>
      </c>
      <c r="B88" s="13" t="s">
        <v>13</v>
      </c>
      <c r="C88" s="66">
        <v>1.7100000000000001E-2</v>
      </c>
      <c r="D88" s="2" t="s">
        <v>52</v>
      </c>
      <c r="E88" s="73">
        <v>121779</v>
      </c>
      <c r="F88" s="5">
        <v>2</v>
      </c>
      <c r="G88" s="2"/>
      <c r="H88" s="73"/>
      <c r="I88" s="5"/>
      <c r="J88" s="74">
        <f>Tabla22[[#This Row],[Base price1]]*Tabla22[[#This Row],[Req.]]+Tabla22[[#This Row],[Base price2]]*Tabla22[[#This Row],[Req.2]]</f>
        <v>243558</v>
      </c>
      <c r="K88" s="73">
        <f>IFERROR(LOOKUP(Tabla22[[#This Row],[Product]],$R$18:$R$23,$T$18:$T$23)*Tabla22[[#This Row],[QualityBonus]]*Tabla22[[#This Row],[Base price1]]*Tabla22[[#This Row],[Req.]],0)</f>
        <v>24989.050800000001</v>
      </c>
      <c r="L88" s="71">
        <f>IF(Tabla22[[#This Row],[Req.2]]&gt;0,LOOKUP(Tabla22[[#This Row],[Product2]],$R$18:$R$23,$T$18:$T$23)*Tabla22[[#This Row],[Base price2]]*Tabla22[[#This Row],[Req.2]]*Tabla22[[#This Row],[QualityBonus]],0)</f>
        <v>0</v>
      </c>
      <c r="M88" s="74">
        <f>IFERROR((Tabla22[[#This Row],[Base price1]]-LOOKUP(Tabla22[[#This Row],[Product]],$R$18:$R$23,$S$18:$S$23))*Tabla22[[#This Row],[Req.]],0)</f>
        <v>11558</v>
      </c>
      <c r="N88" s="71">
        <f>IF(Tabla22[[#This Row],[Req.2]]&gt;0,(Tabla22[[#This Row],[Base price2]]-LOOKUP(Tabla22[[#This Row],[Product2]],$R$18:$R$23,$S$18:$S$23))*Tabla22[[#This Row],[Req.2]],0)</f>
        <v>0</v>
      </c>
      <c r="O88" s="74">
        <f>SUM(Tabla22[[#This Row],[Bonus1]:[p2]])</f>
        <v>36547.050799999997</v>
      </c>
      <c r="P88" s="73">
        <f>IF(Tabla22[[#This Row],[QualityBonus]]&gt;0,Tabla22[[#This Row],[No wages]]-$C$4,"")</f>
        <v>-11315.233438442228</v>
      </c>
    </row>
    <row r="89" spans="1:16" x14ac:dyDescent="0.25">
      <c r="A89" s="13">
        <v>73</v>
      </c>
      <c r="B89" s="13" t="s">
        <v>13</v>
      </c>
      <c r="C89" s="66">
        <v>1.7899999999999999E-2</v>
      </c>
      <c r="D89" s="2" t="s">
        <v>56</v>
      </c>
      <c r="E89" s="73">
        <v>228495</v>
      </c>
      <c r="F89" s="5">
        <v>3</v>
      </c>
      <c r="G89" s="2" t="s">
        <v>54</v>
      </c>
      <c r="H89" s="73">
        <v>62131</v>
      </c>
      <c r="I89" s="5">
        <v>3</v>
      </c>
      <c r="J89" s="74">
        <f>Tabla22[[#This Row],[Base price1]]*Tabla22[[#This Row],[Req.]]+Tabla22[[#This Row],[Base price2]]*Tabla22[[#This Row],[Req.2]]</f>
        <v>871878</v>
      </c>
      <c r="K89" s="73">
        <f>IFERROR(LOOKUP(Tabla22[[#This Row],[Product]],$R$18:$R$23,$T$18:$T$23)*Tabla22[[#This Row],[QualityBonus]]*Tabla22[[#This Row],[Base price1]]*Tabla22[[#This Row],[Req.]],0)</f>
        <v>36810.544499999996</v>
      </c>
      <c r="L89" s="71">
        <f>IF(Tabla22[[#This Row],[Req.2]]&gt;0,LOOKUP(Tabla22[[#This Row],[Product2]],$R$18:$R$23,$T$18:$T$23)*Tabla22[[#This Row],[Base price2]]*Tabla22[[#This Row],[Req.2]]*Tabla22[[#This Row],[QualityBonus]],0)</f>
        <v>16682.173500000001</v>
      </c>
      <c r="M89" s="74">
        <f>IFERROR((Tabla22[[#This Row],[Base price1]]-LOOKUP(Tabla22[[#This Row],[Product]],$R$18:$R$23,$S$18:$S$23))*Tabla22[[#This Row],[Req.]],0)</f>
        <v>22485</v>
      </c>
      <c r="N89" s="71">
        <f>IF(Tabla22[[#This Row],[Req.2]]&gt;0,(Tabla22[[#This Row],[Base price2]]-LOOKUP(Tabla22[[#This Row],[Product2]],$R$18:$R$23,$S$18:$S$23))*Tabla22[[#This Row],[Req.2]],0)</f>
        <v>16893</v>
      </c>
      <c r="O89" s="74">
        <f>SUM(Tabla22[[#This Row],[Bonus1]:[p2]])</f>
        <v>92870.717999999993</v>
      </c>
      <c r="P89" s="73">
        <f>IF(Tabla22[[#This Row],[QualityBonus]]&gt;0,Tabla22[[#This Row],[No wages]]-$C$4,"")</f>
        <v>45008.433761557768</v>
      </c>
    </row>
    <row r="90" spans="1:16" x14ac:dyDescent="0.25">
      <c r="A90" s="13">
        <v>74</v>
      </c>
      <c r="B90" s="13" t="s">
        <v>13</v>
      </c>
      <c r="C90" s="66">
        <v>1.7999999999999999E-2</v>
      </c>
      <c r="D90" s="2" t="s">
        <v>53</v>
      </c>
      <c r="E90" s="73">
        <v>40769</v>
      </c>
      <c r="F90" s="5">
        <v>4</v>
      </c>
      <c r="G90" s="2" t="s">
        <v>27</v>
      </c>
      <c r="H90" s="73">
        <v>844341</v>
      </c>
      <c r="I90" s="5">
        <v>1</v>
      </c>
      <c r="J90" s="74">
        <f>Tabla22[[#This Row],[Base price1]]*Tabla22[[#This Row],[Req.]]+Tabla22[[#This Row],[Base price2]]*Tabla22[[#This Row],[Req.2]]</f>
        <v>1007417</v>
      </c>
      <c r="K90" s="73">
        <f>IFERROR(LOOKUP(Tabla22[[#This Row],[Product]],$R$18:$R$23,$T$18:$T$23)*Tabla22[[#This Row],[QualityBonus]]*Tabla22[[#This Row],[Base price1]]*Tabla22[[#This Row],[Req.]],0)</f>
        <v>11741.472</v>
      </c>
      <c r="L90" s="71">
        <f>IF(Tabla22[[#This Row],[Req.2]]&gt;0,LOOKUP(Tabla22[[#This Row],[Product2]],$R$18:$R$23,$T$18:$T$23)*Tabla22[[#This Row],[Base price2]]*Tabla22[[#This Row],[Req.2]]*Tabla22[[#This Row],[QualityBonus]],0)</f>
        <v>91188.827999999994</v>
      </c>
      <c r="M90" s="74">
        <f>IFERROR((Tabla22[[#This Row],[Base price1]]-LOOKUP(Tabla22[[#This Row],[Product]],$R$18:$R$23,$S$18:$S$23))*Tabla22[[#This Row],[Req.]],0)</f>
        <v>27076</v>
      </c>
      <c r="N90" s="71">
        <f>IF(Tabla22[[#This Row],[Req.2]]&gt;0,(Tabla22[[#This Row],[Base price2]]-LOOKUP(Tabla22[[#This Row],[Product2]],$R$18:$R$23,$S$18:$S$23))*Tabla22[[#This Row],[Req.2]],0)</f>
        <v>5341</v>
      </c>
      <c r="O90" s="74">
        <f>SUM(Tabla22[[#This Row],[Bonus1]:[p2]])</f>
        <v>135347.29999999999</v>
      </c>
      <c r="P90" s="73">
        <f>IF(Tabla22[[#This Row],[QualityBonus]]&gt;0,Tabla22[[#This Row],[No wages]]-$C$4,"")</f>
        <v>87485.015761557763</v>
      </c>
    </row>
    <row r="91" spans="1:16" x14ac:dyDescent="0.25">
      <c r="A91" s="13">
        <v>75</v>
      </c>
      <c r="B91" s="13" t="s">
        <v>13</v>
      </c>
      <c r="C91" s="36">
        <v>1.6400000000000001E-2</v>
      </c>
      <c r="D91" s="2" t="s">
        <v>54</v>
      </c>
      <c r="E91" s="71">
        <v>62189</v>
      </c>
      <c r="F91" s="4">
        <v>3</v>
      </c>
      <c r="G91" s="2" t="s">
        <v>56</v>
      </c>
      <c r="H91" s="71">
        <v>227496</v>
      </c>
      <c r="I91" s="4">
        <v>3</v>
      </c>
      <c r="J91" s="74">
        <f>Tabla22[[#This Row],[Base price1]]*Tabla22[[#This Row],[Req.]]+Tabla22[[#This Row],[Base price2]]*Tabla22[[#This Row],[Req.2]]</f>
        <v>869055</v>
      </c>
      <c r="K91" s="71">
        <f>IFERROR(LOOKUP(Tabla22[[#This Row],[Product]],$R$18:$R$23,$T$18:$T$23)*Tabla22[[#This Row],[QualityBonus]]*Tabla22[[#This Row],[Base price1]]*Tabla22[[#This Row],[Req.]],0)</f>
        <v>15298.494000000002</v>
      </c>
      <c r="L91" s="71">
        <f>IF(Tabla22[[#This Row],[Req.2]]&gt;0,LOOKUP(Tabla22[[#This Row],[Product2]],$R$18:$R$23,$T$18:$T$23)*Tabla22[[#This Row],[Base price2]]*Tabla22[[#This Row],[Req.2]]*Tabla22[[#This Row],[QualityBonus]],0)</f>
        <v>33578.409600000006</v>
      </c>
      <c r="M91" s="74">
        <f>IFERROR((Tabla22[[#This Row],[Base price1]]-LOOKUP(Tabla22[[#This Row],[Product]],$R$18:$R$23,$S$18:$S$23))*Tabla22[[#This Row],[Req.]],0)</f>
        <v>17067</v>
      </c>
      <c r="N91" s="71">
        <f>IF(Tabla22[[#This Row],[Req.2]]&gt;0,(Tabla22[[#This Row],[Base price2]]-LOOKUP(Tabla22[[#This Row],[Product2]],$R$18:$R$23,$S$18:$S$23))*Tabla22[[#This Row],[Req.2]],0)</f>
        <v>19488</v>
      </c>
      <c r="O91" s="74">
        <f>SUM(Tabla22[[#This Row],[Bonus1]:[p2]])</f>
        <v>85431.903600000005</v>
      </c>
      <c r="P91" s="71">
        <f>IF(Tabla22[[#This Row],[QualityBonus]]&gt;0,Tabla22[[#This Row],[No wages]]-$C$4,"")</f>
        <v>37569.619361557779</v>
      </c>
    </row>
    <row r="92" spans="1:16" x14ac:dyDescent="0.25">
      <c r="A92" s="24">
        <v>76</v>
      </c>
      <c r="B92" s="24" t="s">
        <v>13</v>
      </c>
      <c r="C92" s="44">
        <v>1.52E-2</v>
      </c>
      <c r="D92" s="37" t="s">
        <v>54</v>
      </c>
      <c r="E92" s="72">
        <v>62398</v>
      </c>
      <c r="F92" s="39">
        <v>1</v>
      </c>
      <c r="G92" s="37" t="s">
        <v>57</v>
      </c>
      <c r="H92" s="72">
        <v>83725</v>
      </c>
      <c r="I92" s="39">
        <v>3</v>
      </c>
      <c r="J92" s="75">
        <f>Tabla22[[#This Row],[Base price1]]*Tabla22[[#This Row],[Req.]]+Tabla22[[#This Row],[Base price2]]*Tabla22[[#This Row],[Req.2]]</f>
        <v>313573</v>
      </c>
      <c r="K92" s="72">
        <f>IFERROR(LOOKUP(Tabla22[[#This Row],[Product]],$R$18:$R$23,$T$18:$T$23)*Tabla22[[#This Row],[QualityBonus]]*Tabla22[[#This Row],[Base price1]]*Tabla22[[#This Row],[Req.]],0)</f>
        <v>4742.2479999999996</v>
      </c>
      <c r="L92" s="72">
        <f>IF(Tabla22[[#This Row],[Req.2]]&gt;0,LOOKUP(Tabla22[[#This Row],[Product2]],$R$18:$R$23,$T$18:$T$23)*Tabla22[[#This Row],[Base price2]]*Tabla22[[#This Row],[Req.2]]*Tabla22[[#This Row],[QualityBonus]],0)</f>
        <v>15271.44</v>
      </c>
      <c r="M92" s="75">
        <f>IFERROR((Tabla22[[#This Row],[Base price1]]-LOOKUP(Tabla22[[#This Row],[Product]],$R$18:$R$23,$S$18:$S$23))*Tabla22[[#This Row],[Req.]],0)</f>
        <v>5898</v>
      </c>
      <c r="N92" s="72">
        <f>IF(Tabla22[[#This Row],[Req.2]]&gt;0,(Tabla22[[#This Row],[Base price2]]-LOOKUP(Tabla22[[#This Row],[Product2]],$R$18:$R$23,$S$18:$S$23))*Tabla22[[#This Row],[Req.2]],0)</f>
        <v>20175</v>
      </c>
      <c r="O92" s="75">
        <f>SUM(Tabla22[[#This Row],[Bonus1]:[p2]])</f>
        <v>46086.688000000002</v>
      </c>
      <c r="P92" s="72">
        <f>IF(Tabla22[[#This Row],[QualityBonus]]&gt;0,Tabla22[[#This Row],[No wages]]-$C$4,"")</f>
        <v>-1775.5962384422237</v>
      </c>
    </row>
    <row r="93" spans="1:16" x14ac:dyDescent="0.25">
      <c r="A93" s="13">
        <v>77</v>
      </c>
      <c r="B93" s="13" t="s">
        <v>13</v>
      </c>
      <c r="C93" s="36">
        <v>1.4800000000000001E-2</v>
      </c>
      <c r="D93" s="2" t="s">
        <v>54</v>
      </c>
      <c r="E93" s="71">
        <v>62496</v>
      </c>
      <c r="F93" s="4">
        <v>1</v>
      </c>
      <c r="G93" s="2" t="s">
        <v>53</v>
      </c>
      <c r="H93" s="71">
        <v>40795</v>
      </c>
      <c r="I93" s="4">
        <v>2</v>
      </c>
      <c r="J93" s="74">
        <f>Tabla22[[#This Row],[Base price1]]*Tabla22[[#This Row],[Req.]]+Tabla22[[#This Row],[Base price2]]*Tabla22[[#This Row],[Req.2]]</f>
        <v>144086</v>
      </c>
      <c r="K93" s="71">
        <f>IFERROR(LOOKUP(Tabla22[[#This Row],[Product]],$R$18:$R$23,$T$18:$T$23)*Tabla22[[#This Row],[QualityBonus]]*Tabla22[[#This Row],[Base price1]]*Tabla22[[#This Row],[Req.]],0)</f>
        <v>4624.7040000000006</v>
      </c>
      <c r="L93" s="71">
        <f>IF(Tabla22[[#This Row],[Req.2]]&gt;0,LOOKUP(Tabla22[[#This Row],[Product2]],$R$18:$R$23,$T$18:$T$23)*Tabla22[[#This Row],[Base price2]]*Tabla22[[#This Row],[Req.2]]*Tabla22[[#This Row],[QualityBonus]],0)</f>
        <v>4830.1280000000006</v>
      </c>
      <c r="M93" s="74">
        <f>IFERROR((Tabla22[[#This Row],[Base price1]]-LOOKUP(Tabla22[[#This Row],[Product]],$R$18:$R$23,$S$18:$S$23))*Tabla22[[#This Row],[Req.]],0)</f>
        <v>5996</v>
      </c>
      <c r="N93" s="71">
        <f>IF(Tabla22[[#This Row],[Req.2]]&gt;0,(Tabla22[[#This Row],[Base price2]]-LOOKUP(Tabla22[[#This Row],[Product2]],$R$18:$R$23,$S$18:$S$23))*Tabla22[[#This Row],[Req.2]],0)</f>
        <v>13590</v>
      </c>
      <c r="O93" s="74">
        <f>SUM(Tabla22[[#This Row],[Bonus1]:[p2]])</f>
        <v>29040.832000000002</v>
      </c>
      <c r="P93" s="71">
        <f>IF(Tabla22[[#This Row],[QualityBonus]]&gt;0,Tabla22[[#This Row],[No wages]]-$C$4,"")</f>
        <v>-18821.452238442223</v>
      </c>
    </row>
    <row r="94" spans="1:16" x14ac:dyDescent="0.25">
      <c r="A94" s="13">
        <v>78</v>
      </c>
      <c r="B94" s="13" t="s">
        <v>13</v>
      </c>
      <c r="C94" s="66">
        <v>1.89E-2</v>
      </c>
      <c r="D94" s="2" t="s">
        <v>53</v>
      </c>
      <c r="E94" s="73">
        <v>41529</v>
      </c>
      <c r="F94" s="5">
        <v>5</v>
      </c>
      <c r="G94" s="2" t="s">
        <v>54</v>
      </c>
      <c r="H94" s="73">
        <v>59468</v>
      </c>
      <c r="I94" s="5">
        <v>1</v>
      </c>
      <c r="J94" s="74">
        <f>Tabla22[[#This Row],[Base price1]]*Tabla22[[#This Row],[Req.]]+Tabla22[[#This Row],[Base price2]]*Tabla22[[#This Row],[Req.2]]</f>
        <v>267113</v>
      </c>
      <c r="K94" s="71">
        <f>IFERROR(LOOKUP(Tabla22[[#This Row],[Product]],$R$18:$R$23,$T$18:$T$23)*Tabla22[[#This Row],[QualityBonus]]*Tabla22[[#This Row],[Base price1]]*Tabla22[[#This Row],[Req.]],0)</f>
        <v>15697.962</v>
      </c>
      <c r="L94" s="71">
        <f>IF(Tabla22[[#This Row],[Req.2]]&gt;0,LOOKUP(Tabla22[[#This Row],[Product2]],$R$18:$R$23,$T$18:$T$23)*Tabla22[[#This Row],[Base price2]]*Tabla22[[#This Row],[Req.2]]*Tabla22[[#This Row],[QualityBonus]],0)</f>
        <v>5619.7259999999997</v>
      </c>
      <c r="M94" s="76">
        <f>IFERROR((Tabla22[[#This Row],[Base price1]]-LOOKUP(Tabla22[[#This Row],[Product]],$R$18:$R$23,$S$18:$S$23))*Tabla22[[#This Row],[Req.]],0)</f>
        <v>37645</v>
      </c>
      <c r="N94" s="71">
        <f>IF(Tabla22[[#This Row],[Req.2]]&gt;0,(Tabla22[[#This Row],[Base price2]]-LOOKUP(Tabla22[[#This Row],[Product2]],$R$18:$R$23,$S$18:$S$23))*Tabla22[[#This Row],[Req.2]],0)</f>
        <v>2968</v>
      </c>
      <c r="O94" s="74">
        <f>SUM(Tabla22[[#This Row],[Bonus1]:[p2]])</f>
        <v>61930.687999999995</v>
      </c>
      <c r="P94" s="71">
        <f>IF(Tabla22[[#This Row],[QualityBonus]]&gt;0,Tabla22[[#This Row],[No wages]]-$C$4,"")</f>
        <v>14068.403761557769</v>
      </c>
    </row>
    <row r="95" spans="1:16" x14ac:dyDescent="0.25">
      <c r="A95" s="13">
        <v>79</v>
      </c>
      <c r="B95" s="13" t="s">
        <v>13</v>
      </c>
      <c r="C95" s="66">
        <v>1.89E-2</v>
      </c>
      <c r="D95" s="2" t="s">
        <v>54</v>
      </c>
      <c r="E95" s="73">
        <v>59740</v>
      </c>
      <c r="F95" s="5">
        <v>1</v>
      </c>
      <c r="G95" s="2" t="s">
        <v>52</v>
      </c>
      <c r="H95" s="73">
        <v>120772</v>
      </c>
      <c r="I95" s="5">
        <v>1</v>
      </c>
      <c r="J95" s="74">
        <f>Tabla22[[#This Row],[Base price1]]*Tabla22[[#This Row],[Req.]]+Tabla22[[#This Row],[Base price2]]*Tabla22[[#This Row],[Req.2]]</f>
        <v>180512</v>
      </c>
      <c r="K95" s="71">
        <f>IFERROR(LOOKUP(Tabla22[[#This Row],[Product]],$R$18:$R$23,$T$18:$T$23)*Tabla22[[#This Row],[QualityBonus]]*Tabla22[[#This Row],[Base price1]]*Tabla22[[#This Row],[Req.]],0)</f>
        <v>5645.43</v>
      </c>
      <c r="L95" s="71">
        <f>IF(Tabla22[[#This Row],[Req.2]]&gt;0,LOOKUP(Tabla22[[#This Row],[Product2]],$R$18:$R$23,$T$18:$T$23)*Tabla22[[#This Row],[Base price2]]*Tabla22[[#This Row],[Req.2]]*Tabla22[[#This Row],[QualityBonus]],0)</f>
        <v>13695.5448</v>
      </c>
      <c r="M95" s="74">
        <f>IFERROR((Tabla22[[#This Row],[Base price1]]-LOOKUP(Tabla22[[#This Row],[Product]],$R$18:$R$23,$S$18:$S$23))*Tabla22[[#This Row],[Req.]],0)</f>
        <v>3240</v>
      </c>
      <c r="N95" s="71">
        <f>IF(Tabla22[[#This Row],[Req.2]]&gt;0,(Tabla22[[#This Row],[Base price2]]-LOOKUP(Tabla22[[#This Row],[Product2]],$R$18:$R$23,$S$18:$S$23))*Tabla22[[#This Row],[Req.2]],0)</f>
        <v>4772</v>
      </c>
      <c r="O95" s="74">
        <f>SUM(Tabla22[[#This Row],[Bonus1]:[p2]])</f>
        <v>27352.9748</v>
      </c>
      <c r="P95" s="71">
        <f>IF(Tabla22[[#This Row],[QualityBonus]]&gt;0,Tabla22[[#This Row],[No wages]]-$C$4,"")</f>
        <v>-20509.309438442226</v>
      </c>
    </row>
    <row r="96" spans="1:16" x14ac:dyDescent="0.25">
      <c r="A96" s="13">
        <v>80</v>
      </c>
      <c r="B96" s="13" t="s">
        <v>13</v>
      </c>
      <c r="C96" s="66">
        <v>1.2699999999999999E-2</v>
      </c>
      <c r="D96" s="2" t="s">
        <v>55</v>
      </c>
      <c r="E96" s="73">
        <v>85997</v>
      </c>
      <c r="F96" s="5">
        <v>1</v>
      </c>
      <c r="G96" s="2" t="s">
        <v>53</v>
      </c>
      <c r="H96" s="73">
        <v>41336</v>
      </c>
      <c r="I96" s="5">
        <v>3</v>
      </c>
      <c r="J96" s="74">
        <f>Tabla22[[#This Row],[Base price1]]*Tabla22[[#This Row],[Req.]]+Tabla22[[#This Row],[Base price2]]*Tabla22[[#This Row],[Req.2]]</f>
        <v>210005</v>
      </c>
      <c r="K96" s="71">
        <f>IFERROR(LOOKUP(Tabla22[[#This Row],[Product]],$R$18:$R$23,$T$18:$T$23)*Tabla22[[#This Row],[QualityBonus]]*Tabla22[[#This Row],[Base price1]]*Tabla22[[#This Row],[Req.]],0)</f>
        <v>4368.6476000000002</v>
      </c>
      <c r="L96" s="71">
        <f>IF(Tabla22[[#This Row],[Req.2]]&gt;0,LOOKUP(Tabla22[[#This Row],[Product2]],$R$18:$R$23,$T$18:$T$23)*Tabla22[[#This Row],[Base price2]]*Tabla22[[#This Row],[Req.2]]*Tabla22[[#This Row],[QualityBonus]],0)</f>
        <v>6299.6063999999997</v>
      </c>
      <c r="M96" s="74">
        <f>IFERROR((Tabla22[[#This Row],[Base price1]]-LOOKUP(Tabla22[[#This Row],[Product]],$R$18:$R$23,$S$18:$S$23))*Tabla22[[#This Row],[Req.]],0)</f>
        <v>8997</v>
      </c>
      <c r="N96" s="71">
        <f>IF(Tabla22[[#This Row],[Req.2]]&gt;0,(Tabla22[[#This Row],[Base price2]]-LOOKUP(Tabla22[[#This Row],[Product2]],$R$18:$R$23,$S$18:$S$23))*Tabla22[[#This Row],[Req.2]],0)</f>
        <v>22008</v>
      </c>
      <c r="O96" s="74">
        <f>SUM(Tabla22[[#This Row],[Bonus1]:[p2]])</f>
        <v>41673.254000000001</v>
      </c>
      <c r="P96" s="71">
        <f>IF(Tabla22[[#This Row],[QualityBonus]]&gt;0,Tabla22[[#This Row],[No wages]]-$C$4,"")</f>
        <v>-6189.0302384422248</v>
      </c>
    </row>
    <row r="97" spans="1:16" x14ac:dyDescent="0.25">
      <c r="A97" s="13">
        <v>81</v>
      </c>
      <c r="B97" s="13" t="s">
        <v>13</v>
      </c>
      <c r="C97" s="66">
        <v>1.9699999999999999E-2</v>
      </c>
      <c r="D97" s="2" t="s">
        <v>54</v>
      </c>
      <c r="E97" s="73">
        <v>61857</v>
      </c>
      <c r="F97" s="5">
        <v>1</v>
      </c>
      <c r="G97" s="2" t="s">
        <v>56</v>
      </c>
      <c r="H97" s="73">
        <v>227814</v>
      </c>
      <c r="I97" s="5">
        <v>3</v>
      </c>
      <c r="J97" s="74">
        <f>Tabla22[[#This Row],[Base price1]]*Tabla22[[#This Row],[Req.]]+Tabla22[[#This Row],[Base price2]]*Tabla22[[#This Row],[Req.2]]</f>
        <v>745299</v>
      </c>
      <c r="K97" s="71">
        <f>IFERROR(LOOKUP(Tabla22[[#This Row],[Product]],$R$18:$R$23,$T$18:$T$23)*Tabla22[[#This Row],[QualityBonus]]*Tabla22[[#This Row],[Base price1]]*Tabla22[[#This Row],[Req.]],0)</f>
        <v>6092.914499999999</v>
      </c>
      <c r="L97" s="71">
        <f>IF(Tabla22[[#This Row],[Req.2]]&gt;0,LOOKUP(Tabla22[[#This Row],[Product2]],$R$18:$R$23,$T$18:$T$23)*Tabla22[[#This Row],[Base price2]]*Tabla22[[#This Row],[Req.2]]*Tabla22[[#This Row],[QualityBonus]],0)</f>
        <v>40391.422200000001</v>
      </c>
      <c r="M97" s="74">
        <f>IFERROR((Tabla22[[#This Row],[Base price1]]-LOOKUP(Tabla22[[#This Row],[Product]],$R$18:$R$23,$S$18:$S$23))*Tabla22[[#This Row],[Req.]],0)</f>
        <v>5357</v>
      </c>
      <c r="N97" s="71">
        <f>IF(Tabla22[[#This Row],[Req.2]]&gt;0,(Tabla22[[#This Row],[Base price2]]-LOOKUP(Tabla22[[#This Row],[Product2]],$R$18:$R$23,$S$18:$S$23))*Tabla22[[#This Row],[Req.2]],0)</f>
        <v>20442</v>
      </c>
      <c r="O97" s="74">
        <f>SUM(Tabla22[[#This Row],[Bonus1]:[p2]])</f>
        <v>72283.3367</v>
      </c>
      <c r="P97" s="71">
        <f>IF(Tabla22[[#This Row],[QualityBonus]]&gt;0,Tabla22[[#This Row],[No wages]]-$C$4,"")</f>
        <v>24421.052461557774</v>
      </c>
    </row>
    <row r="98" spans="1:16" x14ac:dyDescent="0.25">
      <c r="A98" s="13">
        <v>82</v>
      </c>
      <c r="B98" s="13" t="s">
        <v>13</v>
      </c>
      <c r="C98" s="66">
        <v>2.63E-2</v>
      </c>
      <c r="D98" s="2" t="s">
        <v>55</v>
      </c>
      <c r="E98" s="73">
        <v>81840</v>
      </c>
      <c r="F98" s="5">
        <v>1</v>
      </c>
      <c r="G98" s="2" t="s">
        <v>52</v>
      </c>
      <c r="H98" s="73">
        <v>123423</v>
      </c>
      <c r="I98" s="5">
        <v>3</v>
      </c>
      <c r="J98" s="74">
        <f>Tabla22[[#This Row],[Base price1]]*Tabla22[[#This Row],[Req.]]+Tabla22[[#This Row],[Base price2]]*Tabla22[[#This Row],[Req.2]]</f>
        <v>452109</v>
      </c>
      <c r="K98" s="71">
        <f>IFERROR(LOOKUP(Tabla22[[#This Row],[Product]],$R$18:$R$23,$T$18:$T$23)*Tabla22[[#This Row],[QualityBonus]]*Tabla22[[#This Row],[Base price1]]*Tabla22[[#This Row],[Req.]],0)</f>
        <v>8609.5679999999993</v>
      </c>
      <c r="L98" s="71">
        <f>IF(Tabla22[[#This Row],[Req.2]]&gt;0,LOOKUP(Tabla22[[#This Row],[Product2]],$R$18:$R$23,$T$18:$T$23)*Tabla22[[#This Row],[Base price2]]*Tabla22[[#This Row],[Req.2]]*Tabla22[[#This Row],[QualityBonus]],0)</f>
        <v>58428.448199999999</v>
      </c>
      <c r="M98" s="74">
        <f>IFERROR((Tabla22[[#This Row],[Base price1]]-LOOKUP(Tabla22[[#This Row],[Product]],$R$18:$R$23,$S$18:$S$23))*Tabla22[[#This Row],[Req.]],0)</f>
        <v>4840</v>
      </c>
      <c r="N98" s="71">
        <f>IF(Tabla22[[#This Row],[Req.2]]&gt;0,(Tabla22[[#This Row],[Base price2]]-LOOKUP(Tabla22[[#This Row],[Product2]],$R$18:$R$23,$S$18:$S$23))*Tabla22[[#This Row],[Req.2]],0)</f>
        <v>22269</v>
      </c>
      <c r="O98" s="74">
        <f>SUM(Tabla22[[#This Row],[Bonus1]:[p2]])</f>
        <v>94147.016199999998</v>
      </c>
      <c r="P98" s="71">
        <f>IF(Tabla22[[#This Row],[QualityBonus]]&gt;0,Tabla22[[#This Row],[No wages]]-$C$4,"")</f>
        <v>46284.731961557773</v>
      </c>
    </row>
    <row r="99" spans="1:16" x14ac:dyDescent="0.25">
      <c r="A99" s="13">
        <v>83</v>
      </c>
      <c r="B99" s="13" t="s">
        <v>13</v>
      </c>
      <c r="C99" s="66">
        <v>1.89E-2</v>
      </c>
      <c r="D99" s="2" t="s">
        <v>53</v>
      </c>
      <c r="E99" s="73">
        <v>41850</v>
      </c>
      <c r="F99" s="5">
        <v>2</v>
      </c>
      <c r="G99" s="2" t="s">
        <v>57</v>
      </c>
      <c r="H99" s="73">
        <v>86551</v>
      </c>
      <c r="I99" s="5">
        <v>2</v>
      </c>
      <c r="J99" s="74">
        <f>Tabla22[[#This Row],[Base price1]]*Tabla22[[#This Row],[Req.]]+Tabla22[[#This Row],[Base price2]]*Tabla22[[#This Row],[Req.2]]</f>
        <v>256802</v>
      </c>
      <c r="K99" s="71">
        <f>IFERROR(LOOKUP(Tabla22[[#This Row],[Product]],$R$18:$R$23,$T$18:$T$23)*Tabla22[[#This Row],[QualityBonus]]*Tabla22[[#This Row],[Base price1]]*Tabla22[[#This Row],[Req.]],0)</f>
        <v>6327.72</v>
      </c>
      <c r="L99" s="71">
        <f>IF(Tabla22[[#This Row],[Req.2]]&gt;0,LOOKUP(Tabla22[[#This Row],[Product2]],$R$18:$R$23,$T$18:$T$23)*Tabla22[[#This Row],[Base price2]]*Tabla22[[#This Row],[Req.2]]*Tabla22[[#This Row],[QualityBonus]],0)</f>
        <v>13086.511200000001</v>
      </c>
      <c r="M99" s="74">
        <f>IFERROR((Tabla22[[#This Row],[Base price1]]-LOOKUP(Tabla22[[#This Row],[Product]],$R$18:$R$23,$S$18:$S$23))*Tabla22[[#This Row],[Req.]],0)</f>
        <v>15700</v>
      </c>
      <c r="N99" s="71">
        <f>IF(Tabla22[[#This Row],[Req.2]]&gt;0,(Tabla22[[#This Row],[Base price2]]-LOOKUP(Tabla22[[#This Row],[Product2]],$R$18:$R$23,$S$18:$S$23))*Tabla22[[#This Row],[Req.2]],0)</f>
        <v>19102</v>
      </c>
      <c r="O99" s="74">
        <f>SUM(Tabla22[[#This Row],[Bonus1]:[p2]])</f>
        <v>54216.231200000002</v>
      </c>
      <c r="P99" s="71">
        <f>IF(Tabla22[[#This Row],[QualityBonus]]&gt;0,Tabla22[[#This Row],[No wages]]-$C$4,"")</f>
        <v>6353.9469615577764</v>
      </c>
    </row>
    <row r="100" spans="1:16" x14ac:dyDescent="0.25">
      <c r="A100" s="13">
        <v>84</v>
      </c>
      <c r="B100" s="13" t="s">
        <v>13</v>
      </c>
      <c r="C100" s="66">
        <v>1.24E-2</v>
      </c>
      <c r="D100" s="2" t="s">
        <v>53</v>
      </c>
      <c r="E100" s="73">
        <v>40715</v>
      </c>
      <c r="F100" s="5">
        <v>4</v>
      </c>
      <c r="G100" s="2" t="s">
        <v>52</v>
      </c>
      <c r="H100" s="73">
        <v>116281</v>
      </c>
      <c r="I100" s="5">
        <v>1</v>
      </c>
      <c r="J100" s="74">
        <f>Tabla22[[#This Row],[Base price1]]*Tabla22[[#This Row],[Req.]]+Tabla22[[#This Row],[Base price2]]*Tabla22[[#This Row],[Req.2]]</f>
        <v>279141</v>
      </c>
      <c r="K100" s="71">
        <f>IFERROR(LOOKUP(Tabla22[[#This Row],[Product]],$R$18:$R$23,$T$18:$T$23)*Tabla22[[#This Row],[QualityBonus]]*Tabla22[[#This Row],[Base price1]]*Tabla22[[#This Row],[Req.]],0)</f>
        <v>8077.8559999999998</v>
      </c>
      <c r="L100" s="71">
        <f>IF(Tabla22[[#This Row],[Req.2]]&gt;0,LOOKUP(Tabla22[[#This Row],[Product2]],$R$18:$R$23,$T$18:$T$23)*Tabla22[[#This Row],[Base price2]]*Tabla22[[#This Row],[Req.2]]*Tabla22[[#This Row],[QualityBonus]],0)</f>
        <v>8651.3063999999995</v>
      </c>
      <c r="M100" s="74">
        <f>IFERROR((Tabla22[[#This Row],[Base price1]]-LOOKUP(Tabla22[[#This Row],[Product]],$R$18:$R$23,$S$18:$S$23))*Tabla22[[#This Row],[Req.]],0)</f>
        <v>26860</v>
      </c>
      <c r="N100" s="71">
        <f>IF(Tabla22[[#This Row],[Req.2]]&gt;0,(Tabla22[[#This Row],[Base price2]]-LOOKUP(Tabla22[[#This Row],[Product2]],$R$18:$R$23,$S$18:$S$23))*Tabla22[[#This Row],[Req.2]],0)</f>
        <v>281</v>
      </c>
      <c r="O100" s="74">
        <f>SUM(Tabla22[[#This Row],[Bonus1]:[p2]])</f>
        <v>43870.162400000001</v>
      </c>
      <c r="P100" s="71">
        <f>IF(Tabla22[[#This Row],[QualityBonus]]&gt;0,Tabla22[[#This Row],[No wages]]-$C$4,"")</f>
        <v>-3992.1218384422245</v>
      </c>
    </row>
    <row r="101" spans="1:16" x14ac:dyDescent="0.25">
      <c r="A101" s="13">
        <v>85</v>
      </c>
      <c r="B101" s="13" t="s">
        <v>13</v>
      </c>
      <c r="C101" s="66">
        <v>1.6400000000000001E-2</v>
      </c>
      <c r="D101" s="2" t="s">
        <v>54</v>
      </c>
      <c r="E101" s="73">
        <v>59784</v>
      </c>
      <c r="F101" s="5">
        <v>2</v>
      </c>
      <c r="G101" s="2"/>
      <c r="H101" s="73"/>
      <c r="I101" s="5"/>
      <c r="J101" s="74">
        <f>Tabla22[[#This Row],[Base price1]]*Tabla22[[#This Row],[Req.]]+Tabla22[[#This Row],[Base price2]]*Tabla22[[#This Row],[Req.2]]</f>
        <v>119568</v>
      </c>
      <c r="K101" s="71">
        <f>IFERROR(LOOKUP(Tabla22[[#This Row],[Product]],$R$18:$R$23,$T$18:$T$23)*Tabla22[[#This Row],[QualityBonus]]*Tabla22[[#This Row],[Base price1]]*Tabla22[[#This Row],[Req.]],0)</f>
        <v>9804.5760000000009</v>
      </c>
      <c r="L101" s="71">
        <f>IF(Tabla22[[#This Row],[Req.2]]&gt;0,LOOKUP(Tabla22[[#This Row],[Product2]],$R$18:$R$23,$T$18:$T$23)*Tabla22[[#This Row],[Base price2]]*Tabla22[[#This Row],[Req.2]]*Tabla22[[#This Row],[QualityBonus]],0)</f>
        <v>0</v>
      </c>
      <c r="M101" s="74">
        <f>IFERROR((Tabla22[[#This Row],[Base price1]]-LOOKUP(Tabla22[[#This Row],[Product]],$R$18:$R$23,$S$18:$S$23))*Tabla22[[#This Row],[Req.]],0)</f>
        <v>6568</v>
      </c>
      <c r="N101" s="71">
        <f>IF(Tabla22[[#This Row],[Req.2]]&gt;0,(Tabla22[[#This Row],[Base price2]]-LOOKUP(Tabla22[[#This Row],[Product2]],$R$18:$R$23,$S$18:$S$23))*Tabla22[[#This Row],[Req.2]],0)</f>
        <v>0</v>
      </c>
      <c r="O101" s="74">
        <f>SUM(Tabla22[[#This Row],[Bonus1]:[p2]])</f>
        <v>16372.576000000001</v>
      </c>
      <c r="P101" s="71">
        <f>IF(Tabla22[[#This Row],[QualityBonus]]&gt;0,Tabla22[[#This Row],[No wages]]-$C$4,"")</f>
        <v>-31489.708238442225</v>
      </c>
    </row>
    <row r="102" spans="1:16" x14ac:dyDescent="0.25">
      <c r="A102" s="13">
        <v>86</v>
      </c>
      <c r="B102" s="13" t="s">
        <v>13</v>
      </c>
      <c r="C102" s="66">
        <v>2.8899999999999999E-2</v>
      </c>
      <c r="D102" s="2" t="s">
        <v>53</v>
      </c>
      <c r="E102" s="73">
        <v>40520</v>
      </c>
      <c r="F102" s="5">
        <v>2</v>
      </c>
      <c r="G102" s="2"/>
      <c r="H102" s="73"/>
      <c r="I102" s="5"/>
      <c r="J102" s="74">
        <f>Tabla22[[#This Row],[Base price1]]*Tabla22[[#This Row],[Req.]]+Tabla22[[#This Row],[Base price2]]*Tabla22[[#This Row],[Req.2]]</f>
        <v>81040</v>
      </c>
      <c r="K102" s="71">
        <f>IFERROR(LOOKUP(Tabla22[[#This Row],[Product]],$R$18:$R$23,$T$18:$T$23)*Tabla22[[#This Row],[QualityBonus]]*Tabla22[[#This Row],[Base price1]]*Tabla22[[#This Row],[Req.]],0)</f>
        <v>9368.2240000000002</v>
      </c>
      <c r="L102" s="71">
        <f>IF(Tabla22[[#This Row],[Req.2]]&gt;0,LOOKUP(Tabla22[[#This Row],[Product2]],$R$18:$R$23,$T$18:$T$23)*Tabla22[[#This Row],[Base price2]]*Tabla22[[#This Row],[Req.2]]*Tabla22[[#This Row],[QualityBonus]],0)</f>
        <v>0</v>
      </c>
      <c r="M102" s="74">
        <f>IFERROR((Tabla22[[#This Row],[Base price1]]-LOOKUP(Tabla22[[#This Row],[Product]],$R$18:$R$23,$S$18:$S$23))*Tabla22[[#This Row],[Req.]],0)</f>
        <v>13040</v>
      </c>
      <c r="N102" s="71">
        <f>IF(Tabla22[[#This Row],[Req.2]]&gt;0,(Tabla22[[#This Row],[Base price2]]-LOOKUP(Tabla22[[#This Row],[Product2]],$R$18:$R$23,$S$18:$S$23))*Tabla22[[#This Row],[Req.2]],0)</f>
        <v>0</v>
      </c>
      <c r="O102" s="74">
        <f>SUM(Tabla22[[#This Row],[Bonus1]:[p2]])</f>
        <v>22408.224000000002</v>
      </c>
      <c r="P102" s="71">
        <f>IF(Tabla22[[#This Row],[QualityBonus]]&gt;0,Tabla22[[#This Row],[No wages]]-$C$4,"")</f>
        <v>-25454.060238442224</v>
      </c>
    </row>
    <row r="103" spans="1:16" x14ac:dyDescent="0.25">
      <c r="A103" s="13">
        <v>87</v>
      </c>
      <c r="B103" s="13" t="s">
        <v>13</v>
      </c>
      <c r="C103" s="66">
        <v>1.66E-2</v>
      </c>
      <c r="D103" s="2" t="s">
        <v>55</v>
      </c>
      <c r="E103" s="73">
        <v>84835</v>
      </c>
      <c r="F103" s="5">
        <v>1</v>
      </c>
      <c r="G103" s="2" t="s">
        <v>54</v>
      </c>
      <c r="H103" s="73">
        <v>60176</v>
      </c>
      <c r="I103" s="5">
        <v>2</v>
      </c>
      <c r="J103" s="74">
        <f>Tabla22[[#This Row],[Base price1]]*Tabla22[[#This Row],[Req.]]+Tabla22[[#This Row],[Base price2]]*Tabla22[[#This Row],[Req.2]]</f>
        <v>205187</v>
      </c>
      <c r="K103" s="73">
        <f>IFERROR(LOOKUP(Tabla22[[#This Row],[Product]],$R$18:$R$23,$T$18:$T$23)*Tabla22[[#This Row],[QualityBonus]]*Tabla22[[#This Row],[Base price1]]*Tabla22[[#This Row],[Req.]],0)</f>
        <v>5633.0439999999999</v>
      </c>
      <c r="L103" s="73">
        <f>IF(Tabla22[[#This Row],[Req.2]]&gt;0,LOOKUP(Tabla22[[#This Row],[Product2]],$R$18:$R$23,$T$18:$T$23)*Tabla22[[#This Row],[Base price2]]*Tabla22[[#This Row],[Req.2]]*Tabla22[[#This Row],[QualityBonus]],0)</f>
        <v>9989.2160000000003</v>
      </c>
      <c r="M103" s="74">
        <f>IFERROR((Tabla22[[#This Row],[Base price1]]-LOOKUP(Tabla22[[#This Row],[Product]],$R$18:$R$23,$S$18:$S$23))*Tabla22[[#This Row],[Req.]],0)</f>
        <v>7835</v>
      </c>
      <c r="N103" s="73">
        <f>IF(Tabla22[[#This Row],[Req.2]]&gt;0,(Tabla22[[#This Row],[Base price2]]-LOOKUP(Tabla22[[#This Row],[Product2]],$R$18:$R$23,$S$18:$S$23))*Tabla22[[#This Row],[Req.2]],0)</f>
        <v>7352</v>
      </c>
      <c r="O103" s="74">
        <f>SUM(Tabla22[[#This Row],[Bonus1]:[p2]])</f>
        <v>30809.260000000002</v>
      </c>
      <c r="P103" s="73">
        <f>IF(Tabla22[[#This Row],[QualityBonus]]&gt;0,Tabla22[[#This Row],[No wages]]-$C$4,"")</f>
        <v>-17053.024238442224</v>
      </c>
    </row>
    <row r="104" spans="1:16" x14ac:dyDescent="0.25">
      <c r="A104" s="13">
        <v>88</v>
      </c>
      <c r="B104" s="13" t="s">
        <v>13</v>
      </c>
      <c r="C104" s="66">
        <v>2.41E-2</v>
      </c>
      <c r="D104" s="2" t="s">
        <v>52</v>
      </c>
      <c r="E104" s="73">
        <v>120859</v>
      </c>
      <c r="F104" s="5">
        <v>4</v>
      </c>
      <c r="G104" s="2" t="s">
        <v>54</v>
      </c>
      <c r="H104" s="73">
        <v>59175</v>
      </c>
      <c r="I104" s="5">
        <v>2</v>
      </c>
      <c r="J104" s="74">
        <f>Tabla22[[#This Row],[Base price1]]*Tabla22[[#This Row],[Req.]]+Tabla22[[#This Row],[Base price2]]*Tabla22[[#This Row],[Req.2]]</f>
        <v>601786</v>
      </c>
      <c r="K104" s="73">
        <f>IFERROR(LOOKUP(Tabla22[[#This Row],[Product]],$R$18:$R$23,$T$18:$T$23)*Tabla22[[#This Row],[QualityBonus]]*Tabla22[[#This Row],[Base price1]]*Tabla22[[#This Row],[Req.]],0)</f>
        <v>69904.845600000001</v>
      </c>
      <c r="L104" s="73">
        <f>IF(Tabla22[[#This Row],[Req.2]]&gt;0,LOOKUP(Tabla22[[#This Row],[Product2]],$R$18:$R$23,$T$18:$T$23)*Tabla22[[#This Row],[Base price2]]*Tabla22[[#This Row],[Req.2]]*Tabla22[[#This Row],[QualityBonus]],0)</f>
        <v>14261.174999999999</v>
      </c>
      <c r="M104" s="74">
        <f>IFERROR((Tabla22[[#This Row],[Base price1]]-LOOKUP(Tabla22[[#This Row],[Product]],$R$18:$R$23,$S$18:$S$23))*Tabla22[[#This Row],[Req.]],0)</f>
        <v>19436</v>
      </c>
      <c r="N104" s="73">
        <f>IF(Tabla22[[#This Row],[Req.2]]&gt;0,(Tabla22[[#This Row],[Base price2]]-LOOKUP(Tabla22[[#This Row],[Product2]],$R$18:$R$23,$S$18:$S$23))*Tabla22[[#This Row],[Req.2]],0)</f>
        <v>5350</v>
      </c>
      <c r="O104" s="74">
        <f>SUM(Tabla22[[#This Row],[Bonus1]:[p2]])</f>
        <v>108952.0206</v>
      </c>
      <c r="P104" s="73">
        <f>IF(Tabla22[[#This Row],[QualityBonus]]&gt;0,Tabla22[[#This Row],[No wages]]-$C$4,"")</f>
        <v>61089.736361557778</v>
      </c>
    </row>
    <row r="105" spans="1:16" x14ac:dyDescent="0.25">
      <c r="A105" s="13">
        <v>89</v>
      </c>
      <c r="B105" s="13" t="s">
        <v>13</v>
      </c>
      <c r="C105" s="66">
        <v>1.3899999999999999E-2</v>
      </c>
      <c r="D105" s="2" t="s">
        <v>57</v>
      </c>
      <c r="E105" s="73">
        <v>82491</v>
      </c>
      <c r="F105" s="5">
        <v>1</v>
      </c>
      <c r="G105" s="2" t="s">
        <v>53</v>
      </c>
      <c r="H105" s="73">
        <v>42647</v>
      </c>
      <c r="I105" s="5">
        <v>4</v>
      </c>
      <c r="J105" s="74">
        <f>Tabla22[[#This Row],[Base price1]]*Tabla22[[#This Row],[Req.]]+Tabla22[[#This Row],[Base price2]]*Tabla22[[#This Row],[Req.2]]</f>
        <v>253079</v>
      </c>
      <c r="K105" s="73">
        <f>IFERROR(LOOKUP(Tabla22[[#This Row],[Product]],$R$18:$R$23,$T$18:$T$23)*Tabla22[[#This Row],[QualityBonus]]*Tabla22[[#This Row],[Base price1]]*Tabla22[[#This Row],[Req.]],0)</f>
        <v>4586.4996000000001</v>
      </c>
      <c r="L105" s="73">
        <f>IF(Tabla22[[#This Row],[Req.2]]&gt;0,LOOKUP(Tabla22[[#This Row],[Product2]],$R$18:$R$23,$T$18:$T$23)*Tabla22[[#This Row],[Base price2]]*Tabla22[[#This Row],[Req.2]]*Tabla22[[#This Row],[QualityBonus]],0)</f>
        <v>9484.6927999999989</v>
      </c>
      <c r="M105" s="74">
        <f>IFERROR((Tabla22[[#This Row],[Base price1]]-LOOKUP(Tabla22[[#This Row],[Product]],$R$18:$R$23,$S$18:$S$23))*Tabla22[[#This Row],[Req.]],0)</f>
        <v>5491</v>
      </c>
      <c r="N105" s="73">
        <f>IF(Tabla22[[#This Row],[Req.2]]&gt;0,(Tabla22[[#This Row],[Base price2]]-LOOKUP(Tabla22[[#This Row],[Product2]],$R$18:$R$23,$S$18:$S$23))*Tabla22[[#This Row],[Req.2]],0)</f>
        <v>34588</v>
      </c>
      <c r="O105" s="74">
        <f>SUM(Tabla22[[#This Row],[Bonus1]:[p2]])</f>
        <v>54150.1924</v>
      </c>
      <c r="P105" s="73">
        <f>IF(Tabla22[[#This Row],[QualityBonus]]&gt;0,Tabla22[[#This Row],[No wages]]-$C$4,"")</f>
        <v>6287.9081615577743</v>
      </c>
    </row>
    <row r="106" spans="1:16" x14ac:dyDescent="0.25">
      <c r="A106" s="13">
        <v>90</v>
      </c>
      <c r="B106" s="13" t="s">
        <v>13</v>
      </c>
      <c r="C106" s="66">
        <v>2.0299999999999999E-2</v>
      </c>
      <c r="D106" s="2" t="s">
        <v>57</v>
      </c>
      <c r="E106" s="73">
        <v>84532</v>
      </c>
      <c r="F106" s="5">
        <v>4</v>
      </c>
      <c r="G106" s="2" t="s">
        <v>53</v>
      </c>
      <c r="H106" s="73">
        <v>41135</v>
      </c>
      <c r="I106" s="5">
        <v>2</v>
      </c>
      <c r="J106" s="74">
        <f>Tabla22[[#This Row],[Base price1]]*Tabla22[[#This Row],[Req.]]+Tabla22[[#This Row],[Base price2]]*Tabla22[[#This Row],[Req.2]]</f>
        <v>420398</v>
      </c>
      <c r="K106" s="73">
        <f>IFERROR(LOOKUP(Tabla22[[#This Row],[Product]],$R$18:$R$23,$T$18:$T$23)*Tabla22[[#This Row],[QualityBonus]]*Tabla22[[#This Row],[Base price1]]*Tabla22[[#This Row],[Req.]],0)</f>
        <v>27455.993599999998</v>
      </c>
      <c r="L106" s="73">
        <f>IF(Tabla22[[#This Row],[Req.2]]&gt;0,LOOKUP(Tabla22[[#This Row],[Product2]],$R$18:$R$23,$T$18:$T$23)*Tabla22[[#This Row],[Base price2]]*Tabla22[[#This Row],[Req.2]]*Tabla22[[#This Row],[QualityBonus]],0)</f>
        <v>6680.3239999999996</v>
      </c>
      <c r="M106" s="74">
        <f>IFERROR((Tabla22[[#This Row],[Base price1]]-LOOKUP(Tabla22[[#This Row],[Product]],$R$18:$R$23,$S$18:$S$23))*Tabla22[[#This Row],[Req.]],0)</f>
        <v>30128</v>
      </c>
      <c r="N106" s="73">
        <f>IF(Tabla22[[#This Row],[Req.2]]&gt;0,(Tabla22[[#This Row],[Base price2]]-LOOKUP(Tabla22[[#This Row],[Product2]],$R$18:$R$23,$S$18:$S$23))*Tabla22[[#This Row],[Req.2]],0)</f>
        <v>14270</v>
      </c>
      <c r="O106" s="74">
        <f>SUM(Tabla22[[#This Row],[Bonus1]:[p2]])</f>
        <v>78534.317599999995</v>
      </c>
      <c r="P106" s="73">
        <f>IF(Tabla22[[#This Row],[QualityBonus]]&gt;0,Tabla22[[#This Row],[No wages]]-$C$4,"")</f>
        <v>30672.033361557769</v>
      </c>
    </row>
    <row r="107" spans="1:16" x14ac:dyDescent="0.25">
      <c r="A107" s="13">
        <v>91</v>
      </c>
      <c r="B107" s="13" t="s">
        <v>13</v>
      </c>
      <c r="C107" s="66">
        <v>2.5600000000000001E-2</v>
      </c>
      <c r="D107" s="2" t="s">
        <v>53</v>
      </c>
      <c r="E107" s="73">
        <v>42019</v>
      </c>
      <c r="F107" s="5">
        <v>2</v>
      </c>
      <c r="G107" s="2" t="s">
        <v>57</v>
      </c>
      <c r="H107" s="73">
        <v>83026</v>
      </c>
      <c r="I107" s="5">
        <v>4</v>
      </c>
      <c r="J107" s="74">
        <f>Tabla22[[#This Row],[Base price1]]*Tabla22[[#This Row],[Req.]]+Tabla22[[#This Row],[Base price2]]*Tabla22[[#This Row],[Req.2]]</f>
        <v>416142</v>
      </c>
      <c r="K107" s="73">
        <f>IFERROR(LOOKUP(Tabla22[[#This Row],[Product]],$R$18:$R$23,$T$18:$T$23)*Tabla22[[#This Row],[QualityBonus]]*Tabla22[[#This Row],[Base price1]]*Tabla22[[#This Row],[Req.]],0)</f>
        <v>8605.4912000000004</v>
      </c>
      <c r="L107" s="73">
        <f>IF(Tabla22[[#This Row],[Req.2]]&gt;0,LOOKUP(Tabla22[[#This Row],[Product2]],$R$18:$R$23,$T$18:$T$23)*Tabla22[[#This Row],[Base price2]]*Tabla22[[#This Row],[Req.2]]*Tabla22[[#This Row],[QualityBonus]],0)</f>
        <v>34007.4496</v>
      </c>
      <c r="M107" s="74">
        <f>IFERROR((Tabla22[[#This Row],[Base price1]]-LOOKUP(Tabla22[[#This Row],[Product]],$R$18:$R$23,$S$18:$S$23))*Tabla22[[#This Row],[Req.]],0)</f>
        <v>16038</v>
      </c>
      <c r="N107" s="73">
        <f>IF(Tabla22[[#This Row],[Req.2]]&gt;0,(Tabla22[[#This Row],[Base price2]]-LOOKUP(Tabla22[[#This Row],[Product2]],$R$18:$R$23,$S$18:$S$23))*Tabla22[[#This Row],[Req.2]],0)</f>
        <v>24104</v>
      </c>
      <c r="O107" s="74">
        <f>SUM(Tabla22[[#This Row],[Bonus1]:[p2]])</f>
        <v>82754.940799999997</v>
      </c>
      <c r="P107" s="73">
        <f>IF(Tabla22[[#This Row],[QualityBonus]]&gt;0,Tabla22[[#This Row],[No wages]]-$C$4,"")</f>
        <v>34892.656561557771</v>
      </c>
    </row>
    <row r="108" spans="1:16" x14ac:dyDescent="0.25">
      <c r="A108" s="13">
        <v>92</v>
      </c>
      <c r="B108" s="13" t="s">
        <v>13</v>
      </c>
      <c r="C108" s="66">
        <v>1.18E-2</v>
      </c>
      <c r="D108" s="2" t="s">
        <v>53</v>
      </c>
      <c r="E108" s="73">
        <v>41823</v>
      </c>
      <c r="F108" s="5">
        <v>3</v>
      </c>
      <c r="G108" s="2"/>
      <c r="H108" s="73"/>
      <c r="I108" s="5"/>
      <c r="J108" s="74">
        <f>Tabla22[[#This Row],[Base price1]]*Tabla22[[#This Row],[Req.]]+Tabla22[[#This Row],[Base price2]]*Tabla22[[#This Row],[Req.2]]</f>
        <v>125469</v>
      </c>
      <c r="K108" s="73">
        <f>IFERROR(LOOKUP(Tabla22[[#This Row],[Product]],$R$18:$R$23,$T$18:$T$23)*Tabla22[[#This Row],[QualityBonus]]*Tabla22[[#This Row],[Base price1]]*Tabla22[[#This Row],[Req.]],0)</f>
        <v>5922.1368000000002</v>
      </c>
      <c r="L108" s="73">
        <f>IF(Tabla22[[#This Row],[Req.2]]&gt;0,LOOKUP(Tabla22[[#This Row],[Product2]],$R$18:$R$23,$T$18:$T$23)*Tabla22[[#This Row],[Base price2]]*Tabla22[[#This Row],[Req.2]]*Tabla22[[#This Row],[QualityBonus]],0)</f>
        <v>0</v>
      </c>
      <c r="M108" s="74">
        <f>IFERROR((Tabla22[[#This Row],[Base price1]]-LOOKUP(Tabla22[[#This Row],[Product]],$R$18:$R$23,$S$18:$S$23))*Tabla22[[#This Row],[Req.]],0)</f>
        <v>23469</v>
      </c>
      <c r="N108" s="73">
        <f>IF(Tabla22[[#This Row],[Req.2]]&gt;0,(Tabla22[[#This Row],[Base price2]]-LOOKUP(Tabla22[[#This Row],[Product2]],$R$18:$R$23,$S$18:$S$23))*Tabla22[[#This Row],[Req.2]],0)</f>
        <v>0</v>
      </c>
      <c r="O108" s="74">
        <f>SUM(Tabla22[[#This Row],[Bonus1]:[p2]])</f>
        <v>29391.1368</v>
      </c>
      <c r="P108" s="73">
        <f>IF(Tabla22[[#This Row],[QualityBonus]]&gt;0,Tabla22[[#This Row],[No wages]]-$C$4,"")</f>
        <v>-18471.147438442225</v>
      </c>
    </row>
    <row r="109" spans="1:16" x14ac:dyDescent="0.25">
      <c r="A109" s="13">
        <v>93</v>
      </c>
      <c r="B109" s="13" t="s">
        <v>13</v>
      </c>
      <c r="C109" s="66">
        <v>1.3299999999999999E-2</v>
      </c>
      <c r="D109" s="2" t="s">
        <v>54</v>
      </c>
      <c r="E109" s="73">
        <v>59933</v>
      </c>
      <c r="F109" s="5">
        <v>1</v>
      </c>
      <c r="G109" s="2" t="s">
        <v>53</v>
      </c>
      <c r="H109" s="73">
        <v>40710</v>
      </c>
      <c r="I109" s="5">
        <v>3</v>
      </c>
      <c r="J109" s="74">
        <f>Tabla22[[#This Row],[Base price1]]*Tabla22[[#This Row],[Req.]]+Tabla22[[#This Row],[Base price2]]*Tabla22[[#This Row],[Req.2]]</f>
        <v>182063</v>
      </c>
      <c r="K109" s="73">
        <f>IFERROR(LOOKUP(Tabla22[[#This Row],[Product]],$R$18:$R$23,$T$18:$T$23)*Tabla22[[#This Row],[QualityBonus]]*Tabla22[[#This Row],[Base price1]]*Tabla22[[#This Row],[Req.]],0)</f>
        <v>3985.5445000000004</v>
      </c>
      <c r="L109" s="73">
        <f>IF(Tabla22[[#This Row],[Req.2]]&gt;0,LOOKUP(Tabla22[[#This Row],[Product2]],$R$18:$R$23,$T$18:$T$23)*Tabla22[[#This Row],[Base price2]]*Tabla22[[#This Row],[Req.2]]*Tabla22[[#This Row],[QualityBonus]],0)</f>
        <v>6497.3159999999998</v>
      </c>
      <c r="M109" s="74">
        <f>IFERROR((Tabla22[[#This Row],[Base price1]]-LOOKUP(Tabla22[[#This Row],[Product]],$R$18:$R$23,$S$18:$S$23))*Tabla22[[#This Row],[Req.]],0)</f>
        <v>3433</v>
      </c>
      <c r="N109" s="73">
        <f>IF(Tabla22[[#This Row],[Req.2]]&gt;0,(Tabla22[[#This Row],[Base price2]]-LOOKUP(Tabla22[[#This Row],[Product2]],$R$18:$R$23,$S$18:$S$23))*Tabla22[[#This Row],[Req.2]],0)</f>
        <v>20130</v>
      </c>
      <c r="O109" s="74">
        <f>SUM(Tabla22[[#This Row],[Bonus1]:[p2]])</f>
        <v>34045.860500000003</v>
      </c>
      <c r="P109" s="73">
        <f>IF(Tabla22[[#This Row],[QualityBonus]]&gt;0,Tabla22[[#This Row],[No wages]]-$C$4,"")</f>
        <v>-13816.423738442223</v>
      </c>
    </row>
    <row r="110" spans="1:16" x14ac:dyDescent="0.25">
      <c r="A110" s="13">
        <v>94</v>
      </c>
      <c r="B110" s="13" t="s">
        <v>13</v>
      </c>
      <c r="C110" s="66">
        <v>1.7100000000000001E-2</v>
      </c>
      <c r="D110" s="2" t="s">
        <v>56</v>
      </c>
      <c r="E110" s="73">
        <v>227734</v>
      </c>
      <c r="F110" s="5">
        <v>4</v>
      </c>
      <c r="G110" s="2" t="s">
        <v>54</v>
      </c>
      <c r="H110" s="73">
        <v>61060</v>
      </c>
      <c r="I110" s="5">
        <v>3</v>
      </c>
      <c r="J110" s="74">
        <f>Tabla22[[#This Row],[Base price1]]*Tabla22[[#This Row],[Req.]]+Tabla22[[#This Row],[Base price2]]*Tabla22[[#This Row],[Req.2]]</f>
        <v>1094116</v>
      </c>
      <c r="K110" s="73">
        <f>IFERROR(LOOKUP(Tabla22[[#This Row],[Product]],$R$18:$R$23,$T$18:$T$23)*Tabla22[[#This Row],[QualityBonus]]*Tabla22[[#This Row],[Base price1]]*Tabla22[[#This Row],[Req.]],0)</f>
        <v>46731.016799999998</v>
      </c>
      <c r="L110" s="73">
        <f>IF(Tabla22[[#This Row],[Req.2]]&gt;0,LOOKUP(Tabla22[[#This Row],[Product2]],$R$18:$R$23,$T$18:$T$23)*Tabla22[[#This Row],[Base price2]]*Tabla22[[#This Row],[Req.2]]*Tabla22[[#This Row],[QualityBonus]],0)</f>
        <v>15661.890000000001</v>
      </c>
      <c r="M110" s="74">
        <f>IFERROR((Tabla22[[#This Row],[Base price1]]-LOOKUP(Tabla22[[#This Row],[Product]],$R$18:$R$23,$S$18:$S$23))*Tabla22[[#This Row],[Req.]],0)</f>
        <v>26936</v>
      </c>
      <c r="N110" s="73">
        <f>IF(Tabla22[[#This Row],[Req.2]]&gt;0,(Tabla22[[#This Row],[Base price2]]-LOOKUP(Tabla22[[#This Row],[Product2]],$R$18:$R$23,$S$18:$S$23))*Tabla22[[#This Row],[Req.2]],0)</f>
        <v>13680</v>
      </c>
      <c r="O110" s="74">
        <f>SUM(Tabla22[[#This Row],[Bonus1]:[p2]])</f>
        <v>103008.9068</v>
      </c>
      <c r="P110" s="73">
        <f>IF(Tabla22[[#This Row],[QualityBonus]]&gt;0,Tabla22[[#This Row],[No wages]]-$C$4,"")</f>
        <v>55146.622561557771</v>
      </c>
    </row>
    <row r="111" spans="1:16" x14ac:dyDescent="0.25">
      <c r="A111" s="13">
        <v>95</v>
      </c>
      <c r="B111" s="13" t="s">
        <v>13</v>
      </c>
      <c r="C111" s="36">
        <v>1.29E-2</v>
      </c>
      <c r="D111" s="2" t="s">
        <v>52</v>
      </c>
      <c r="E111" s="71">
        <v>116994</v>
      </c>
      <c r="F111" s="4">
        <v>2</v>
      </c>
      <c r="G111" s="2" t="s">
        <v>54</v>
      </c>
      <c r="H111" s="71">
        <v>62623</v>
      </c>
      <c r="I111" s="4">
        <v>3</v>
      </c>
      <c r="J111" s="74">
        <f>Tabla22[[#This Row],[Base price1]]*Tabla22[[#This Row],[Req.]]+Tabla22[[#This Row],[Base price2]]*Tabla22[[#This Row],[Req.2]]</f>
        <v>421857</v>
      </c>
      <c r="K111" s="71">
        <f>IFERROR(LOOKUP(Tabla22[[#This Row],[Product]],$R$18:$R$23,$T$18:$T$23)*Tabla22[[#This Row],[QualityBonus]]*Tabla22[[#This Row],[Base price1]]*Tabla22[[#This Row],[Req.]],0)</f>
        <v>18110.671200000001</v>
      </c>
      <c r="L111" s="71">
        <f>IF(Tabla22[[#This Row],[Req.2]]&gt;0,LOOKUP(Tabla22[[#This Row],[Product2]],$R$18:$R$23,$T$18:$T$23)*Tabla22[[#This Row],[Base price2]]*Tabla22[[#This Row],[Req.2]]*Tabla22[[#This Row],[QualityBonus]],0)</f>
        <v>12117.550499999999</v>
      </c>
      <c r="M111" s="74">
        <f>IFERROR((Tabla22[[#This Row],[Base price1]]-LOOKUP(Tabla22[[#This Row],[Product]],$R$18:$R$23,$S$18:$S$23))*Tabla22[[#This Row],[Req.]],0)</f>
        <v>1988</v>
      </c>
      <c r="N111" s="71">
        <f>IF(Tabla22[[#This Row],[Req.2]]&gt;0,(Tabla22[[#This Row],[Base price2]]-LOOKUP(Tabla22[[#This Row],[Product2]],$R$18:$R$23,$S$18:$S$23))*Tabla22[[#This Row],[Req.2]],0)</f>
        <v>18369</v>
      </c>
      <c r="O111" s="74">
        <f>SUM(Tabla22[[#This Row],[Bonus1]:[p2]])</f>
        <v>50585.221700000002</v>
      </c>
      <c r="P111" s="71">
        <f>IF(Tabla22[[#This Row],[QualityBonus]]&gt;0,Tabla22[[#This Row],[No wages]]-$C$4,"")</f>
        <v>2722.9374615577763</v>
      </c>
    </row>
    <row r="112" spans="1:16" x14ac:dyDescent="0.25">
      <c r="A112" s="24">
        <v>96</v>
      </c>
      <c r="B112" s="24" t="s">
        <v>13</v>
      </c>
      <c r="C112" s="44">
        <v>2.63E-2</v>
      </c>
      <c r="D112" s="37" t="s">
        <v>27</v>
      </c>
      <c r="E112" s="72">
        <v>856479</v>
      </c>
      <c r="F112" s="39">
        <v>1</v>
      </c>
      <c r="G112" s="37" t="s">
        <v>56</v>
      </c>
      <c r="H112" s="72">
        <v>225150</v>
      </c>
      <c r="I112" s="39">
        <v>1</v>
      </c>
      <c r="J112" s="75">
        <f>Tabla22[[#This Row],[Base price1]]*Tabla22[[#This Row],[Req.]]+Tabla22[[#This Row],[Base price2]]*Tabla22[[#This Row],[Req.2]]</f>
        <v>1081629</v>
      </c>
      <c r="K112" s="72">
        <f>IFERROR(LOOKUP(Tabla22[[#This Row],[Product]],$R$18:$R$23,$T$18:$T$23)*Tabla22[[#This Row],[QualityBonus]]*Tabla22[[#This Row],[Base price1]]*Tabla22[[#This Row],[Req.]],0)</f>
        <v>135152.38620000001</v>
      </c>
      <c r="L112" s="72">
        <f>IF(Tabla22[[#This Row],[Req.2]]&gt;0,LOOKUP(Tabla22[[#This Row],[Product2]],$R$18:$R$23,$T$18:$T$23)*Tabla22[[#This Row],[Base price2]]*Tabla22[[#This Row],[Req.2]]*Tabla22[[#This Row],[QualityBonus]],0)</f>
        <v>17764.334999999999</v>
      </c>
      <c r="M112" s="75">
        <f>IFERROR((Tabla22[[#This Row],[Base price1]]-LOOKUP(Tabla22[[#This Row],[Product]],$R$18:$R$23,$S$18:$S$23))*Tabla22[[#This Row],[Req.]],0)</f>
        <v>17479</v>
      </c>
      <c r="N112" s="72">
        <f>IF(Tabla22[[#This Row],[Req.2]]&gt;0,(Tabla22[[#This Row],[Base price2]]-LOOKUP(Tabla22[[#This Row],[Product2]],$R$18:$R$23,$S$18:$S$23))*Tabla22[[#This Row],[Req.2]],0)</f>
        <v>4150</v>
      </c>
      <c r="O112" s="75">
        <f>SUM(Tabla22[[#This Row],[Bonus1]:[p2]])</f>
        <v>174545.7212</v>
      </c>
      <c r="P112" s="72">
        <f>IF(Tabla22[[#This Row],[QualityBonus]]&gt;0,Tabla22[[#This Row],[No wages]]-$C$4,"")</f>
        <v>126683.43696155777</v>
      </c>
    </row>
    <row r="113" spans="1:16" x14ac:dyDescent="0.25">
      <c r="A113" s="13">
        <v>97</v>
      </c>
      <c r="B113" s="13" t="s">
        <v>66</v>
      </c>
      <c r="C113" s="66">
        <v>2.5999999999999999E-2</v>
      </c>
      <c r="D113" s="2" t="s">
        <v>57</v>
      </c>
      <c r="E113" s="73">
        <v>81535</v>
      </c>
      <c r="F113" s="5">
        <v>2</v>
      </c>
      <c r="G113" s="2"/>
      <c r="H113" s="73"/>
      <c r="I113" s="5"/>
      <c r="J113" s="74">
        <f>Tabla22[[#This Row],[Base price1]]*Tabla22[[#This Row],[Req.]]+Tabla22[[#This Row],[Base price2]]*Tabla22[[#This Row],[Req.2]]</f>
        <v>163070</v>
      </c>
      <c r="K113" s="73">
        <f>IFERROR(LOOKUP(Tabla22[[#This Row],[Product]],$R$18:$R$23,$T$18:$T$23)*Tabla22[[#This Row],[QualityBonus]]*Tabla22[[#This Row],[Base price1]]*Tabla22[[#This Row],[Req.]],0)</f>
        <v>16959.28</v>
      </c>
      <c r="L113" s="73">
        <f>IF(Tabla22[[#This Row],[Req.2]]&gt;0,LOOKUP(Tabla22[[#This Row],[Product2]],$R$18:$R$23,$T$18:$T$23)*Tabla22[[#This Row],[Base price2]]*Tabla22[[#This Row],[Req.2]]*Tabla22[[#This Row],[QualityBonus]],0)</f>
        <v>0</v>
      </c>
      <c r="M113" s="74">
        <f>IFERROR((Tabla22[[#This Row],[Base price1]]-LOOKUP(Tabla22[[#This Row],[Product]],$R$18:$R$23,$S$18:$S$23))*Tabla22[[#This Row],[Req.]],0)</f>
        <v>9070</v>
      </c>
      <c r="N113" s="73">
        <f>IF(Tabla22[[#This Row],[Req.2]]&gt;0,(Tabla22[[#This Row],[Base price2]]-LOOKUP(Tabla22[[#This Row],[Product2]],$R$18:$R$23,$S$18:$S$23))*Tabla22[[#This Row],[Req.2]],0)</f>
        <v>0</v>
      </c>
      <c r="O113" s="74">
        <f>SUM(Tabla22[[#This Row],[Bonus1]:[p2]])</f>
        <v>26029.279999999999</v>
      </c>
      <c r="P113" s="73">
        <f>IF(Tabla22[[#This Row],[QualityBonus]]&gt;0,Tabla22[[#This Row],[No wages]]-$C$4,"")</f>
        <v>-21833.004238442227</v>
      </c>
    </row>
    <row r="114" spans="1:16" x14ac:dyDescent="0.25">
      <c r="A114" s="13">
        <v>98</v>
      </c>
      <c r="B114" s="13" t="s">
        <v>66</v>
      </c>
      <c r="C114" s="66">
        <v>2.7799999999999998E-2</v>
      </c>
      <c r="D114" s="2" t="s">
        <v>57</v>
      </c>
      <c r="E114" s="73">
        <v>82628</v>
      </c>
      <c r="F114" s="5">
        <v>2</v>
      </c>
      <c r="G114" s="2"/>
      <c r="H114" s="73"/>
      <c r="I114" s="5"/>
      <c r="J114" s="74">
        <f>Tabla22[[#This Row],[Base price1]]*Tabla22[[#This Row],[Req.]]+Tabla22[[#This Row],[Base price2]]*Tabla22[[#This Row],[Req.2]]</f>
        <v>165256</v>
      </c>
      <c r="K114" s="73">
        <f>IFERROR(LOOKUP(Tabla22[[#This Row],[Product]],$R$18:$R$23,$T$18:$T$23)*Tabla22[[#This Row],[QualityBonus]]*Tabla22[[#This Row],[Base price1]]*Tabla22[[#This Row],[Req.]],0)</f>
        <v>18376.467199999999</v>
      </c>
      <c r="L114" s="73">
        <f>IF(Tabla22[[#This Row],[Req.2]]&gt;0,LOOKUP(Tabla22[[#This Row],[Product2]],$R$18:$R$23,$T$18:$T$23)*Tabla22[[#This Row],[Base price2]]*Tabla22[[#This Row],[Req.2]]*Tabla22[[#This Row],[QualityBonus]],0)</f>
        <v>0</v>
      </c>
      <c r="M114" s="74">
        <f>IFERROR((Tabla22[[#This Row],[Base price1]]-LOOKUP(Tabla22[[#This Row],[Product]],$R$18:$R$23,$S$18:$S$23))*Tabla22[[#This Row],[Req.]],0)</f>
        <v>11256</v>
      </c>
      <c r="N114" s="73">
        <f>IF(Tabla22[[#This Row],[Req.2]]&gt;0,(Tabla22[[#This Row],[Base price2]]-LOOKUP(Tabla22[[#This Row],[Product2]],$R$18:$R$23,$S$18:$S$23))*Tabla22[[#This Row],[Req.2]],0)</f>
        <v>0</v>
      </c>
      <c r="O114" s="74">
        <f>SUM(Tabla22[[#This Row],[Bonus1]:[p2]])</f>
        <v>29632.467199999999</v>
      </c>
      <c r="P114" s="73">
        <f>IF(Tabla22[[#This Row],[QualityBonus]]&gt;0,Tabla22[[#This Row],[No wages]]-$C$4,"")</f>
        <v>-18229.817038442226</v>
      </c>
    </row>
    <row r="115" spans="1:16" x14ac:dyDescent="0.25">
      <c r="A115" s="13">
        <v>99</v>
      </c>
      <c r="B115" s="13" t="s">
        <v>66</v>
      </c>
      <c r="C115" s="66">
        <v>2.6100000000000002E-2</v>
      </c>
      <c r="D115" s="2" t="s">
        <v>57</v>
      </c>
      <c r="E115" s="73">
        <v>79637</v>
      </c>
      <c r="F115" s="5">
        <v>1</v>
      </c>
      <c r="G115" s="2" t="s">
        <v>53</v>
      </c>
      <c r="H115" s="73">
        <v>40746</v>
      </c>
      <c r="I115" s="5">
        <v>3</v>
      </c>
      <c r="J115" s="74">
        <f>Tabla22[[#This Row],[Base price1]]*Tabla22[[#This Row],[Req.]]+Tabla22[[#This Row],[Base price2]]*Tabla22[[#This Row],[Req.2]]</f>
        <v>201875</v>
      </c>
      <c r="K115" s="73">
        <f>IFERROR(LOOKUP(Tabla22[[#This Row],[Product]],$R$18:$R$23,$T$18:$T$23)*Tabla22[[#This Row],[QualityBonus]]*Tabla22[[#This Row],[Base price1]]*Tabla22[[#This Row],[Req.]],0)</f>
        <v>8314.1028000000006</v>
      </c>
      <c r="L115" s="73">
        <f>IF(Tabla22[[#This Row],[Req.2]]&gt;0,LOOKUP(Tabla22[[#This Row],[Product2]],$R$18:$R$23,$T$18:$T$23)*Tabla22[[#This Row],[Base price2]]*Tabla22[[#This Row],[Req.2]]*Tabla22[[#This Row],[QualityBonus]],0)</f>
        <v>12761.647200000001</v>
      </c>
      <c r="M115" s="74">
        <f>IFERROR((Tabla22[[#This Row],[Base price1]]-LOOKUP(Tabla22[[#This Row],[Product]],$R$18:$R$23,$S$18:$S$23))*Tabla22[[#This Row],[Req.]],0)</f>
        <v>2637</v>
      </c>
      <c r="N115" s="73">
        <f>IF(Tabla22[[#This Row],[Req.2]]&gt;0,(Tabla22[[#This Row],[Base price2]]-LOOKUP(Tabla22[[#This Row],[Product2]],$R$18:$R$23,$S$18:$S$23))*Tabla22[[#This Row],[Req.2]],0)</f>
        <v>20238</v>
      </c>
      <c r="O115" s="74">
        <f>SUM(Tabla22[[#This Row],[Bonus1]:[p2]])</f>
        <v>43950.75</v>
      </c>
      <c r="P115" s="73">
        <f>IF(Tabla22[[#This Row],[QualityBonus]]&gt;0,Tabla22[[#This Row],[No wages]]-$C$4,"")</f>
        <v>-3911.5342384422256</v>
      </c>
    </row>
    <row r="116" spans="1:16" x14ac:dyDescent="0.25">
      <c r="A116" s="13">
        <v>100</v>
      </c>
      <c r="B116" s="13" t="s">
        <v>66</v>
      </c>
      <c r="C116" s="66">
        <v>1.84E-2</v>
      </c>
      <c r="D116" s="2" t="s">
        <v>53</v>
      </c>
      <c r="E116" s="73">
        <v>38220</v>
      </c>
      <c r="F116" s="5">
        <v>5</v>
      </c>
      <c r="G116" s="2" t="s">
        <v>54</v>
      </c>
      <c r="H116" s="73">
        <v>56317</v>
      </c>
      <c r="I116" s="5">
        <v>2</v>
      </c>
      <c r="J116" s="74">
        <f>Tabla22[[#This Row],[Base price1]]*Tabla22[[#This Row],[Req.]]+Tabla22[[#This Row],[Base price2]]*Tabla22[[#This Row],[Req.2]]</f>
        <v>303734</v>
      </c>
      <c r="K116" s="73">
        <f>IFERROR(LOOKUP(Tabla22[[#This Row],[Product]],$R$18:$R$23,$T$18:$T$23)*Tabla22[[#This Row],[QualityBonus]]*Tabla22[[#This Row],[Base price1]]*Tabla22[[#This Row],[Req.]],0)</f>
        <v>14064.96</v>
      </c>
      <c r="L116" s="73">
        <f>IF(Tabla22[[#This Row],[Req.2]]&gt;0,LOOKUP(Tabla22[[#This Row],[Product2]],$R$18:$R$23,$T$18:$T$23)*Tabla22[[#This Row],[Base price2]]*Tabla22[[#This Row],[Req.2]]*Tabla22[[#This Row],[QualityBonus]],0)</f>
        <v>10362.328</v>
      </c>
      <c r="M116" s="74">
        <f>IFERROR((Tabla22[[#This Row],[Base price1]]-LOOKUP(Tabla22[[#This Row],[Product]],$R$18:$R$23,$S$18:$S$23))*Tabla22[[#This Row],[Req.]],0)</f>
        <v>21100</v>
      </c>
      <c r="N116" s="73">
        <f>IF(Tabla22[[#This Row],[Req.2]]&gt;0,(Tabla22[[#This Row],[Base price2]]-LOOKUP(Tabla22[[#This Row],[Product2]],$R$18:$R$23,$S$18:$S$23))*Tabla22[[#This Row],[Req.2]],0)</f>
        <v>-366</v>
      </c>
      <c r="O116" s="74">
        <f>SUM(Tabla22[[#This Row],[Bonus1]:[p2]])</f>
        <v>45161.288</v>
      </c>
      <c r="P116" s="73">
        <f>IF(Tabla22[[#This Row],[QualityBonus]]&gt;0,Tabla22[[#This Row],[No wages]]-$C$4,"")</f>
        <v>-2700.9962384422251</v>
      </c>
    </row>
    <row r="117" spans="1:16" x14ac:dyDescent="0.25">
      <c r="A117" s="13">
        <v>101</v>
      </c>
      <c r="B117" s="13" t="s">
        <v>66</v>
      </c>
      <c r="C117" s="66">
        <v>1.37E-2</v>
      </c>
      <c r="D117" s="2" t="s">
        <v>57</v>
      </c>
      <c r="E117" s="73">
        <v>78049</v>
      </c>
      <c r="F117" s="5">
        <v>4</v>
      </c>
      <c r="G117" s="2" t="s">
        <v>53</v>
      </c>
      <c r="H117" s="73">
        <v>39312</v>
      </c>
      <c r="I117" s="5">
        <v>3</v>
      </c>
      <c r="J117" s="74">
        <f>Tabla22[[#This Row],[Base price1]]*Tabla22[[#This Row],[Req.]]+Tabla22[[#This Row],[Base price2]]*Tabla22[[#This Row],[Req.2]]</f>
        <v>430132</v>
      </c>
      <c r="K117" s="73">
        <f>IFERROR(LOOKUP(Tabla22[[#This Row],[Product]],$R$18:$R$23,$T$18:$T$23)*Tabla22[[#This Row],[QualityBonus]]*Tabla22[[#This Row],[Base price1]]*Tabla22[[#This Row],[Req.]],0)</f>
        <v>17108.340800000002</v>
      </c>
      <c r="L117" s="73">
        <f>IF(Tabla22[[#This Row],[Req.2]]&gt;0,LOOKUP(Tabla22[[#This Row],[Product2]],$R$18:$R$23,$T$18:$T$23)*Tabla22[[#This Row],[Base price2]]*Tabla22[[#This Row],[Req.2]]*Tabla22[[#This Row],[QualityBonus]],0)</f>
        <v>6462.8928000000005</v>
      </c>
      <c r="M117" s="74">
        <f>IFERROR((Tabla22[[#This Row],[Base price1]]-LOOKUP(Tabla22[[#This Row],[Product]],$R$18:$R$23,$S$18:$S$23))*Tabla22[[#This Row],[Req.]],0)</f>
        <v>4196</v>
      </c>
      <c r="N117" s="73">
        <f>IF(Tabla22[[#This Row],[Req.2]]&gt;0,(Tabla22[[#This Row],[Base price2]]-LOOKUP(Tabla22[[#This Row],[Product2]],$R$18:$R$23,$S$18:$S$23))*Tabla22[[#This Row],[Req.2]],0)</f>
        <v>15936</v>
      </c>
      <c r="O117" s="74">
        <f>SUM(Tabla22[[#This Row],[Bonus1]:[p2]])</f>
        <v>43703.233600000007</v>
      </c>
      <c r="P117" s="73">
        <f>IF(Tabla22[[#This Row],[QualityBonus]]&gt;0,Tabla22[[#This Row],[No wages]]-$C$4,"")</f>
        <v>-4159.0506384422188</v>
      </c>
    </row>
    <row r="118" spans="1:16" x14ac:dyDescent="0.25">
      <c r="A118" s="13">
        <v>102</v>
      </c>
      <c r="B118" s="13" t="s">
        <v>66</v>
      </c>
      <c r="C118" s="66">
        <v>1.38E-2</v>
      </c>
      <c r="D118" s="2" t="s">
        <v>52</v>
      </c>
      <c r="E118" s="73">
        <v>110700</v>
      </c>
      <c r="F118" s="5">
        <v>4</v>
      </c>
      <c r="G118" s="2" t="s">
        <v>53</v>
      </c>
      <c r="H118" s="73">
        <v>40356</v>
      </c>
      <c r="I118" s="5">
        <v>4</v>
      </c>
      <c r="J118" s="74">
        <f>Tabla22[[#This Row],[Base price1]]*Tabla22[[#This Row],[Req.]]+Tabla22[[#This Row],[Base price2]]*Tabla22[[#This Row],[Req.2]]</f>
        <v>604224</v>
      </c>
      <c r="K118" s="73">
        <f>IFERROR(LOOKUP(Tabla22[[#This Row],[Product]],$R$18:$R$23,$T$18:$T$23)*Tabla22[[#This Row],[QualityBonus]]*Tabla22[[#This Row],[Base price1]]*Tabla22[[#This Row],[Req.]],0)</f>
        <v>36663.839999999997</v>
      </c>
      <c r="L118" s="73">
        <f>IF(Tabla22[[#This Row],[Req.2]]&gt;0,LOOKUP(Tabla22[[#This Row],[Product2]],$R$18:$R$23,$T$18:$T$23)*Tabla22[[#This Row],[Base price2]]*Tabla22[[#This Row],[Req.2]]*Tabla22[[#This Row],[QualityBonus]],0)</f>
        <v>8910.6047999999992</v>
      </c>
      <c r="M118" s="74">
        <f>IFERROR((Tabla22[[#This Row],[Base price1]]-LOOKUP(Tabla22[[#This Row],[Product]],$R$18:$R$23,$S$18:$S$23))*Tabla22[[#This Row],[Req.]],0)</f>
        <v>-21200</v>
      </c>
      <c r="N118" s="73">
        <f>IF(Tabla22[[#This Row],[Req.2]]&gt;0,(Tabla22[[#This Row],[Base price2]]-LOOKUP(Tabla22[[#This Row],[Product2]],$R$18:$R$23,$S$18:$S$23))*Tabla22[[#This Row],[Req.2]],0)</f>
        <v>25424</v>
      </c>
      <c r="O118" s="74">
        <f>SUM(Tabla22[[#This Row],[Bonus1]:[p2]])</f>
        <v>49798.444799999997</v>
      </c>
      <c r="P118" s="73">
        <f>IF(Tabla22[[#This Row],[QualityBonus]]&gt;0,Tabla22[[#This Row],[No wages]]-$C$4,"")</f>
        <v>1936.1605615577719</v>
      </c>
    </row>
    <row r="119" spans="1:16" x14ac:dyDescent="0.25">
      <c r="A119" s="13">
        <v>103</v>
      </c>
      <c r="B119" s="13" t="s">
        <v>66</v>
      </c>
      <c r="C119" s="66">
        <v>2.92E-2</v>
      </c>
      <c r="D119" s="2" t="s">
        <v>56</v>
      </c>
      <c r="E119" s="73">
        <v>206873</v>
      </c>
      <c r="F119" s="5">
        <v>2</v>
      </c>
      <c r="G119" s="2" t="s">
        <v>57</v>
      </c>
      <c r="H119" s="73">
        <v>80699</v>
      </c>
      <c r="I119" s="5">
        <v>1</v>
      </c>
      <c r="J119" s="74">
        <f>Tabla22[[#This Row],[Base price1]]*Tabla22[[#This Row],[Req.]]+Tabla22[[#This Row],[Base price2]]*Tabla22[[#This Row],[Req.2]]</f>
        <v>494445</v>
      </c>
      <c r="K119" s="73">
        <f>IFERROR(LOOKUP(Tabla22[[#This Row],[Product]],$R$18:$R$23,$T$18:$T$23)*Tabla22[[#This Row],[QualityBonus]]*Tabla22[[#This Row],[Base price1]]*Tabla22[[#This Row],[Req.]],0)</f>
        <v>36244.149599999997</v>
      </c>
      <c r="L119" s="73">
        <f>IF(Tabla22[[#This Row],[Req.2]]&gt;0,LOOKUP(Tabla22[[#This Row],[Product2]],$R$18:$R$23,$T$18:$T$23)*Tabla22[[#This Row],[Base price2]]*Tabla22[[#This Row],[Req.2]]*Tabla22[[#This Row],[QualityBonus]],0)</f>
        <v>9425.6432000000004</v>
      </c>
      <c r="M119" s="74">
        <f>IFERROR((Tabla22[[#This Row],[Base price1]]-LOOKUP(Tabla22[[#This Row],[Product]],$R$18:$R$23,$S$18:$S$23))*Tabla22[[#This Row],[Req.]],0)</f>
        <v>-28254</v>
      </c>
      <c r="N119" s="73">
        <f>IF(Tabla22[[#This Row],[Req.2]]&gt;0,(Tabla22[[#This Row],[Base price2]]-LOOKUP(Tabla22[[#This Row],[Product2]],$R$18:$R$23,$S$18:$S$23))*Tabla22[[#This Row],[Req.2]],0)</f>
        <v>3699</v>
      </c>
      <c r="O119" s="74">
        <f>SUM(Tabla22[[#This Row],[Bonus1]:[p2]])</f>
        <v>21114.792799999996</v>
      </c>
      <c r="P119" s="73">
        <f>IF(Tabla22[[#This Row],[QualityBonus]]&gt;0,Tabla22[[#This Row],[No wages]]-$C$4,"")</f>
        <v>-26747.49143844223</v>
      </c>
    </row>
    <row r="120" spans="1:16" x14ac:dyDescent="0.25">
      <c r="A120" s="13">
        <v>104</v>
      </c>
      <c r="B120" s="13" t="s">
        <v>66</v>
      </c>
      <c r="C120" s="66">
        <v>1.66E-2</v>
      </c>
      <c r="D120" s="2" t="s">
        <v>56</v>
      </c>
      <c r="E120" s="73">
        <v>218026</v>
      </c>
      <c r="F120" s="5">
        <v>2</v>
      </c>
      <c r="G120" s="2" t="s">
        <v>53</v>
      </c>
      <c r="H120" s="73">
        <v>39271</v>
      </c>
      <c r="I120" s="5">
        <v>5</v>
      </c>
      <c r="J120" s="74">
        <f>Tabla22[[#This Row],[Base price1]]*Tabla22[[#This Row],[Req.]]+Tabla22[[#This Row],[Base price2]]*Tabla22[[#This Row],[Req.2]]</f>
        <v>632407</v>
      </c>
      <c r="K120" s="73">
        <f>IFERROR(LOOKUP(Tabla22[[#This Row],[Product]],$R$18:$R$23,$T$18:$T$23)*Tabla22[[#This Row],[QualityBonus]]*Tabla22[[#This Row],[Base price1]]*Tabla22[[#This Row],[Req.]],0)</f>
        <v>21715.389599999999</v>
      </c>
      <c r="L120" s="73">
        <f>IF(Tabla22[[#This Row],[Req.2]]&gt;0,LOOKUP(Tabla22[[#This Row],[Product2]],$R$18:$R$23,$T$18:$T$23)*Tabla22[[#This Row],[Base price2]]*Tabla22[[#This Row],[Req.2]]*Tabla22[[#This Row],[QualityBonus]],0)</f>
        <v>13037.972</v>
      </c>
      <c r="M120" s="74">
        <f>IFERROR((Tabla22[[#This Row],[Base price1]]-LOOKUP(Tabla22[[#This Row],[Product]],$R$18:$R$23,$S$18:$S$23))*Tabla22[[#This Row],[Req.]],0)</f>
        <v>-5948</v>
      </c>
      <c r="N120" s="73">
        <f>IF(Tabla22[[#This Row],[Req.2]]&gt;0,(Tabla22[[#This Row],[Base price2]]-LOOKUP(Tabla22[[#This Row],[Product2]],$R$18:$R$23,$S$18:$S$23))*Tabla22[[#This Row],[Req.2]],0)</f>
        <v>26355</v>
      </c>
      <c r="O120" s="74">
        <f>SUM(Tabla22[[#This Row],[Bonus1]:[p2]])</f>
        <v>55160.361599999997</v>
      </c>
      <c r="P120" s="73">
        <f>IF(Tabla22[[#This Row],[QualityBonus]]&gt;0,Tabla22[[#This Row],[No wages]]-$C$4,"")</f>
        <v>7298.0773615577709</v>
      </c>
    </row>
    <row r="121" spans="1:16" x14ac:dyDescent="0.25">
      <c r="A121" s="13">
        <v>105</v>
      </c>
      <c r="B121" s="13" t="s">
        <v>66</v>
      </c>
      <c r="C121" s="66">
        <v>1.04E-2</v>
      </c>
      <c r="D121" s="2" t="s">
        <v>53</v>
      </c>
      <c r="E121" s="73">
        <v>38755</v>
      </c>
      <c r="F121" s="5">
        <v>5</v>
      </c>
      <c r="G121" s="2" t="s">
        <v>57</v>
      </c>
      <c r="H121" s="73">
        <v>81718</v>
      </c>
      <c r="I121" s="5">
        <v>4</v>
      </c>
      <c r="J121" s="74">
        <f>Tabla22[[#This Row],[Base price1]]*Tabla22[[#This Row],[Req.]]+Tabla22[[#This Row],[Base price2]]*Tabla22[[#This Row],[Req.2]]</f>
        <v>520647</v>
      </c>
      <c r="K121" s="73">
        <f>IFERROR(LOOKUP(Tabla22[[#This Row],[Product]],$R$18:$R$23,$T$18:$T$23)*Tabla22[[#This Row],[QualityBonus]]*Tabla22[[#This Row],[Base price1]]*Tabla22[[#This Row],[Req.]],0)</f>
        <v>8061.0399999999991</v>
      </c>
      <c r="L121" s="73">
        <f>IF(Tabla22[[#This Row],[Req.2]]&gt;0,LOOKUP(Tabla22[[#This Row],[Product2]],$R$18:$R$23,$T$18:$T$23)*Tabla22[[#This Row],[Base price2]]*Tabla22[[#This Row],[Req.2]]*Tabla22[[#This Row],[QualityBonus]],0)</f>
        <v>13597.875199999999</v>
      </c>
      <c r="M121" s="74">
        <f>IFERROR((Tabla22[[#This Row],[Base price1]]-LOOKUP(Tabla22[[#This Row],[Product]],$R$18:$R$23,$S$18:$S$23))*Tabla22[[#This Row],[Req.]],0)</f>
        <v>23775</v>
      </c>
      <c r="N121" s="73">
        <f>IF(Tabla22[[#This Row],[Req.2]]&gt;0,(Tabla22[[#This Row],[Base price2]]-LOOKUP(Tabla22[[#This Row],[Product2]],$R$18:$R$23,$S$18:$S$23))*Tabla22[[#This Row],[Req.2]],0)</f>
        <v>18872</v>
      </c>
      <c r="O121" s="74">
        <f>SUM(Tabla22[[#This Row],[Bonus1]:[p2]])</f>
        <v>64305.915199999996</v>
      </c>
      <c r="P121" s="73">
        <f>IF(Tabla22[[#This Row],[QualityBonus]]&gt;0,Tabla22[[#This Row],[No wages]]-$C$4,"")</f>
        <v>16443.63096155777</v>
      </c>
    </row>
    <row r="122" spans="1:16" x14ac:dyDescent="0.25">
      <c r="A122" s="13">
        <v>106</v>
      </c>
      <c r="B122" s="13" t="s">
        <v>66</v>
      </c>
      <c r="C122" s="66">
        <v>1.9800000000000002E-2</v>
      </c>
      <c r="D122" s="2" t="s">
        <v>53</v>
      </c>
      <c r="E122" s="73">
        <v>38293</v>
      </c>
      <c r="F122" s="5">
        <v>4</v>
      </c>
      <c r="G122" s="2"/>
      <c r="H122" s="73"/>
      <c r="I122" s="5"/>
      <c r="J122" s="74">
        <f>Tabla22[[#This Row],[Base price1]]*Tabla22[[#This Row],[Req.]]+Tabla22[[#This Row],[Base price2]]*Tabla22[[#This Row],[Req.2]]</f>
        <v>153172</v>
      </c>
      <c r="K122" s="73">
        <f>IFERROR(LOOKUP(Tabla22[[#This Row],[Product]],$R$18:$R$23,$T$18:$T$23)*Tabla22[[#This Row],[QualityBonus]]*Tabla22[[#This Row],[Base price1]]*Tabla22[[#This Row],[Req.]],0)</f>
        <v>12131.222400000001</v>
      </c>
      <c r="L122" s="73">
        <f>IF(Tabla22[[#This Row],[Req.2]]&gt;0,LOOKUP(Tabla22[[#This Row],[Product2]],$R$18:$R$23,$T$18:$T$23)*Tabla22[[#This Row],[Base price2]]*Tabla22[[#This Row],[Req.2]]*Tabla22[[#This Row],[QualityBonus]],0)</f>
        <v>0</v>
      </c>
      <c r="M122" s="74">
        <f>IFERROR((Tabla22[[#This Row],[Base price1]]-LOOKUP(Tabla22[[#This Row],[Product]],$R$18:$R$23,$S$18:$S$23))*Tabla22[[#This Row],[Req.]],0)</f>
        <v>17172</v>
      </c>
      <c r="N122" s="73">
        <f>IF(Tabla22[[#This Row],[Req.2]]&gt;0,(Tabla22[[#This Row],[Base price2]]-LOOKUP(Tabla22[[#This Row],[Product2]],$R$18:$R$23,$S$18:$S$23))*Tabla22[[#This Row],[Req.2]],0)</f>
        <v>0</v>
      </c>
      <c r="O122" s="74">
        <f>SUM(Tabla22[[#This Row],[Bonus1]:[p2]])</f>
        <v>29303.222399999999</v>
      </c>
      <c r="P122" s="73">
        <f>IF(Tabla22[[#This Row],[QualityBonus]]&gt;0,Tabla22[[#This Row],[No wages]]-$C$4,"")</f>
        <v>-18559.061838442227</v>
      </c>
    </row>
    <row r="123" spans="1:16" x14ac:dyDescent="0.25">
      <c r="A123" s="13">
        <v>107</v>
      </c>
      <c r="B123" s="13" t="s">
        <v>66</v>
      </c>
      <c r="C123" s="66">
        <v>2.5399999999999999E-2</v>
      </c>
      <c r="D123" s="2" t="s">
        <v>54</v>
      </c>
      <c r="E123" s="73">
        <v>56663</v>
      </c>
      <c r="F123" s="5">
        <v>1</v>
      </c>
      <c r="G123" s="2" t="s">
        <v>53</v>
      </c>
      <c r="H123" s="73">
        <v>38841</v>
      </c>
      <c r="I123" s="5">
        <v>2</v>
      </c>
      <c r="J123" s="74">
        <f>Tabla22[[#This Row],[Base price1]]*Tabla22[[#This Row],[Req.]]+Tabla22[[#This Row],[Base price2]]*Tabla22[[#This Row],[Req.2]]</f>
        <v>134345</v>
      </c>
      <c r="K123" s="73">
        <f>IFERROR(LOOKUP(Tabla22[[#This Row],[Product]],$R$18:$R$23,$T$18:$T$23)*Tabla22[[#This Row],[QualityBonus]]*Tabla22[[#This Row],[Base price1]]*Tabla22[[#This Row],[Req.]],0)</f>
        <v>7196.201</v>
      </c>
      <c r="L123" s="73">
        <f>IF(Tabla22[[#This Row],[Req.2]]&gt;0,LOOKUP(Tabla22[[#This Row],[Product2]],$R$18:$R$23,$T$18:$T$23)*Tabla22[[#This Row],[Base price2]]*Tabla22[[#This Row],[Req.2]]*Tabla22[[#This Row],[QualityBonus]],0)</f>
        <v>7892.4911999999995</v>
      </c>
      <c r="M123" s="74">
        <f>IFERROR((Tabla22[[#This Row],[Base price1]]-LOOKUP(Tabla22[[#This Row],[Product]],$R$18:$R$23,$S$18:$S$23))*Tabla22[[#This Row],[Req.]],0)</f>
        <v>163</v>
      </c>
      <c r="N123" s="73">
        <f>IF(Tabla22[[#This Row],[Req.2]]&gt;0,(Tabla22[[#This Row],[Base price2]]-LOOKUP(Tabla22[[#This Row],[Product2]],$R$18:$R$23,$S$18:$S$23))*Tabla22[[#This Row],[Req.2]],0)</f>
        <v>9682</v>
      </c>
      <c r="O123" s="74">
        <f>SUM(Tabla22[[#This Row],[Bonus1]:[p2]])</f>
        <v>24933.692199999998</v>
      </c>
      <c r="P123" s="73">
        <f>IF(Tabla22[[#This Row],[QualityBonus]]&gt;0,Tabla22[[#This Row],[No wages]]-$C$4,"")</f>
        <v>-22928.592038442228</v>
      </c>
    </row>
    <row r="124" spans="1:16" x14ac:dyDescent="0.25">
      <c r="A124" s="13">
        <v>108</v>
      </c>
      <c r="B124" s="13" t="s">
        <v>66</v>
      </c>
      <c r="C124" s="66">
        <v>2.23E-2</v>
      </c>
      <c r="D124" s="2" t="s">
        <v>54</v>
      </c>
      <c r="E124" s="73">
        <v>59037</v>
      </c>
      <c r="F124" s="5">
        <v>2</v>
      </c>
      <c r="G124" s="2"/>
      <c r="H124" s="73"/>
      <c r="I124" s="5"/>
      <c r="J124" s="74">
        <f>Tabla22[[#This Row],[Base price1]]*Tabla22[[#This Row],[Req.]]+Tabla22[[#This Row],[Base price2]]*Tabla22[[#This Row],[Req.2]]</f>
        <v>118074</v>
      </c>
      <c r="K124" s="73">
        <f>IFERROR(LOOKUP(Tabla22[[#This Row],[Product]],$R$18:$R$23,$T$18:$T$23)*Tabla22[[#This Row],[QualityBonus]]*Tabla22[[#This Row],[Base price1]]*Tabla22[[#This Row],[Req.]],0)</f>
        <v>13165.251</v>
      </c>
      <c r="L124" s="73">
        <f>IF(Tabla22[[#This Row],[Req.2]]&gt;0,LOOKUP(Tabla22[[#This Row],[Product2]],$R$18:$R$23,$T$18:$T$23)*Tabla22[[#This Row],[Base price2]]*Tabla22[[#This Row],[Req.2]]*Tabla22[[#This Row],[QualityBonus]],0)</f>
        <v>0</v>
      </c>
      <c r="M124" s="74">
        <f>IFERROR((Tabla22[[#This Row],[Base price1]]-LOOKUP(Tabla22[[#This Row],[Product]],$R$18:$R$23,$S$18:$S$23))*Tabla22[[#This Row],[Req.]],0)</f>
        <v>5074</v>
      </c>
      <c r="N124" s="73">
        <f>IF(Tabla22[[#This Row],[Req.2]]&gt;0,(Tabla22[[#This Row],[Base price2]]-LOOKUP(Tabla22[[#This Row],[Product2]],$R$18:$R$23,$S$18:$S$23))*Tabla22[[#This Row],[Req.2]],0)</f>
        <v>0</v>
      </c>
      <c r="O124" s="74">
        <f>SUM(Tabla22[[#This Row],[Bonus1]:[p2]])</f>
        <v>18239.251</v>
      </c>
      <c r="P124" s="73">
        <f>IF(Tabla22[[#This Row],[QualityBonus]]&gt;0,Tabla22[[#This Row],[No wages]]-$C$4,"")</f>
        <v>-29623.033238442225</v>
      </c>
    </row>
    <row r="125" spans="1:16" x14ac:dyDescent="0.25">
      <c r="A125" s="13">
        <v>109</v>
      </c>
      <c r="B125" s="13" t="s">
        <v>66</v>
      </c>
      <c r="C125" s="66">
        <v>1.26E-2</v>
      </c>
      <c r="D125" s="2" t="s">
        <v>54</v>
      </c>
      <c r="E125" s="73">
        <v>59421</v>
      </c>
      <c r="F125" s="5">
        <v>1</v>
      </c>
      <c r="G125" s="2"/>
      <c r="H125" s="73"/>
      <c r="I125" s="5"/>
      <c r="J125" s="74">
        <f>Tabla22[[#This Row],[Base price1]]*Tabla22[[#This Row],[Req.]]+Tabla22[[#This Row],[Base price2]]*Tabla22[[#This Row],[Req.2]]</f>
        <v>59421</v>
      </c>
      <c r="K125" s="73">
        <f>IFERROR(LOOKUP(Tabla22[[#This Row],[Product]],$R$18:$R$23,$T$18:$T$23)*Tabla22[[#This Row],[QualityBonus]]*Tabla22[[#This Row],[Base price1]]*Tabla22[[#This Row],[Req.]],0)</f>
        <v>3743.5230000000001</v>
      </c>
      <c r="L125" s="73">
        <f>IF(Tabla22[[#This Row],[Req.2]]&gt;0,LOOKUP(Tabla22[[#This Row],[Product2]],$R$18:$R$23,$T$18:$T$23)*Tabla22[[#This Row],[Base price2]]*Tabla22[[#This Row],[Req.2]]*Tabla22[[#This Row],[QualityBonus]],0)</f>
        <v>0</v>
      </c>
      <c r="M125" s="74">
        <f>IFERROR((Tabla22[[#This Row],[Base price1]]-LOOKUP(Tabla22[[#This Row],[Product]],$R$18:$R$23,$S$18:$S$23))*Tabla22[[#This Row],[Req.]],0)</f>
        <v>2921</v>
      </c>
      <c r="N125" s="73">
        <f>IF(Tabla22[[#This Row],[Req.2]]&gt;0,(Tabla22[[#This Row],[Base price2]]-LOOKUP(Tabla22[[#This Row],[Product2]],$R$18:$R$23,$S$18:$S$23))*Tabla22[[#This Row],[Req.2]],0)</f>
        <v>0</v>
      </c>
      <c r="O125" s="74">
        <f>SUM(Tabla22[[#This Row],[Bonus1]:[p2]])</f>
        <v>6664.5230000000001</v>
      </c>
      <c r="P125" s="73">
        <f>IF(Tabla22[[#This Row],[QualityBonus]]&gt;0,Tabla22[[#This Row],[No wages]]-$C$4,"")</f>
        <v>-41197.761238442225</v>
      </c>
    </row>
    <row r="126" spans="1:16" x14ac:dyDescent="0.25">
      <c r="A126" s="13">
        <v>110</v>
      </c>
      <c r="B126" s="13" t="s">
        <v>66</v>
      </c>
      <c r="C126" s="66">
        <v>1.18E-2</v>
      </c>
      <c r="D126" s="2" t="s">
        <v>53</v>
      </c>
      <c r="E126" s="73">
        <v>39086</v>
      </c>
      <c r="F126" s="5">
        <v>4</v>
      </c>
      <c r="G126" s="2" t="s">
        <v>56</v>
      </c>
      <c r="H126" s="73">
        <v>217973</v>
      </c>
      <c r="I126" s="5">
        <v>4</v>
      </c>
      <c r="J126" s="74">
        <f>Tabla22[[#This Row],[Base price1]]*Tabla22[[#This Row],[Req.]]+Tabla22[[#This Row],[Base price2]]*Tabla22[[#This Row],[Req.2]]</f>
        <v>1028236</v>
      </c>
      <c r="K126" s="73">
        <f>IFERROR(LOOKUP(Tabla22[[#This Row],[Product]],$R$18:$R$23,$T$18:$T$23)*Tabla22[[#This Row],[QualityBonus]]*Tabla22[[#This Row],[Base price1]]*Tabla22[[#This Row],[Req.]],0)</f>
        <v>7379.4367999999995</v>
      </c>
      <c r="L126" s="73">
        <f>IF(Tabla22[[#This Row],[Req.2]]&gt;0,LOOKUP(Tabla22[[#This Row],[Product2]],$R$18:$R$23,$T$18:$T$23)*Tabla22[[#This Row],[Base price2]]*Tabla22[[#This Row],[Req.2]]*Tabla22[[#This Row],[QualityBonus]],0)</f>
        <v>30864.9768</v>
      </c>
      <c r="M126" s="74">
        <f>IFERROR((Tabla22[[#This Row],[Base price1]]-LOOKUP(Tabla22[[#This Row],[Product]],$R$18:$R$23,$S$18:$S$23))*Tabla22[[#This Row],[Req.]],0)</f>
        <v>20344</v>
      </c>
      <c r="N126" s="73">
        <f>IF(Tabla22[[#This Row],[Req.2]]&gt;0,(Tabla22[[#This Row],[Base price2]]-LOOKUP(Tabla22[[#This Row],[Product2]],$R$18:$R$23,$S$18:$S$23))*Tabla22[[#This Row],[Req.2]],0)</f>
        <v>-12108</v>
      </c>
      <c r="O126" s="74">
        <f>SUM(Tabla22[[#This Row],[Bonus1]:[p2]])</f>
        <v>46480.4136</v>
      </c>
      <c r="P126" s="73">
        <f>IF(Tabla22[[#This Row],[QualityBonus]]&gt;0,Tabla22[[#This Row],[No wages]]-$C$4,"")</f>
        <v>-1381.8706384422258</v>
      </c>
    </row>
    <row r="127" spans="1:16" x14ac:dyDescent="0.25">
      <c r="A127" s="13">
        <v>111</v>
      </c>
      <c r="B127" s="13" t="s">
        <v>66</v>
      </c>
      <c r="C127" s="66">
        <v>1.2800000000000001E-2</v>
      </c>
      <c r="D127" s="2" t="s">
        <v>55</v>
      </c>
      <c r="E127" s="73">
        <v>77812</v>
      </c>
      <c r="F127" s="5">
        <v>1</v>
      </c>
      <c r="G127" s="2" t="s">
        <v>53</v>
      </c>
      <c r="H127" s="73">
        <v>38973</v>
      </c>
      <c r="I127" s="5">
        <v>3</v>
      </c>
      <c r="J127" s="74">
        <f>Tabla22[[#This Row],[Base price1]]*Tabla22[[#This Row],[Req.]]+Tabla22[[#This Row],[Base price2]]*Tabla22[[#This Row],[Req.2]]</f>
        <v>194731</v>
      </c>
      <c r="K127" s="73">
        <f>IFERROR(LOOKUP(Tabla22[[#This Row],[Product]],$R$18:$R$23,$T$18:$T$23)*Tabla22[[#This Row],[QualityBonus]]*Tabla22[[#This Row],[Base price1]]*Tabla22[[#This Row],[Req.]],0)</f>
        <v>3983.9744000000001</v>
      </c>
      <c r="L127" s="73">
        <f>IF(Tabla22[[#This Row],[Req.2]]&gt;0,LOOKUP(Tabla22[[#This Row],[Product2]],$R$18:$R$23,$T$18:$T$23)*Tabla22[[#This Row],[Base price2]]*Tabla22[[#This Row],[Req.2]]*Tabla22[[#This Row],[QualityBonus]],0)</f>
        <v>5986.2528000000002</v>
      </c>
      <c r="M127" s="74">
        <f>IFERROR((Tabla22[[#This Row],[Base price1]]-LOOKUP(Tabla22[[#This Row],[Product]],$R$18:$R$23,$S$18:$S$23))*Tabla22[[#This Row],[Req.]],0)</f>
        <v>812</v>
      </c>
      <c r="N127" s="73">
        <f>IF(Tabla22[[#This Row],[Req.2]]&gt;0,(Tabla22[[#This Row],[Base price2]]-LOOKUP(Tabla22[[#This Row],[Product2]],$R$18:$R$23,$S$18:$S$23))*Tabla22[[#This Row],[Req.2]],0)</f>
        <v>14919</v>
      </c>
      <c r="O127" s="74">
        <f>SUM(Tabla22[[#This Row],[Bonus1]:[p2]])</f>
        <v>25701.227200000001</v>
      </c>
      <c r="P127" s="73">
        <f>IF(Tabla22[[#This Row],[QualityBonus]]&gt;0,Tabla22[[#This Row],[No wages]]-$C$4,"")</f>
        <v>-22161.057038442224</v>
      </c>
    </row>
    <row r="128" spans="1:16" x14ac:dyDescent="0.25">
      <c r="A128" s="13">
        <v>112</v>
      </c>
      <c r="B128" s="13" t="s">
        <v>66</v>
      </c>
      <c r="C128" s="66">
        <v>2.29E-2</v>
      </c>
      <c r="D128" s="2" t="s">
        <v>56</v>
      </c>
      <c r="E128" s="73">
        <v>208692</v>
      </c>
      <c r="F128" s="5">
        <v>1</v>
      </c>
      <c r="G128" s="2" t="s">
        <v>53</v>
      </c>
      <c r="H128" s="73">
        <v>38524</v>
      </c>
      <c r="I128" s="5">
        <v>2</v>
      </c>
      <c r="J128" s="74">
        <f>Tabla22[[#This Row],[Base price1]]*Tabla22[[#This Row],[Req.]]+Tabla22[[#This Row],[Base price2]]*Tabla22[[#This Row],[Req.2]]</f>
        <v>285740</v>
      </c>
      <c r="K128" s="73">
        <f>IFERROR(LOOKUP(Tabla22[[#This Row],[Product]],$R$18:$R$23,$T$18:$T$23)*Tabla22[[#This Row],[QualityBonus]]*Tabla22[[#This Row],[Base price1]]*Tabla22[[#This Row],[Req.]],0)</f>
        <v>14337.1404</v>
      </c>
      <c r="L128" s="73">
        <f>IF(Tabla22[[#This Row],[Req.2]]&gt;0,LOOKUP(Tabla22[[#This Row],[Product2]],$R$18:$R$23,$T$18:$T$23)*Tabla22[[#This Row],[Base price2]]*Tabla22[[#This Row],[Req.2]]*Tabla22[[#This Row],[QualityBonus]],0)</f>
        <v>7057.5968000000003</v>
      </c>
      <c r="M128" s="74">
        <f>IFERROR((Tabla22[[#This Row],[Base price1]]-LOOKUP(Tabla22[[#This Row],[Product]],$R$18:$R$23,$S$18:$S$23))*Tabla22[[#This Row],[Req.]],0)</f>
        <v>-12308</v>
      </c>
      <c r="N128" s="73">
        <f>IF(Tabla22[[#This Row],[Req.2]]&gt;0,(Tabla22[[#This Row],[Base price2]]-LOOKUP(Tabla22[[#This Row],[Product2]],$R$18:$R$23,$S$18:$S$23))*Tabla22[[#This Row],[Req.2]],0)</f>
        <v>9048</v>
      </c>
      <c r="O128" s="74">
        <f>SUM(Tabla22[[#This Row],[Bonus1]:[p2]])</f>
        <v>18134.7372</v>
      </c>
      <c r="P128" s="73">
        <f>IF(Tabla22[[#This Row],[QualityBonus]]&gt;0,Tabla22[[#This Row],[No wages]]-$C$4,"")</f>
        <v>-29727.547038442226</v>
      </c>
    </row>
    <row r="129" spans="1:16" x14ac:dyDescent="0.25">
      <c r="A129" s="13">
        <v>113</v>
      </c>
      <c r="B129" s="13" t="s">
        <v>66</v>
      </c>
      <c r="C129" s="66">
        <v>1.5800000000000002E-2</v>
      </c>
      <c r="D129" s="2" t="s">
        <v>53</v>
      </c>
      <c r="E129" s="73">
        <v>38513</v>
      </c>
      <c r="F129" s="5">
        <v>5</v>
      </c>
      <c r="G129" s="2" t="s">
        <v>54</v>
      </c>
      <c r="H129" s="73">
        <v>56929</v>
      </c>
      <c r="I129" s="5">
        <v>2</v>
      </c>
      <c r="J129" s="74">
        <f>Tabla22[[#This Row],[Base price1]]*Tabla22[[#This Row],[Req.]]+Tabla22[[#This Row],[Base price2]]*Tabla22[[#This Row],[Req.2]]</f>
        <v>306423</v>
      </c>
      <c r="K129" s="73">
        <f>IFERROR(LOOKUP(Tabla22[[#This Row],[Product]],$R$18:$R$23,$T$18:$T$23)*Tabla22[[#This Row],[QualityBonus]]*Tabla22[[#This Row],[Base price1]]*Tabla22[[#This Row],[Req.]],0)</f>
        <v>12170.108</v>
      </c>
      <c r="L129" s="73">
        <f>IF(Tabla22[[#This Row],[Req.2]]&gt;0,LOOKUP(Tabla22[[#This Row],[Product2]],$R$18:$R$23,$T$18:$T$23)*Tabla22[[#This Row],[Base price2]]*Tabla22[[#This Row],[Req.2]]*Tabla22[[#This Row],[QualityBonus]],0)</f>
        <v>8994.7820000000011</v>
      </c>
      <c r="M129" s="74">
        <f>IFERROR((Tabla22[[#This Row],[Base price1]]-LOOKUP(Tabla22[[#This Row],[Product]],$R$18:$R$23,$S$18:$S$23))*Tabla22[[#This Row],[Req.]],0)</f>
        <v>22565</v>
      </c>
      <c r="N129" s="73">
        <f>IF(Tabla22[[#This Row],[Req.2]]&gt;0,(Tabla22[[#This Row],[Base price2]]-LOOKUP(Tabla22[[#This Row],[Product2]],$R$18:$R$23,$S$18:$S$23))*Tabla22[[#This Row],[Req.2]],0)</f>
        <v>858</v>
      </c>
      <c r="O129" s="74">
        <f>SUM(Tabla22[[#This Row],[Bonus1]:[p2]])</f>
        <v>44587.89</v>
      </c>
      <c r="P129" s="73">
        <f>IF(Tabla22[[#This Row],[QualityBonus]]&gt;0,Tabla22[[#This Row],[No wages]]-$C$4,"")</f>
        <v>-3274.3942384422262</v>
      </c>
    </row>
    <row r="130" spans="1:16" x14ac:dyDescent="0.25">
      <c r="A130" s="13">
        <v>114</v>
      </c>
      <c r="B130" s="13" t="s">
        <v>66</v>
      </c>
      <c r="C130" s="66">
        <v>1.8800000000000001E-2</v>
      </c>
      <c r="D130" s="2" t="s">
        <v>53</v>
      </c>
      <c r="E130" s="73">
        <v>39192</v>
      </c>
      <c r="F130" s="5">
        <v>2</v>
      </c>
      <c r="G130" s="2"/>
      <c r="H130" s="73"/>
      <c r="I130" s="5"/>
      <c r="J130" s="74">
        <f>Tabla22[[#This Row],[Base price1]]*Tabla22[[#This Row],[Req.]]+Tabla22[[#This Row],[Base price2]]*Tabla22[[#This Row],[Req.2]]</f>
        <v>78384</v>
      </c>
      <c r="K130" s="73">
        <f>IFERROR(LOOKUP(Tabla22[[#This Row],[Product]],$R$18:$R$23,$T$18:$T$23)*Tabla22[[#This Row],[QualityBonus]]*Tabla22[[#This Row],[Base price1]]*Tabla22[[#This Row],[Req.]],0)</f>
        <v>5894.4768000000004</v>
      </c>
      <c r="L130" s="73">
        <f>IF(Tabla22[[#This Row],[Req.2]]&gt;0,LOOKUP(Tabla22[[#This Row],[Product2]],$R$18:$R$23,$T$18:$T$23)*Tabla22[[#This Row],[Base price2]]*Tabla22[[#This Row],[Req.2]]*Tabla22[[#This Row],[QualityBonus]],0)</f>
        <v>0</v>
      </c>
      <c r="M130" s="74">
        <f>IFERROR((Tabla22[[#This Row],[Base price1]]-LOOKUP(Tabla22[[#This Row],[Product]],$R$18:$R$23,$S$18:$S$23))*Tabla22[[#This Row],[Req.]],0)</f>
        <v>10384</v>
      </c>
      <c r="N130" s="73">
        <f>IF(Tabla22[[#This Row],[Req.2]]&gt;0,(Tabla22[[#This Row],[Base price2]]-LOOKUP(Tabla22[[#This Row],[Product2]],$R$18:$R$23,$S$18:$S$23))*Tabla22[[#This Row],[Req.2]],0)</f>
        <v>0</v>
      </c>
      <c r="O130" s="74">
        <f>SUM(Tabla22[[#This Row],[Bonus1]:[p2]])</f>
        <v>16278.4768</v>
      </c>
      <c r="P130" s="73">
        <f>IF(Tabla22[[#This Row],[QualityBonus]]&gt;0,Tabla22[[#This Row],[No wages]]-$C$4,"")</f>
        <v>-31583.807438442225</v>
      </c>
    </row>
    <row r="131" spans="1:16" x14ac:dyDescent="0.25">
      <c r="A131" s="13">
        <v>115</v>
      </c>
      <c r="B131" s="13" t="s">
        <v>66</v>
      </c>
      <c r="C131" s="66">
        <v>1.18E-2</v>
      </c>
      <c r="D131" s="2" t="s">
        <v>53</v>
      </c>
      <c r="E131" s="73">
        <v>40502</v>
      </c>
      <c r="F131" s="5">
        <v>4</v>
      </c>
      <c r="G131" s="2" t="s">
        <v>57</v>
      </c>
      <c r="H131" s="73">
        <v>79763</v>
      </c>
      <c r="I131" s="5">
        <v>2</v>
      </c>
      <c r="J131" s="74">
        <f>Tabla22[[#This Row],[Base price1]]*Tabla22[[#This Row],[Req.]]+Tabla22[[#This Row],[Base price2]]*Tabla22[[#This Row],[Req.2]]</f>
        <v>321534</v>
      </c>
      <c r="K131" s="73">
        <f>IFERROR(LOOKUP(Tabla22[[#This Row],[Product]],$R$18:$R$23,$T$18:$T$23)*Tabla22[[#This Row],[QualityBonus]]*Tabla22[[#This Row],[Base price1]]*Tabla22[[#This Row],[Req.]],0)</f>
        <v>7646.7775999999994</v>
      </c>
      <c r="L131" s="73">
        <f>IF(Tabla22[[#This Row],[Req.2]]&gt;0,LOOKUP(Tabla22[[#This Row],[Product2]],$R$18:$R$23,$T$18:$T$23)*Tabla22[[#This Row],[Base price2]]*Tabla22[[#This Row],[Req.2]]*Tabla22[[#This Row],[QualityBonus]],0)</f>
        <v>7529.6271999999999</v>
      </c>
      <c r="M131" s="74">
        <f>IFERROR((Tabla22[[#This Row],[Base price1]]-LOOKUP(Tabla22[[#This Row],[Product]],$R$18:$R$23,$S$18:$S$23))*Tabla22[[#This Row],[Req.]],0)</f>
        <v>26008</v>
      </c>
      <c r="N131" s="73">
        <f>IF(Tabla22[[#This Row],[Req.2]]&gt;0,(Tabla22[[#This Row],[Base price2]]-LOOKUP(Tabla22[[#This Row],[Product2]],$R$18:$R$23,$S$18:$S$23))*Tabla22[[#This Row],[Req.2]],0)</f>
        <v>5526</v>
      </c>
      <c r="O131" s="74">
        <f>SUM(Tabla22[[#This Row],[Bonus1]:[p2]])</f>
        <v>46710.404800000004</v>
      </c>
      <c r="P131" s="73">
        <f>IF(Tabla22[[#This Row],[QualityBonus]]&gt;0,Tabla22[[#This Row],[No wages]]-$C$4,"")</f>
        <v>-1151.8794384422217</v>
      </c>
    </row>
    <row r="132" spans="1:16" x14ac:dyDescent="0.25">
      <c r="A132" s="13">
        <v>116</v>
      </c>
      <c r="B132" s="13" t="s">
        <v>66</v>
      </c>
      <c r="C132" s="66">
        <v>1.8100000000000002E-2</v>
      </c>
      <c r="D132" s="2" t="s">
        <v>53</v>
      </c>
      <c r="E132" s="73">
        <v>38359</v>
      </c>
      <c r="F132" s="5">
        <v>4</v>
      </c>
      <c r="G132" s="2" t="s">
        <v>54</v>
      </c>
      <c r="H132" s="73">
        <v>56809</v>
      </c>
      <c r="I132" s="5">
        <v>2</v>
      </c>
      <c r="J132" s="74">
        <f>Tabla22[[#This Row],[Base price1]]*Tabla22[[#This Row],[Req.]]+Tabla22[[#This Row],[Base price2]]*Tabla22[[#This Row],[Req.2]]</f>
        <v>267054</v>
      </c>
      <c r="K132" s="73">
        <f>IFERROR(LOOKUP(Tabla22[[#This Row],[Product]],$R$18:$R$23,$T$18:$T$23)*Tabla22[[#This Row],[QualityBonus]]*Tabla22[[#This Row],[Base price1]]*Tabla22[[#This Row],[Req.]],0)</f>
        <v>11108.7664</v>
      </c>
      <c r="L132" s="73">
        <f>IF(Tabla22[[#This Row],[Req.2]]&gt;0,LOOKUP(Tabla22[[#This Row],[Product2]],$R$18:$R$23,$T$18:$T$23)*Tabla22[[#This Row],[Base price2]]*Tabla22[[#This Row],[Req.2]]*Tabla22[[#This Row],[QualityBonus]],0)</f>
        <v>10282.429</v>
      </c>
      <c r="M132" s="74">
        <f>IFERROR((Tabla22[[#This Row],[Base price1]]-LOOKUP(Tabla22[[#This Row],[Product]],$R$18:$R$23,$S$18:$S$23))*Tabla22[[#This Row],[Req.]],0)</f>
        <v>17436</v>
      </c>
      <c r="N132" s="73">
        <f>IF(Tabla22[[#This Row],[Req.2]]&gt;0,(Tabla22[[#This Row],[Base price2]]-LOOKUP(Tabla22[[#This Row],[Product2]],$R$18:$R$23,$S$18:$S$23))*Tabla22[[#This Row],[Req.2]],0)</f>
        <v>618</v>
      </c>
      <c r="O132" s="74">
        <f>SUM(Tabla22[[#This Row],[Bonus1]:[p2]])</f>
        <v>39445.195399999997</v>
      </c>
      <c r="P132" s="73">
        <f>IF(Tabla22[[#This Row],[QualityBonus]]&gt;0,Tabla22[[#This Row],[No wages]]-$C$4,"")</f>
        <v>-8417.0888384422287</v>
      </c>
    </row>
    <row r="133" spans="1:16" x14ac:dyDescent="0.25">
      <c r="A133" s="24">
        <v>117</v>
      </c>
      <c r="B133" s="24" t="s">
        <v>66</v>
      </c>
      <c r="C133" s="44">
        <v>2.46E-2</v>
      </c>
      <c r="D133" s="37" t="s">
        <v>54</v>
      </c>
      <c r="E133" s="72">
        <v>59728</v>
      </c>
      <c r="F133" s="39">
        <v>1</v>
      </c>
      <c r="G133" s="37" t="s">
        <v>53</v>
      </c>
      <c r="H133" s="72">
        <v>39975</v>
      </c>
      <c r="I133" s="39">
        <v>2</v>
      </c>
      <c r="J133" s="75">
        <f>Tabla22[[#This Row],[Base price1]]*Tabla22[[#This Row],[Req.]]+Tabla22[[#This Row],[Base price2]]*Tabla22[[#This Row],[Req.2]]</f>
        <v>139678</v>
      </c>
      <c r="K133" s="72">
        <f>IFERROR(LOOKUP(Tabla22[[#This Row],[Product]],$R$18:$R$23,$T$18:$T$23)*Tabla22[[#This Row],[QualityBonus]]*Tabla22[[#This Row],[Base price1]]*Tabla22[[#This Row],[Req.]],0)</f>
        <v>7346.5439999999999</v>
      </c>
      <c r="L133" s="72">
        <f>IF(Tabla22[[#This Row],[Req.2]]&gt;0,LOOKUP(Tabla22[[#This Row],[Product2]],$R$18:$R$23,$T$18:$T$23)*Tabla22[[#This Row],[Base price2]]*Tabla22[[#This Row],[Req.2]]*Tabla22[[#This Row],[QualityBonus]],0)</f>
        <v>7867.08</v>
      </c>
      <c r="M133" s="75">
        <f>IFERROR((Tabla22[[#This Row],[Base price1]]-LOOKUP(Tabla22[[#This Row],[Product]],$R$18:$R$23,$S$18:$S$23))*Tabla22[[#This Row],[Req.]],0)</f>
        <v>3228</v>
      </c>
      <c r="N133" s="72">
        <f>IF(Tabla22[[#This Row],[Req.2]]&gt;0,(Tabla22[[#This Row],[Base price2]]-LOOKUP(Tabla22[[#This Row],[Product2]],$R$18:$R$23,$S$18:$S$23))*Tabla22[[#This Row],[Req.2]],0)</f>
        <v>11950</v>
      </c>
      <c r="O133" s="75">
        <f>SUM(Tabla22[[#This Row],[Bonus1]:[p2]])</f>
        <v>30391.624</v>
      </c>
      <c r="P133" s="72">
        <f>IF(Tabla22[[#This Row],[QualityBonus]]&gt;0,Tabla22[[#This Row],[No wages]]-$C$4,"")</f>
        <v>-17470.660238442226</v>
      </c>
    </row>
    <row r="134" spans="1:16" x14ac:dyDescent="0.25">
      <c r="A134" s="13">
        <v>118</v>
      </c>
      <c r="B134" s="13" t="s">
        <v>66</v>
      </c>
      <c r="C134" s="66">
        <v>2.9899999999999999E-2</v>
      </c>
      <c r="D134" s="2" t="s">
        <v>55</v>
      </c>
      <c r="E134" s="73">
        <v>80674</v>
      </c>
      <c r="F134" s="5">
        <v>2</v>
      </c>
      <c r="G134" s="2" t="s">
        <v>54</v>
      </c>
      <c r="H134" s="73">
        <v>58820</v>
      </c>
      <c r="I134" s="5">
        <v>2</v>
      </c>
      <c r="J134" s="74">
        <f>Tabla22[[#This Row],[Base price1]]*Tabla22[[#This Row],[Req.]]+Tabla22[[#This Row],[Base price2]]*Tabla22[[#This Row],[Req.2]]</f>
        <v>278988</v>
      </c>
      <c r="K134" s="73">
        <f>IFERROR(LOOKUP(Tabla22[[#This Row],[Product]],$R$18:$R$23,$T$18:$T$23)*Tabla22[[#This Row],[QualityBonus]]*Tabla22[[#This Row],[Base price1]]*Tabla22[[#This Row],[Req.]],0)</f>
        <v>19297.220799999999</v>
      </c>
      <c r="L134" s="73">
        <f>IF(Tabla22[[#This Row],[Req.2]]&gt;0,LOOKUP(Tabla22[[#This Row],[Product2]],$R$18:$R$23,$T$18:$T$23)*Tabla22[[#This Row],[Base price2]]*Tabla22[[#This Row],[Req.2]]*Tabla22[[#This Row],[QualityBonus]],0)</f>
        <v>17587.18</v>
      </c>
      <c r="M134" s="76">
        <f>IFERROR((Tabla22[[#This Row],[Base price1]]-LOOKUP(Tabla22[[#This Row],[Product]],$R$18:$R$23,$S$18:$S$23))*Tabla22[[#This Row],[Req.]],0)</f>
        <v>7348</v>
      </c>
      <c r="N134" s="77">
        <f>IF(Tabla22[[#This Row],[Req.2]]&gt;0,(Tabla22[[#This Row],[Base price2]]-LOOKUP(Tabla22[[#This Row],[Product2]],$R$18:$R$23,$S$18:$S$23))*Tabla22[[#This Row],[Req.2]],0)</f>
        <v>4640</v>
      </c>
      <c r="O134" s="71">
        <f>SUM(Tabla22[[#This Row],[Bonus1]:[p2]])</f>
        <v>48872.400800000003</v>
      </c>
      <c r="P134" s="73">
        <f>IF(Tabla22[[#This Row],[QualityBonus]]&gt;0,Tabla22[[#This Row],[No wages]]-$C$4,"")</f>
        <v>1010.1165615577775</v>
      </c>
    </row>
    <row r="135" spans="1:16" x14ac:dyDescent="0.25">
      <c r="A135" s="13">
        <v>119</v>
      </c>
      <c r="B135" s="13" t="s">
        <v>66</v>
      </c>
      <c r="C135" s="66">
        <v>2.8400000000000002E-2</v>
      </c>
      <c r="D135" s="2" t="s">
        <v>53</v>
      </c>
      <c r="E135" s="73">
        <v>39677</v>
      </c>
      <c r="F135" s="5">
        <v>3</v>
      </c>
      <c r="G135" s="2" t="s">
        <v>57</v>
      </c>
      <c r="H135" s="73">
        <v>83266</v>
      </c>
      <c r="I135" s="5">
        <v>2</v>
      </c>
      <c r="J135" s="74">
        <f>Tabla22[[#This Row],[Base price1]]*Tabla22[[#This Row],[Req.]]+Tabla22[[#This Row],[Base price2]]*Tabla22[[#This Row],[Req.2]]</f>
        <v>285563</v>
      </c>
      <c r="K135" s="73">
        <f>IFERROR(LOOKUP(Tabla22[[#This Row],[Product]],$R$18:$R$23,$T$18:$T$23)*Tabla22[[#This Row],[QualityBonus]]*Tabla22[[#This Row],[Base price1]]*Tabla22[[#This Row],[Req.]],0)</f>
        <v>13521.921600000001</v>
      </c>
      <c r="L135" s="73">
        <f>IF(Tabla22[[#This Row],[Req.2]]&gt;0,LOOKUP(Tabla22[[#This Row],[Product2]],$R$18:$R$23,$T$18:$T$23)*Tabla22[[#This Row],[Base price2]]*Tabla22[[#This Row],[Req.2]]*Tabla22[[#This Row],[QualityBonus]],0)</f>
        <v>18918.035200000002</v>
      </c>
      <c r="M135" s="74">
        <f>IFERROR((Tabla22[[#This Row],[Base price1]]-LOOKUP(Tabla22[[#This Row],[Product]],$R$18:$R$23,$S$18:$S$23))*Tabla22[[#This Row],[Req.]],0)</f>
        <v>17031</v>
      </c>
      <c r="N135" s="78">
        <f>IF(Tabla22[[#This Row],[Req.2]]&gt;0,(Tabla22[[#This Row],[Base price2]]-LOOKUP(Tabla22[[#This Row],[Product2]],$R$18:$R$23,$S$18:$S$23))*Tabla22[[#This Row],[Req.2]],0)</f>
        <v>12532</v>
      </c>
      <c r="O135" s="71">
        <f>SUM(Tabla22[[#This Row],[Bonus1]:[p2]])</f>
        <v>62002.9568</v>
      </c>
      <c r="P135" s="73">
        <f>IF(Tabla22[[#This Row],[QualityBonus]]&gt;0,Tabla22[[#This Row],[No wages]]-$C$4,"")</f>
        <v>14140.672561557774</v>
      </c>
    </row>
    <row r="136" spans="1:16" x14ac:dyDescent="0.25">
      <c r="A136" s="13">
        <v>120</v>
      </c>
      <c r="B136" s="13" t="s">
        <v>66</v>
      </c>
      <c r="C136" s="66">
        <v>1.5900000000000001E-2</v>
      </c>
      <c r="D136" s="2" t="s">
        <v>55</v>
      </c>
      <c r="E136" s="73">
        <v>81718</v>
      </c>
      <c r="F136" s="5">
        <v>1</v>
      </c>
      <c r="G136" s="2"/>
      <c r="H136" s="73"/>
      <c r="I136" s="5"/>
      <c r="J136" s="74">
        <f>Tabla22[[#This Row],[Base price1]]*Tabla22[[#This Row],[Req.]]+Tabla22[[#This Row],[Base price2]]*Tabla22[[#This Row],[Req.2]]</f>
        <v>81718</v>
      </c>
      <c r="K136" s="73">
        <f>IFERROR(LOOKUP(Tabla22[[#This Row],[Product]],$R$18:$R$23,$T$18:$T$23)*Tabla22[[#This Row],[QualityBonus]]*Tabla22[[#This Row],[Base price1]]*Tabla22[[#This Row],[Req.]],0)</f>
        <v>5197.2647999999999</v>
      </c>
      <c r="L136" s="73">
        <f>IF(Tabla22[[#This Row],[Req.2]]&gt;0,LOOKUP(Tabla22[[#This Row],[Product2]],$R$18:$R$23,$T$18:$T$23)*Tabla22[[#This Row],[Base price2]]*Tabla22[[#This Row],[Req.2]]*Tabla22[[#This Row],[QualityBonus]],0)</f>
        <v>0</v>
      </c>
      <c r="M136" s="74">
        <f>IFERROR((Tabla22[[#This Row],[Base price1]]-LOOKUP(Tabla22[[#This Row],[Product]],$R$18:$R$23,$S$18:$S$23))*Tabla22[[#This Row],[Req.]],0)</f>
        <v>4718</v>
      </c>
      <c r="N136" s="78">
        <f>IF(Tabla22[[#This Row],[Req.2]]&gt;0,(Tabla22[[#This Row],[Base price2]]-LOOKUP(Tabla22[[#This Row],[Product2]],$R$18:$R$23,$S$18:$S$23))*Tabla22[[#This Row],[Req.2]],0)</f>
        <v>0</v>
      </c>
      <c r="O136" s="71">
        <f>SUM(Tabla22[[#This Row],[Bonus1]:[p2]])</f>
        <v>9915.2648000000008</v>
      </c>
      <c r="P136" s="73">
        <f>IF(Tabla22[[#This Row],[QualityBonus]]&gt;0,Tabla22[[#This Row],[No wages]]-$C$4,"")</f>
        <v>-37947.019438442221</v>
      </c>
    </row>
    <row r="137" spans="1:16" x14ac:dyDescent="0.25">
      <c r="A137" s="13">
        <v>121</v>
      </c>
      <c r="B137" s="13" t="s">
        <v>66</v>
      </c>
      <c r="C137" s="66">
        <v>2.1100000000000001E-2</v>
      </c>
      <c r="D137" s="2" t="s">
        <v>53</v>
      </c>
      <c r="E137" s="73">
        <v>38513</v>
      </c>
      <c r="F137" s="5">
        <v>5</v>
      </c>
      <c r="G137" s="2"/>
      <c r="H137" s="73"/>
      <c r="I137" s="5"/>
      <c r="J137" s="74">
        <f>Tabla22[[#This Row],[Base price1]]*Tabla22[[#This Row],[Req.]]+Tabla22[[#This Row],[Base price2]]*Tabla22[[#This Row],[Req.2]]</f>
        <v>192565</v>
      </c>
      <c r="K137" s="73">
        <f>IFERROR(LOOKUP(Tabla22[[#This Row],[Product]],$R$18:$R$23,$T$18:$T$23)*Tabla22[[#This Row],[QualityBonus]]*Tabla22[[#This Row],[Base price1]]*Tabla22[[#This Row],[Req.]],0)</f>
        <v>16252.486000000001</v>
      </c>
      <c r="L137" s="73">
        <f>IF(Tabla22[[#This Row],[Req.2]]&gt;0,LOOKUP(Tabla22[[#This Row],[Product2]],$R$18:$R$23,$T$18:$T$23)*Tabla22[[#This Row],[Base price2]]*Tabla22[[#This Row],[Req.2]]*Tabla22[[#This Row],[QualityBonus]],0)</f>
        <v>0</v>
      </c>
      <c r="M137" s="74">
        <f>IFERROR((Tabla22[[#This Row],[Base price1]]-LOOKUP(Tabla22[[#This Row],[Product]],$R$18:$R$23,$S$18:$S$23))*Tabla22[[#This Row],[Req.]],0)</f>
        <v>22565</v>
      </c>
      <c r="N137" s="78">
        <f>IF(Tabla22[[#This Row],[Req.2]]&gt;0,(Tabla22[[#This Row],[Base price2]]-LOOKUP(Tabla22[[#This Row],[Product2]],$R$18:$R$23,$S$18:$S$23))*Tabla22[[#This Row],[Req.2]],0)</f>
        <v>0</v>
      </c>
      <c r="O137" s="73">
        <f>SUM(Tabla22[[#This Row],[Bonus1]:[p2]])</f>
        <v>38817.486000000004</v>
      </c>
      <c r="P137" s="73">
        <f>IF(Tabla22[[#This Row],[QualityBonus]]&gt;0,Tabla22[[#This Row],[No wages]]-$C$4,"")</f>
        <v>-9044.7982384422212</v>
      </c>
    </row>
    <row r="138" spans="1:16" x14ac:dyDescent="0.25">
      <c r="A138" s="13">
        <v>122</v>
      </c>
      <c r="B138" s="13" t="s">
        <v>66</v>
      </c>
      <c r="C138" s="66">
        <v>2.3800000000000002E-2</v>
      </c>
      <c r="D138" s="2" t="s">
        <v>56</v>
      </c>
      <c r="E138" s="73">
        <v>211109</v>
      </c>
      <c r="F138" s="5">
        <v>3</v>
      </c>
      <c r="G138" s="2" t="s">
        <v>52</v>
      </c>
      <c r="H138" s="73">
        <v>112907</v>
      </c>
      <c r="I138" s="5">
        <v>4</v>
      </c>
      <c r="J138" s="74">
        <f>Tabla22[[#This Row],[Base price1]]*Tabla22[[#This Row],[Req.]]+Tabla22[[#This Row],[Base price2]]*Tabla22[[#This Row],[Req.2]]</f>
        <v>1084955</v>
      </c>
      <c r="K138" s="73">
        <f>IFERROR(LOOKUP(Tabla22[[#This Row],[Product]],$R$18:$R$23,$T$18:$T$23)*Tabla22[[#This Row],[QualityBonus]]*Tabla22[[#This Row],[Base price1]]*Tabla22[[#This Row],[Req.]],0)</f>
        <v>45219.547800000008</v>
      </c>
      <c r="L138" s="73">
        <f>IF(Tabla22[[#This Row],[Req.2]]&gt;0,LOOKUP(Tabla22[[#This Row],[Product2]],$R$18:$R$23,$T$18:$T$23)*Tabla22[[#This Row],[Base price2]]*Tabla22[[#This Row],[Req.2]]*Tabla22[[#This Row],[QualityBonus]],0)</f>
        <v>64492.478400000007</v>
      </c>
      <c r="M138" s="74">
        <f>IFERROR((Tabla22[[#This Row],[Base price1]]-LOOKUP(Tabla22[[#This Row],[Product]],$R$18:$R$23,$S$18:$S$23))*Tabla22[[#This Row],[Req.]],0)</f>
        <v>-29673</v>
      </c>
      <c r="N138" s="78">
        <f>IF(Tabla22[[#This Row],[Req.2]]&gt;0,(Tabla22[[#This Row],[Base price2]]-LOOKUP(Tabla22[[#This Row],[Product2]],$R$18:$R$23,$S$18:$S$23))*Tabla22[[#This Row],[Req.2]],0)</f>
        <v>-12372</v>
      </c>
      <c r="O138" s="73">
        <f>SUM(Tabla22[[#This Row],[Bonus1]:[p2]])</f>
        <v>67667.026200000022</v>
      </c>
      <c r="P138" s="73">
        <f>IF(Tabla22[[#This Row],[QualityBonus]]&gt;0,Tabla22[[#This Row],[No wages]]-$C$4,"")</f>
        <v>19804.741961557796</v>
      </c>
    </row>
    <row r="139" spans="1:16" x14ac:dyDescent="0.25">
      <c r="A139" s="13">
        <v>123</v>
      </c>
      <c r="B139" s="13" t="s">
        <v>66</v>
      </c>
      <c r="C139" s="66">
        <v>2.46E-2</v>
      </c>
      <c r="D139" s="2" t="s">
        <v>54</v>
      </c>
      <c r="E139" s="73">
        <v>57115</v>
      </c>
      <c r="F139" s="5">
        <v>3</v>
      </c>
      <c r="G139" s="2" t="s">
        <v>27</v>
      </c>
      <c r="H139" s="73">
        <v>820754</v>
      </c>
      <c r="I139" s="5">
        <v>2</v>
      </c>
      <c r="J139" s="74">
        <f>Tabla22[[#This Row],[Base price1]]*Tabla22[[#This Row],[Req.]]+Tabla22[[#This Row],[Base price2]]*Tabla22[[#This Row],[Req.2]]</f>
        <v>1812853</v>
      </c>
      <c r="K139" s="73">
        <f>IFERROR(LOOKUP(Tabla22[[#This Row],[Product]],$R$18:$R$23,$T$18:$T$23)*Tabla22[[#This Row],[QualityBonus]]*Tabla22[[#This Row],[Base price1]]*Tabla22[[#This Row],[Req.]],0)</f>
        <v>21075.434999999998</v>
      </c>
      <c r="L139" s="73">
        <f>IF(Tabla22[[#This Row],[Req.2]]&gt;0,LOOKUP(Tabla22[[#This Row],[Product2]],$R$18:$R$23,$T$18:$T$23)*Tabla22[[#This Row],[Base price2]]*Tabla22[[#This Row],[Req.2]]*Tabla22[[#This Row],[QualityBonus]],0)</f>
        <v>242286.5808</v>
      </c>
      <c r="M139" s="74">
        <f>IFERROR((Tabla22[[#This Row],[Base price1]]-LOOKUP(Tabla22[[#This Row],[Product]],$R$18:$R$23,$S$18:$S$23))*Tabla22[[#This Row],[Req.]],0)</f>
        <v>1845</v>
      </c>
      <c r="N139" s="78">
        <f>IF(Tabla22[[#This Row],[Req.2]]&gt;0,(Tabla22[[#This Row],[Base price2]]-LOOKUP(Tabla22[[#This Row],[Product2]],$R$18:$R$23,$S$18:$S$23))*Tabla22[[#This Row],[Req.2]],0)</f>
        <v>-36492</v>
      </c>
      <c r="O139" s="73">
        <f>SUM(Tabla22[[#This Row],[Bonus1]:[p2]])</f>
        <v>228715.01579999999</v>
      </c>
      <c r="P139" s="73">
        <f>IF(Tabla22[[#This Row],[QualityBonus]]&gt;0,Tabla22[[#This Row],[No wages]]-$C$4,"")</f>
        <v>180852.73156155777</v>
      </c>
    </row>
    <row r="140" spans="1:16" x14ac:dyDescent="0.25">
      <c r="A140" s="13">
        <v>124</v>
      </c>
      <c r="B140" s="13" t="s">
        <v>66</v>
      </c>
      <c r="C140" s="66">
        <v>2.24E-2</v>
      </c>
      <c r="D140" s="2" t="s">
        <v>53</v>
      </c>
      <c r="E140" s="73">
        <v>40018</v>
      </c>
      <c r="F140" s="5">
        <v>4</v>
      </c>
      <c r="G140" s="2" t="s">
        <v>52</v>
      </c>
      <c r="H140" s="73">
        <v>118191</v>
      </c>
      <c r="I140" s="5">
        <v>3</v>
      </c>
      <c r="J140" s="74">
        <f>Tabla22[[#This Row],[Base price1]]*Tabla22[[#This Row],[Req.]]+Tabla22[[#This Row],[Base price2]]*Tabla22[[#This Row],[Req.2]]</f>
        <v>514645</v>
      </c>
      <c r="K140" s="73">
        <f>IFERROR(LOOKUP(Tabla22[[#This Row],[Product]],$R$18:$R$23,$T$18:$T$23)*Tabla22[[#This Row],[QualityBonus]]*Tabla22[[#This Row],[Base price1]]*Tabla22[[#This Row],[Req.]],0)</f>
        <v>14342.4512</v>
      </c>
      <c r="L140" s="73">
        <f>IF(Tabla22[[#This Row],[Req.2]]&gt;0,LOOKUP(Tabla22[[#This Row],[Product2]],$R$18:$R$23,$T$18:$T$23)*Tabla22[[#This Row],[Base price2]]*Tabla22[[#This Row],[Req.2]]*Tabla22[[#This Row],[QualityBonus]],0)</f>
        <v>47654.611199999999</v>
      </c>
      <c r="M140" s="74">
        <f>IFERROR((Tabla22[[#This Row],[Base price1]]-LOOKUP(Tabla22[[#This Row],[Product]],$R$18:$R$23,$S$18:$S$23))*Tabla22[[#This Row],[Req.]],0)</f>
        <v>24072</v>
      </c>
      <c r="N140" s="78">
        <f>IF(Tabla22[[#This Row],[Req.2]]&gt;0,(Tabla22[[#This Row],[Base price2]]-LOOKUP(Tabla22[[#This Row],[Product2]],$R$18:$R$23,$S$18:$S$23))*Tabla22[[#This Row],[Req.2]],0)</f>
        <v>6573</v>
      </c>
      <c r="O140" s="73">
        <f>SUM(Tabla22[[#This Row],[Bonus1]:[p2]])</f>
        <v>92642.062399999995</v>
      </c>
      <c r="P140" s="73">
        <f>IF(Tabla22[[#This Row],[QualityBonus]]&gt;0,Tabla22[[#This Row],[No wages]]-$C$4,"")</f>
        <v>44779.77816155777</v>
      </c>
    </row>
    <row r="141" spans="1:16" x14ac:dyDescent="0.25">
      <c r="A141" s="13">
        <v>125</v>
      </c>
      <c r="B141" s="13" t="s">
        <v>66</v>
      </c>
      <c r="C141" s="66">
        <v>2.4E-2</v>
      </c>
      <c r="D141" s="2" t="s">
        <v>52</v>
      </c>
      <c r="E141" s="73">
        <v>112791</v>
      </c>
      <c r="F141" s="5">
        <v>4</v>
      </c>
      <c r="G141" s="2" t="s">
        <v>54</v>
      </c>
      <c r="H141" s="73">
        <v>59968</v>
      </c>
      <c r="I141" s="5">
        <v>3</v>
      </c>
      <c r="J141" s="74">
        <f>Tabla22[[#This Row],[Base price1]]*Tabla22[[#This Row],[Req.]]+Tabla22[[#This Row],[Base price2]]*Tabla22[[#This Row],[Req.2]]</f>
        <v>631068</v>
      </c>
      <c r="K141" s="73">
        <f>IFERROR(LOOKUP(Tabla22[[#This Row],[Product]],$R$18:$R$23,$T$18:$T$23)*Tabla22[[#This Row],[QualityBonus]]*Tabla22[[#This Row],[Base price1]]*Tabla22[[#This Row],[Req.]],0)</f>
        <v>64967.616000000009</v>
      </c>
      <c r="L141" s="73">
        <f>IF(Tabla22[[#This Row],[Req.2]]&gt;0,LOOKUP(Tabla22[[#This Row],[Product2]],$R$18:$R$23,$T$18:$T$23)*Tabla22[[#This Row],[Base price2]]*Tabla22[[#This Row],[Req.2]]*Tabla22[[#This Row],[QualityBonus]],0)</f>
        <v>21588.48</v>
      </c>
      <c r="M141" s="74">
        <f>IFERROR((Tabla22[[#This Row],[Base price1]]-LOOKUP(Tabla22[[#This Row],[Product]],$R$18:$R$23,$S$18:$S$23))*Tabla22[[#This Row],[Req.]],0)</f>
        <v>-12836</v>
      </c>
      <c r="N141" s="78">
        <f>IF(Tabla22[[#This Row],[Req.2]]&gt;0,(Tabla22[[#This Row],[Base price2]]-LOOKUP(Tabla22[[#This Row],[Product2]],$R$18:$R$23,$S$18:$S$23))*Tabla22[[#This Row],[Req.2]],0)</f>
        <v>10404</v>
      </c>
      <c r="O141" s="73">
        <f>SUM(Tabla22[[#This Row],[Bonus1]:[p2]])</f>
        <v>84124.096000000005</v>
      </c>
      <c r="P141" s="73">
        <f>IF(Tabla22[[#This Row],[QualityBonus]]&gt;0,Tabla22[[#This Row],[No wages]]-$C$4,"")</f>
        <v>36261.811761557779</v>
      </c>
    </row>
    <row r="142" spans="1:16" x14ac:dyDescent="0.25">
      <c r="A142" s="13">
        <v>126</v>
      </c>
      <c r="B142" s="13" t="s">
        <v>66</v>
      </c>
      <c r="C142" s="66">
        <v>2.6200000000000001E-2</v>
      </c>
      <c r="D142" s="2" t="s">
        <v>53</v>
      </c>
      <c r="E142" s="73">
        <v>38210</v>
      </c>
      <c r="F142" s="5">
        <v>4</v>
      </c>
      <c r="G142" s="2" t="s">
        <v>57</v>
      </c>
      <c r="H142" s="73">
        <v>82313</v>
      </c>
      <c r="I142" s="5">
        <v>3</v>
      </c>
      <c r="J142" s="74">
        <f>Tabla22[[#This Row],[Base price1]]*Tabla22[[#This Row],[Req.]]+Tabla22[[#This Row],[Base price2]]*Tabla22[[#This Row],[Req.2]]</f>
        <v>399779</v>
      </c>
      <c r="K142" s="73">
        <f>IFERROR(LOOKUP(Tabla22[[#This Row],[Product]],$R$18:$R$23,$T$18:$T$23)*Tabla22[[#This Row],[QualityBonus]]*Tabla22[[#This Row],[Base price1]]*Tabla22[[#This Row],[Req.]],0)</f>
        <v>16017.632000000001</v>
      </c>
      <c r="L142" s="73">
        <f>IF(Tabla22[[#This Row],[Req.2]]&gt;0,LOOKUP(Tabla22[[#This Row],[Product2]],$R$18:$R$23,$T$18:$T$23)*Tabla22[[#This Row],[Base price2]]*Tabla22[[#This Row],[Req.2]]*Tabla22[[#This Row],[QualityBonus]],0)</f>
        <v>25879.207200000001</v>
      </c>
      <c r="M142" s="74">
        <f>IFERROR((Tabla22[[#This Row],[Base price1]]-LOOKUP(Tabla22[[#This Row],[Product]],$R$18:$R$23,$S$18:$S$23))*Tabla22[[#This Row],[Req.]],0)</f>
        <v>16840</v>
      </c>
      <c r="N142" s="78">
        <f>IF(Tabla22[[#This Row],[Req.2]]&gt;0,(Tabla22[[#This Row],[Base price2]]-LOOKUP(Tabla22[[#This Row],[Product2]],$R$18:$R$23,$S$18:$S$23))*Tabla22[[#This Row],[Req.2]],0)</f>
        <v>15939</v>
      </c>
      <c r="O142" s="73">
        <f>SUM(Tabla22[[#This Row],[Bonus1]:[p2]])</f>
        <v>74675.839200000002</v>
      </c>
      <c r="P142" s="73">
        <f>IF(Tabla22[[#This Row],[QualityBonus]]&gt;0,Tabla22[[#This Row],[No wages]]-$C$4,"")</f>
        <v>26813.554961557777</v>
      </c>
    </row>
    <row r="143" spans="1:16" x14ac:dyDescent="0.25">
      <c r="A143" s="13">
        <v>127</v>
      </c>
      <c r="B143" s="13" t="s">
        <v>66</v>
      </c>
      <c r="C143" s="66">
        <v>1.4800000000000001E-2</v>
      </c>
      <c r="D143" s="2" t="s">
        <v>54</v>
      </c>
      <c r="E143" s="73">
        <v>56753</v>
      </c>
      <c r="F143" s="5">
        <v>1</v>
      </c>
      <c r="G143" s="2" t="s">
        <v>57</v>
      </c>
      <c r="H143" s="73">
        <v>79406</v>
      </c>
      <c r="I143" s="5">
        <v>2</v>
      </c>
      <c r="J143" s="74">
        <f>Tabla22[[#This Row],[Base price1]]*Tabla22[[#This Row],[Req.]]+Tabla22[[#This Row],[Base price2]]*Tabla22[[#This Row],[Req.2]]</f>
        <v>215565</v>
      </c>
      <c r="K143" s="73">
        <f>IFERROR(LOOKUP(Tabla22[[#This Row],[Product]],$R$18:$R$23,$T$18:$T$23)*Tabla22[[#This Row],[QualityBonus]]*Tabla22[[#This Row],[Base price1]]*Tabla22[[#This Row],[Req.]],0)</f>
        <v>4199.7220000000007</v>
      </c>
      <c r="L143" s="73">
        <f>IF(Tabla22[[#This Row],[Req.2]]&gt;0,LOOKUP(Tabla22[[#This Row],[Product2]],$R$18:$R$23,$T$18:$T$23)*Tabla22[[#This Row],[Base price2]]*Tabla22[[#This Row],[Req.2]]*Tabla22[[#This Row],[QualityBonus]],0)</f>
        <v>9401.6704000000009</v>
      </c>
      <c r="M143" s="74">
        <f>IFERROR((Tabla22[[#This Row],[Base price1]]-LOOKUP(Tabla22[[#This Row],[Product]],$R$18:$R$23,$S$18:$S$23))*Tabla22[[#This Row],[Req.]],0)</f>
        <v>253</v>
      </c>
      <c r="N143" s="78">
        <f>IF(Tabla22[[#This Row],[Req.2]]&gt;0,(Tabla22[[#This Row],[Base price2]]-LOOKUP(Tabla22[[#This Row],[Product2]],$R$18:$R$23,$S$18:$S$23))*Tabla22[[#This Row],[Req.2]],0)</f>
        <v>4812</v>
      </c>
      <c r="O143" s="73">
        <f>SUM(Tabla22[[#This Row],[Bonus1]:[p2]])</f>
        <v>18666.392400000001</v>
      </c>
      <c r="P143" s="73">
        <f>IF(Tabla22[[#This Row],[QualityBonus]]&gt;0,Tabla22[[#This Row],[No wages]]-$C$4,"")</f>
        <v>-29195.891838442225</v>
      </c>
    </row>
    <row r="144" spans="1:16" x14ac:dyDescent="0.25">
      <c r="A144" s="13">
        <v>128</v>
      </c>
      <c r="B144" s="13" t="s">
        <v>66</v>
      </c>
      <c r="C144" s="66">
        <v>2.87E-2</v>
      </c>
      <c r="D144" s="2" t="s">
        <v>53</v>
      </c>
      <c r="E144" s="73">
        <v>38878</v>
      </c>
      <c r="F144" s="5">
        <v>5</v>
      </c>
      <c r="G144" s="2" t="s">
        <v>52</v>
      </c>
      <c r="H144" s="73">
        <v>118055</v>
      </c>
      <c r="I144" s="5">
        <v>3</v>
      </c>
      <c r="J144" s="74">
        <f>Tabla22[[#This Row],[Base price1]]*Tabla22[[#This Row],[Req.]]+Tabla22[[#This Row],[Base price2]]*Tabla22[[#This Row],[Req.2]]</f>
        <v>548555</v>
      </c>
      <c r="K144" s="73">
        <f>IFERROR(LOOKUP(Tabla22[[#This Row],[Product]],$R$18:$R$23,$T$18:$T$23)*Tabla22[[#This Row],[QualityBonus]]*Tabla22[[#This Row],[Base price1]]*Tabla22[[#This Row],[Req.]],0)</f>
        <v>22315.972000000002</v>
      </c>
      <c r="L144" s="73">
        <f>IF(Tabla22[[#This Row],[Req.2]]&gt;0,LOOKUP(Tabla22[[#This Row],[Product2]],$R$18:$R$23,$T$18:$T$23)*Tabla22[[#This Row],[Base price2]]*Tabla22[[#This Row],[Req.2]]*Tabla22[[#This Row],[QualityBonus]],0)</f>
        <v>60987.212999999996</v>
      </c>
      <c r="M144" s="74">
        <f>IFERROR((Tabla22[[#This Row],[Base price1]]-LOOKUP(Tabla22[[#This Row],[Product]],$R$18:$R$23,$S$18:$S$23))*Tabla22[[#This Row],[Req.]],0)</f>
        <v>24390</v>
      </c>
      <c r="N144" s="78">
        <f>IF(Tabla22[[#This Row],[Req.2]]&gt;0,(Tabla22[[#This Row],[Base price2]]-LOOKUP(Tabla22[[#This Row],[Product2]],$R$18:$R$23,$S$18:$S$23))*Tabla22[[#This Row],[Req.2]],0)</f>
        <v>6165</v>
      </c>
      <c r="O144" s="73">
        <f>SUM(Tabla22[[#This Row],[Bonus1]:[p2]])</f>
        <v>113858.185</v>
      </c>
      <c r="P144" s="73">
        <f>IF(Tabla22[[#This Row],[QualityBonus]]&gt;0,Tabla22[[#This Row],[No wages]]-$C$4,"")</f>
        <v>65995.900761557772</v>
      </c>
    </row>
    <row r="145" spans="1:16" x14ac:dyDescent="0.25">
      <c r="A145" s="13">
        <v>129</v>
      </c>
      <c r="B145" s="13" t="s">
        <v>66</v>
      </c>
      <c r="C145" s="66">
        <v>2.6599999999999999E-2</v>
      </c>
      <c r="D145" s="2" t="s">
        <v>53</v>
      </c>
      <c r="E145" s="73">
        <v>40165</v>
      </c>
      <c r="F145" s="5">
        <v>2</v>
      </c>
      <c r="G145" s="2"/>
      <c r="H145" s="73"/>
      <c r="I145" s="5"/>
      <c r="J145" s="74">
        <f>Tabla22[[#This Row],[Base price1]]*Tabla22[[#This Row],[Req.]]+Tabla22[[#This Row],[Base price2]]*Tabla22[[#This Row],[Req.2]]</f>
        <v>80330</v>
      </c>
      <c r="K145" s="73">
        <f>IFERROR(LOOKUP(Tabla22[[#This Row],[Product]],$R$18:$R$23,$T$18:$T$23)*Tabla22[[#This Row],[QualityBonus]]*Tabla22[[#This Row],[Base price1]]*Tabla22[[#This Row],[Req.]],0)</f>
        <v>8547.1119999999992</v>
      </c>
      <c r="L145" s="73">
        <f>IF(Tabla22[[#This Row],[Req.2]]&gt;0,LOOKUP(Tabla22[[#This Row],[Product2]],$R$18:$R$23,$T$18:$T$23)*Tabla22[[#This Row],[Base price2]]*Tabla22[[#This Row],[Req.2]]*Tabla22[[#This Row],[QualityBonus]],0)</f>
        <v>0</v>
      </c>
      <c r="M145" s="74">
        <f>IFERROR((Tabla22[[#This Row],[Base price1]]-LOOKUP(Tabla22[[#This Row],[Product]],$R$18:$R$23,$S$18:$S$23))*Tabla22[[#This Row],[Req.]],0)</f>
        <v>12330</v>
      </c>
      <c r="N145" s="78">
        <f>IF(Tabla22[[#This Row],[Req.2]]&gt;0,(Tabla22[[#This Row],[Base price2]]-LOOKUP(Tabla22[[#This Row],[Product2]],$R$18:$R$23,$S$18:$S$23))*Tabla22[[#This Row],[Req.2]],0)</f>
        <v>0</v>
      </c>
      <c r="O145" s="73">
        <f>SUM(Tabla22[[#This Row],[Bonus1]:[p2]])</f>
        <v>20877.112000000001</v>
      </c>
      <c r="P145" s="73">
        <f>IF(Tabla22[[#This Row],[QualityBonus]]&gt;0,Tabla22[[#This Row],[No wages]]-$C$4,"")</f>
        <v>-26985.172238442225</v>
      </c>
    </row>
    <row r="146" spans="1:16" x14ac:dyDescent="0.25">
      <c r="A146" s="13">
        <v>130</v>
      </c>
      <c r="B146" s="13" t="s">
        <v>66</v>
      </c>
      <c r="C146" s="66">
        <v>2.47E-2</v>
      </c>
      <c r="D146" s="2" t="s">
        <v>55</v>
      </c>
      <c r="E146" s="73">
        <v>80261</v>
      </c>
      <c r="F146" s="5">
        <v>3</v>
      </c>
      <c r="G146" s="2" t="s">
        <v>53</v>
      </c>
      <c r="H146" s="73">
        <v>38757</v>
      </c>
      <c r="I146" s="5">
        <v>3</v>
      </c>
      <c r="J146" s="74">
        <f>Tabla22[[#This Row],[Base price1]]*Tabla22[[#This Row],[Req.]]+Tabla22[[#This Row],[Base price2]]*Tabla22[[#This Row],[Req.2]]</f>
        <v>357054</v>
      </c>
      <c r="K146" s="73">
        <f>IFERROR(LOOKUP(Tabla22[[#This Row],[Product]],$R$18:$R$23,$T$18:$T$23)*Tabla22[[#This Row],[QualityBonus]]*Tabla22[[#This Row],[Base price1]]*Tabla22[[#This Row],[Req.]],0)</f>
        <v>23789.360399999998</v>
      </c>
      <c r="L146" s="73">
        <f>IF(Tabla22[[#This Row],[Req.2]]&gt;0,LOOKUP(Tabla22[[#This Row],[Product2]],$R$18:$R$23,$T$18:$T$23)*Tabla22[[#This Row],[Base price2]]*Tabla22[[#This Row],[Req.2]]*Tabla22[[#This Row],[QualityBonus]],0)</f>
        <v>11487.5748</v>
      </c>
      <c r="M146" s="74">
        <f>IFERROR((Tabla22[[#This Row],[Base price1]]-LOOKUP(Tabla22[[#This Row],[Product]],$R$18:$R$23,$S$18:$S$23))*Tabla22[[#This Row],[Req.]],0)</f>
        <v>9783</v>
      </c>
      <c r="N146" s="78">
        <f>IF(Tabla22[[#This Row],[Req.2]]&gt;0,(Tabla22[[#This Row],[Base price2]]-LOOKUP(Tabla22[[#This Row],[Product2]],$R$18:$R$23,$S$18:$S$23))*Tabla22[[#This Row],[Req.2]],0)</f>
        <v>14271</v>
      </c>
      <c r="O146" s="73">
        <f>SUM(Tabla22[[#This Row],[Bonus1]:[p2]])</f>
        <v>59330.9352</v>
      </c>
      <c r="P146" s="73">
        <f>IF(Tabla22[[#This Row],[QualityBonus]]&gt;0,Tabla22[[#This Row],[No wages]]-$C$4,"")</f>
        <v>11468.650961557774</v>
      </c>
    </row>
    <row r="147" spans="1:16" x14ac:dyDescent="0.25">
      <c r="A147" s="13">
        <v>131</v>
      </c>
      <c r="B147" s="13" t="s">
        <v>66</v>
      </c>
      <c r="C147" s="66">
        <v>2.24E-2</v>
      </c>
      <c r="D147" s="2" t="s">
        <v>53</v>
      </c>
      <c r="E147" s="73">
        <v>38282</v>
      </c>
      <c r="F147" s="5">
        <v>2</v>
      </c>
      <c r="G147" s="2" t="s">
        <v>57</v>
      </c>
      <c r="H147" s="73">
        <v>81208</v>
      </c>
      <c r="I147" s="5">
        <v>2</v>
      </c>
      <c r="J147" s="74">
        <f>Tabla22[[#This Row],[Base price1]]*Tabla22[[#This Row],[Req.]]+Tabla22[[#This Row],[Base price2]]*Tabla22[[#This Row],[Req.2]]</f>
        <v>238980</v>
      </c>
      <c r="K147" s="73">
        <f>IFERROR(LOOKUP(Tabla22[[#This Row],[Product]],$R$18:$R$23,$T$18:$T$23)*Tabla22[[#This Row],[QualityBonus]]*Tabla22[[#This Row],[Base price1]]*Tabla22[[#This Row],[Req.]],0)</f>
        <v>6860.1343999999999</v>
      </c>
      <c r="L147" s="73">
        <f>IF(Tabla22[[#This Row],[Req.2]]&gt;0,LOOKUP(Tabla22[[#This Row],[Product2]],$R$18:$R$23,$T$18:$T$23)*Tabla22[[#This Row],[Base price2]]*Tabla22[[#This Row],[Req.2]]*Tabla22[[#This Row],[QualityBonus]],0)</f>
        <v>14552.473599999999</v>
      </c>
      <c r="M147" s="74">
        <f>IFERROR((Tabla22[[#This Row],[Base price1]]-LOOKUP(Tabla22[[#This Row],[Product]],$R$18:$R$23,$S$18:$S$23))*Tabla22[[#This Row],[Req.]],0)</f>
        <v>8564</v>
      </c>
      <c r="N147" s="78">
        <f>IF(Tabla22[[#This Row],[Req.2]]&gt;0,(Tabla22[[#This Row],[Base price2]]-LOOKUP(Tabla22[[#This Row],[Product2]],$R$18:$R$23,$S$18:$S$23))*Tabla22[[#This Row],[Req.2]],0)</f>
        <v>8416</v>
      </c>
      <c r="O147" s="73">
        <f>SUM(Tabla22[[#This Row],[Bonus1]:[p2]])</f>
        <v>38392.608</v>
      </c>
      <c r="P147" s="73">
        <f>IF(Tabla22[[#This Row],[QualityBonus]]&gt;0,Tabla22[[#This Row],[No wages]]-$C$4,"")</f>
        <v>-9469.6762384422254</v>
      </c>
    </row>
    <row r="148" spans="1:16" x14ac:dyDescent="0.25">
      <c r="A148" s="13">
        <v>132</v>
      </c>
      <c r="B148" s="13" t="s">
        <v>66</v>
      </c>
      <c r="C148" s="66">
        <v>2.4799999999999999E-2</v>
      </c>
      <c r="D148" s="2" t="s">
        <v>53</v>
      </c>
      <c r="E148" s="73">
        <v>38568</v>
      </c>
      <c r="F148" s="5">
        <v>5</v>
      </c>
      <c r="G148" s="2" t="s">
        <v>52</v>
      </c>
      <c r="H148" s="73">
        <v>116188</v>
      </c>
      <c r="I148" s="5">
        <v>1</v>
      </c>
      <c r="J148" s="74">
        <f>Tabla22[[#This Row],[Base price1]]*Tabla22[[#This Row],[Req.]]+Tabla22[[#This Row],[Base price2]]*Tabla22[[#This Row],[Req.2]]</f>
        <v>309028</v>
      </c>
      <c r="K148" s="73">
        <f>IFERROR(LOOKUP(Tabla22[[#This Row],[Product]],$R$18:$R$23,$T$18:$T$23)*Tabla22[[#This Row],[QualityBonus]]*Tabla22[[#This Row],[Base price1]]*Tabla22[[#This Row],[Req.]],0)</f>
        <v>19129.727999999999</v>
      </c>
      <c r="L148" s="73">
        <f>IF(Tabla22[[#This Row],[Req.2]]&gt;0,LOOKUP(Tabla22[[#This Row],[Product2]],$R$18:$R$23,$T$18:$T$23)*Tabla22[[#This Row],[Base price2]]*Tabla22[[#This Row],[Req.2]]*Tabla22[[#This Row],[QualityBonus]],0)</f>
        <v>17288.774399999998</v>
      </c>
      <c r="M148" s="74">
        <f>IFERROR((Tabla22[[#This Row],[Base price1]]-LOOKUP(Tabla22[[#This Row],[Product]],$R$18:$R$23,$S$18:$S$23))*Tabla22[[#This Row],[Req.]],0)</f>
        <v>22840</v>
      </c>
      <c r="N148" s="78">
        <f>IF(Tabla22[[#This Row],[Req.2]]&gt;0,(Tabla22[[#This Row],[Base price2]]-LOOKUP(Tabla22[[#This Row],[Product2]],$R$18:$R$23,$S$18:$S$23))*Tabla22[[#This Row],[Req.2]],0)</f>
        <v>188</v>
      </c>
      <c r="O148" s="73">
        <f>SUM(Tabla22[[#This Row],[Bonus1]:[p2]])</f>
        <v>59446.502399999998</v>
      </c>
      <c r="P148" s="73">
        <f>IF(Tabla22[[#This Row],[QualityBonus]]&gt;0,Tabla22[[#This Row],[No wages]]-$C$4,"")</f>
        <v>11584.218161557772</v>
      </c>
    </row>
    <row r="149" spans="1:16" x14ac:dyDescent="0.25">
      <c r="A149" s="13">
        <v>133</v>
      </c>
      <c r="B149" s="13" t="s">
        <v>66</v>
      </c>
      <c r="C149" s="66">
        <v>2.7E-2</v>
      </c>
      <c r="D149" s="2" t="s">
        <v>55</v>
      </c>
      <c r="E149" s="73">
        <v>79349</v>
      </c>
      <c r="F149" s="5">
        <v>4</v>
      </c>
      <c r="G149" s="2" t="s">
        <v>53</v>
      </c>
      <c r="H149" s="73">
        <v>40468</v>
      </c>
      <c r="I149" s="5">
        <v>5</v>
      </c>
      <c r="J149" s="74">
        <f>Tabla22[[#This Row],[Base price1]]*Tabla22[[#This Row],[Req.]]+Tabla22[[#This Row],[Base price2]]*Tabla22[[#This Row],[Req.2]]</f>
        <v>519736</v>
      </c>
      <c r="K149" s="73">
        <f>IFERROR(LOOKUP(Tabla22[[#This Row],[Product]],$R$18:$R$23,$T$18:$T$23)*Tabla22[[#This Row],[QualityBonus]]*Tabla22[[#This Row],[Base price1]]*Tabla22[[#This Row],[Req.]],0)</f>
        <v>34278.767999999996</v>
      </c>
      <c r="L149" s="73">
        <f>IF(Tabla22[[#This Row],[Req.2]]&gt;0,LOOKUP(Tabla22[[#This Row],[Product2]],$R$18:$R$23,$T$18:$T$23)*Tabla22[[#This Row],[Base price2]]*Tabla22[[#This Row],[Req.2]]*Tabla22[[#This Row],[QualityBonus]],0)</f>
        <v>21852.720000000001</v>
      </c>
      <c r="M149" s="74">
        <f>IFERROR((Tabla22[[#This Row],[Base price1]]-LOOKUP(Tabla22[[#This Row],[Product]],$R$18:$R$23,$S$18:$S$23))*Tabla22[[#This Row],[Req.]],0)</f>
        <v>9396</v>
      </c>
      <c r="N149" s="78">
        <f>IF(Tabla22[[#This Row],[Req.2]]&gt;0,(Tabla22[[#This Row],[Base price2]]-LOOKUP(Tabla22[[#This Row],[Product2]],$R$18:$R$23,$S$18:$S$23))*Tabla22[[#This Row],[Req.2]],0)</f>
        <v>32340</v>
      </c>
      <c r="O149" s="73">
        <f>SUM(Tabla22[[#This Row],[Bonus1]:[p2]])</f>
        <v>97867.487999999998</v>
      </c>
      <c r="P149" s="73">
        <f>IF(Tabla22[[#This Row],[QualityBonus]]&gt;0,Tabla22[[#This Row],[No wages]]-$C$4,"")</f>
        <v>50005.203761557772</v>
      </c>
    </row>
    <row r="150" spans="1:16" x14ac:dyDescent="0.25">
      <c r="A150" s="13">
        <v>134</v>
      </c>
      <c r="B150" s="13" t="s">
        <v>66</v>
      </c>
      <c r="C150" s="66">
        <v>2.3599999999999999E-2</v>
      </c>
      <c r="D150" s="2" t="s">
        <v>54</v>
      </c>
      <c r="E150" s="73">
        <v>57427</v>
      </c>
      <c r="F150" s="5">
        <v>2</v>
      </c>
      <c r="G150" s="2" t="s">
        <v>57</v>
      </c>
      <c r="H150" s="73">
        <v>78594</v>
      </c>
      <c r="I150" s="5">
        <v>2</v>
      </c>
      <c r="J150" s="74">
        <f>Tabla22[[#This Row],[Base price1]]*Tabla22[[#This Row],[Req.]]+Tabla22[[#This Row],[Base price2]]*Tabla22[[#This Row],[Req.2]]</f>
        <v>272042</v>
      </c>
      <c r="K150" s="73">
        <f>IFERROR(LOOKUP(Tabla22[[#This Row],[Product]],$R$18:$R$23,$T$18:$T$23)*Tabla22[[#This Row],[QualityBonus]]*Tabla22[[#This Row],[Base price1]]*Tabla22[[#This Row],[Req.]],0)</f>
        <v>13552.771999999999</v>
      </c>
      <c r="L150" s="73">
        <f>IF(Tabla22[[#This Row],[Req.2]]&gt;0,LOOKUP(Tabla22[[#This Row],[Product2]],$R$18:$R$23,$T$18:$T$23)*Tabla22[[#This Row],[Base price2]]*Tabla22[[#This Row],[Req.2]]*Tabla22[[#This Row],[QualityBonus]],0)</f>
        <v>14838.547199999999</v>
      </c>
      <c r="M150" s="74">
        <f>IFERROR((Tabla22[[#This Row],[Base price1]]-LOOKUP(Tabla22[[#This Row],[Product]],$R$18:$R$23,$S$18:$S$23))*Tabla22[[#This Row],[Req.]],0)</f>
        <v>1854</v>
      </c>
      <c r="N150" s="78">
        <f>IF(Tabla22[[#This Row],[Req.2]]&gt;0,(Tabla22[[#This Row],[Base price2]]-LOOKUP(Tabla22[[#This Row],[Product2]],$R$18:$R$23,$S$18:$S$23))*Tabla22[[#This Row],[Req.2]],0)</f>
        <v>3188</v>
      </c>
      <c r="O150" s="73">
        <f>SUM(Tabla22[[#This Row],[Bonus1]:[p2]])</f>
        <v>33433.319199999998</v>
      </c>
      <c r="P150" s="73">
        <f>IF(Tabla22[[#This Row],[QualityBonus]]&gt;0,Tabla22[[#This Row],[No wages]]-$C$4,"")</f>
        <v>-14428.965038442228</v>
      </c>
    </row>
    <row r="151" spans="1:16" x14ac:dyDescent="0.25">
      <c r="A151" s="13">
        <v>135</v>
      </c>
      <c r="B151" s="13" t="s">
        <v>66</v>
      </c>
      <c r="C151" s="66">
        <v>2.3699999999999999E-2</v>
      </c>
      <c r="D151" s="2" t="s">
        <v>55</v>
      </c>
      <c r="E151" s="73">
        <v>78651</v>
      </c>
      <c r="F151" s="5">
        <v>2</v>
      </c>
      <c r="G151" s="2"/>
      <c r="H151" s="73"/>
      <c r="I151" s="5"/>
      <c r="J151" s="74">
        <f>Tabla22[[#This Row],[Base price1]]*Tabla22[[#This Row],[Req.]]+Tabla22[[#This Row],[Base price2]]*Tabla22[[#This Row],[Req.2]]</f>
        <v>157302</v>
      </c>
      <c r="K151" s="73">
        <f>IFERROR(LOOKUP(Tabla22[[#This Row],[Product]],$R$18:$R$23,$T$18:$T$23)*Tabla22[[#This Row],[QualityBonus]]*Tabla22[[#This Row],[Base price1]]*Tabla22[[#This Row],[Req.]],0)</f>
        <v>14912.229599999999</v>
      </c>
      <c r="L151" s="73">
        <f>IF(Tabla22[[#This Row],[Req.2]]&gt;0,LOOKUP(Tabla22[[#This Row],[Product2]],$R$18:$R$23,$T$18:$T$23)*Tabla22[[#This Row],[Base price2]]*Tabla22[[#This Row],[Req.2]]*Tabla22[[#This Row],[QualityBonus]],0)</f>
        <v>0</v>
      </c>
      <c r="M151" s="74">
        <f>IFERROR((Tabla22[[#This Row],[Base price1]]-LOOKUP(Tabla22[[#This Row],[Product]],$R$18:$R$23,$S$18:$S$23))*Tabla22[[#This Row],[Req.]],0)</f>
        <v>3302</v>
      </c>
      <c r="N151" s="78">
        <f>IF(Tabla22[[#This Row],[Req.2]]&gt;0,(Tabla22[[#This Row],[Base price2]]-LOOKUP(Tabla22[[#This Row],[Product2]],$R$18:$R$23,$S$18:$S$23))*Tabla22[[#This Row],[Req.2]],0)</f>
        <v>0</v>
      </c>
      <c r="O151" s="73">
        <f>SUM(Tabla22[[#This Row],[Bonus1]:[p2]])</f>
        <v>18214.229599999999</v>
      </c>
      <c r="P151" s="73">
        <f>IF(Tabla22[[#This Row],[QualityBonus]]&gt;0,Tabla22[[#This Row],[No wages]]-$C$4,"")</f>
        <v>-29648.054638442227</v>
      </c>
    </row>
    <row r="152" spans="1:16" x14ac:dyDescent="0.25">
      <c r="A152" s="13">
        <v>136</v>
      </c>
      <c r="B152" s="13" t="s">
        <v>66</v>
      </c>
      <c r="C152" s="66">
        <v>1.1900000000000001E-2</v>
      </c>
      <c r="D152" s="2" t="s">
        <v>55</v>
      </c>
      <c r="E152" s="73">
        <v>79927</v>
      </c>
      <c r="F152" s="5">
        <v>4</v>
      </c>
      <c r="G152" s="2" t="s">
        <v>53</v>
      </c>
      <c r="H152" s="73">
        <v>38587</v>
      </c>
      <c r="I152" s="5">
        <v>4</v>
      </c>
      <c r="J152" s="74">
        <f>Tabla22[[#This Row],[Base price1]]*Tabla22[[#This Row],[Req.]]+Tabla22[[#This Row],[Base price2]]*Tabla22[[#This Row],[Req.2]]</f>
        <v>474056</v>
      </c>
      <c r="K152" s="73">
        <f>IFERROR(LOOKUP(Tabla22[[#This Row],[Product]],$R$18:$R$23,$T$18:$T$23)*Tabla22[[#This Row],[QualityBonus]]*Tabla22[[#This Row],[Base price1]]*Tabla22[[#This Row],[Req.]],0)</f>
        <v>15218.100800000002</v>
      </c>
      <c r="L152" s="73">
        <f>IF(Tabla22[[#This Row],[Req.2]]&gt;0,LOOKUP(Tabla22[[#This Row],[Product2]],$R$18:$R$23,$T$18:$T$23)*Tabla22[[#This Row],[Base price2]]*Tabla22[[#This Row],[Req.2]]*Tabla22[[#This Row],[QualityBonus]],0)</f>
        <v>7346.9648000000007</v>
      </c>
      <c r="M152" s="74">
        <f>IFERROR((Tabla22[[#This Row],[Base price1]]-LOOKUP(Tabla22[[#This Row],[Product]],$R$18:$R$23,$S$18:$S$23))*Tabla22[[#This Row],[Req.]],0)</f>
        <v>11708</v>
      </c>
      <c r="N152" s="78">
        <f>IF(Tabla22[[#This Row],[Req.2]]&gt;0,(Tabla22[[#This Row],[Base price2]]-LOOKUP(Tabla22[[#This Row],[Product2]],$R$18:$R$23,$S$18:$S$23))*Tabla22[[#This Row],[Req.2]],0)</f>
        <v>18348</v>
      </c>
      <c r="O152" s="73">
        <f>SUM(Tabla22[[#This Row],[Bonus1]:[p2]])</f>
        <v>52621.065600000002</v>
      </c>
      <c r="P152" s="73">
        <f>IF(Tabla22[[#This Row],[QualityBonus]]&gt;0,Tabla22[[#This Row],[No wages]]-$C$4,"")</f>
        <v>4758.7813615577761</v>
      </c>
    </row>
    <row r="153" spans="1:16" x14ac:dyDescent="0.25">
      <c r="A153" s="13">
        <v>137</v>
      </c>
      <c r="B153" s="13" t="s">
        <v>66</v>
      </c>
      <c r="C153" s="66">
        <v>1.6899999999999998E-2</v>
      </c>
      <c r="D153" s="2" t="s">
        <v>56</v>
      </c>
      <c r="E153" s="73">
        <v>216583</v>
      </c>
      <c r="F153" s="5">
        <v>3</v>
      </c>
      <c r="G153" s="2" t="s">
        <v>57</v>
      </c>
      <c r="H153" s="73">
        <v>79321</v>
      </c>
      <c r="I153" s="5">
        <v>3</v>
      </c>
      <c r="J153" s="74">
        <f>Tabla22[[#This Row],[Base price1]]*Tabla22[[#This Row],[Req.]]+Tabla22[[#This Row],[Base price2]]*Tabla22[[#This Row],[Req.2]]</f>
        <v>887712</v>
      </c>
      <c r="K153" s="73">
        <f>IFERROR(LOOKUP(Tabla22[[#This Row],[Product]],$R$18:$R$23,$T$18:$T$23)*Tabla22[[#This Row],[QualityBonus]]*Tabla22[[#This Row],[Base price1]]*Tabla22[[#This Row],[Req.]],0)</f>
        <v>32942.274299999997</v>
      </c>
      <c r="L153" s="73">
        <f>IF(Tabla22[[#This Row],[Req.2]]&gt;0,LOOKUP(Tabla22[[#This Row],[Product2]],$R$18:$R$23,$T$18:$T$23)*Tabla22[[#This Row],[Base price2]]*Tabla22[[#This Row],[Req.2]]*Tabla22[[#This Row],[QualityBonus]],0)</f>
        <v>16086.298799999999</v>
      </c>
      <c r="M153" s="74">
        <f>IFERROR((Tabla22[[#This Row],[Base price1]]-LOOKUP(Tabla22[[#This Row],[Product]],$R$18:$R$23,$S$18:$S$23))*Tabla22[[#This Row],[Req.]],0)</f>
        <v>-13251</v>
      </c>
      <c r="N153" s="78">
        <f>IF(Tabla22[[#This Row],[Req.2]]&gt;0,(Tabla22[[#This Row],[Base price2]]-LOOKUP(Tabla22[[#This Row],[Product2]],$R$18:$R$23,$S$18:$S$23))*Tabla22[[#This Row],[Req.2]],0)</f>
        <v>6963</v>
      </c>
      <c r="O153" s="73">
        <f>SUM(Tabla22[[#This Row],[Bonus1]:[p2]])</f>
        <v>42740.573099999994</v>
      </c>
      <c r="P153" s="73">
        <f>IF(Tabla22[[#This Row],[QualityBonus]]&gt;0,Tabla22[[#This Row],[No wages]]-$C$4,"")</f>
        <v>-5121.7111384422315</v>
      </c>
    </row>
    <row r="154" spans="1:16" x14ac:dyDescent="0.25">
      <c r="A154" s="24">
        <v>138</v>
      </c>
      <c r="B154" s="24" t="s">
        <v>66</v>
      </c>
      <c r="C154" s="44">
        <v>2.63E-2</v>
      </c>
      <c r="D154" s="37" t="s">
        <v>56</v>
      </c>
      <c r="E154" s="72">
        <v>219216</v>
      </c>
      <c r="F154" s="39">
        <v>3</v>
      </c>
      <c r="G154" s="37" t="s">
        <v>52</v>
      </c>
      <c r="H154" s="72">
        <v>115169</v>
      </c>
      <c r="I154" s="39">
        <v>2</v>
      </c>
      <c r="J154" s="75">
        <f>Tabla22[[#This Row],[Base price1]]*Tabla22[[#This Row],[Req.]]+Tabla22[[#This Row],[Base price2]]*Tabla22[[#This Row],[Req.2]]</f>
        <v>887986</v>
      </c>
      <c r="K154" s="72">
        <f>IFERROR(LOOKUP(Tabla22[[#This Row],[Product]],$R$18:$R$23,$T$18:$T$23)*Tabla22[[#This Row],[QualityBonus]]*Tabla22[[#This Row],[Base price1]]*Tabla22[[#This Row],[Req.]],0)</f>
        <v>51888.427200000006</v>
      </c>
      <c r="L154" s="72">
        <f>IF(Tabla22[[#This Row],[Req.2]]&gt;0,LOOKUP(Tabla22[[#This Row],[Product2]],$R$18:$R$23,$T$18:$T$23)*Tabla22[[#This Row],[Base price2]]*Tabla22[[#This Row],[Req.2]]*Tabla22[[#This Row],[QualityBonus]],0)</f>
        <v>36347.3364</v>
      </c>
      <c r="M154" s="75">
        <f>IFERROR((Tabla22[[#This Row],[Base price1]]-LOOKUP(Tabla22[[#This Row],[Product]],$R$18:$R$23,$S$18:$S$23))*Tabla22[[#This Row],[Req.]],0)</f>
        <v>-5352</v>
      </c>
      <c r="N154" s="79">
        <f>IF(Tabla22[[#This Row],[Req.2]]&gt;0,(Tabla22[[#This Row],[Base price2]]-LOOKUP(Tabla22[[#This Row],[Product2]],$R$18:$R$23,$S$18:$S$23))*Tabla22[[#This Row],[Req.2]],0)</f>
        <v>-1662</v>
      </c>
      <c r="O154" s="72">
        <f>SUM(Tabla22[[#This Row],[Bonus1]:[p2]])</f>
        <v>81221.763600000006</v>
      </c>
      <c r="P154" s="72">
        <f>IF(Tabla22[[#This Row],[QualityBonus]]&gt;0,Tabla22[[#This Row],[No wages]]-$C$4,"")</f>
        <v>33359.47936155778</v>
      </c>
    </row>
    <row r="155" spans="1:16" x14ac:dyDescent="0.25">
      <c r="A155" s="13">
        <v>139</v>
      </c>
      <c r="B155" s="13" t="s">
        <v>66</v>
      </c>
      <c r="C155" s="66">
        <v>2.9899999999999999E-2</v>
      </c>
      <c r="D155" s="2" t="s">
        <v>55</v>
      </c>
      <c r="E155" s="73">
        <v>80674</v>
      </c>
      <c r="F155" s="5">
        <v>2</v>
      </c>
      <c r="G155" s="2" t="s">
        <v>54</v>
      </c>
      <c r="H155" s="73">
        <v>58820</v>
      </c>
      <c r="I155" s="5">
        <v>2</v>
      </c>
      <c r="J155" s="74">
        <f>Tabla22[[#This Row],[Base price1]]*Tabla22[[#This Row],[Req.]]+Tabla22[[#This Row],[Base price2]]*Tabla22[[#This Row],[Req.2]]</f>
        <v>278988</v>
      </c>
      <c r="K155" s="73">
        <f>IFERROR(LOOKUP(Tabla22[[#This Row],[Product]],$R$18:$R$23,$T$18:$T$23)*Tabla22[[#This Row],[QualityBonus]]*Tabla22[[#This Row],[Base price1]]*Tabla22[[#This Row],[Req.]],0)</f>
        <v>19297.220799999999</v>
      </c>
      <c r="L155" s="73">
        <f>IF(Tabla22[[#This Row],[Req.2]]&gt;0,LOOKUP(Tabla22[[#This Row],[Product2]],$R$18:$R$23,$T$18:$T$23)*Tabla22[[#This Row],[Base price2]]*Tabla22[[#This Row],[Req.2]]*Tabla22[[#This Row],[QualityBonus]],0)</f>
        <v>17587.18</v>
      </c>
      <c r="M155" s="74">
        <f>IFERROR((Tabla22[[#This Row],[Base price1]]-LOOKUP(Tabla22[[#This Row],[Product]],$R$18:$R$23,$S$18:$S$23))*Tabla22[[#This Row],[Req.]],0)</f>
        <v>7348</v>
      </c>
      <c r="N155" s="78">
        <f>IF(Tabla22[[#This Row],[Req.2]]&gt;0,(Tabla22[[#This Row],[Base price2]]-LOOKUP(Tabla22[[#This Row],[Product2]],$R$18:$R$23,$S$18:$S$23))*Tabla22[[#This Row],[Req.2]],0)</f>
        <v>4640</v>
      </c>
      <c r="O155" s="73">
        <f>SUM(Tabla22[[#This Row],[Bonus1]:[p2]])</f>
        <v>48872.400800000003</v>
      </c>
      <c r="P155" s="73">
        <f>IF(Tabla22[[#This Row],[QualityBonus]]&gt;0,Tabla22[[#This Row],[No wages]]-$C$4,"")</f>
        <v>1010.1165615577775</v>
      </c>
    </row>
    <row r="156" spans="1:16" x14ac:dyDescent="0.25">
      <c r="A156" s="13">
        <v>140</v>
      </c>
      <c r="B156" s="13" t="s">
        <v>66</v>
      </c>
      <c r="C156" s="66">
        <v>1.84E-2</v>
      </c>
      <c r="D156" s="2" t="s">
        <v>53</v>
      </c>
      <c r="E156" s="73">
        <v>39677</v>
      </c>
      <c r="F156" s="5">
        <v>3</v>
      </c>
      <c r="G156" s="2" t="s">
        <v>57</v>
      </c>
      <c r="H156" s="73">
        <v>83266</v>
      </c>
      <c r="I156" s="5">
        <v>2</v>
      </c>
      <c r="J156" s="74">
        <f>Tabla22[[#This Row],[Base price1]]*Tabla22[[#This Row],[Req.]]+Tabla22[[#This Row],[Base price2]]*Tabla22[[#This Row],[Req.2]]</f>
        <v>285563</v>
      </c>
      <c r="K156" s="73">
        <f>IFERROR(LOOKUP(Tabla22[[#This Row],[Product]],$R$18:$R$23,$T$18:$T$23)*Tabla22[[#This Row],[QualityBonus]]*Tabla22[[#This Row],[Base price1]]*Tabla22[[#This Row],[Req.]],0)</f>
        <v>8760.6815999999999</v>
      </c>
      <c r="L156" s="73">
        <f>IF(Tabla22[[#This Row],[Req.2]]&gt;0,LOOKUP(Tabla22[[#This Row],[Product2]],$R$18:$R$23,$T$18:$T$23)*Tabla22[[#This Row],[Base price2]]*Tabla22[[#This Row],[Req.2]]*Tabla22[[#This Row],[QualityBonus]],0)</f>
        <v>12256.7552</v>
      </c>
      <c r="M156" s="74">
        <f>IFERROR((Tabla22[[#This Row],[Base price1]]-LOOKUP(Tabla22[[#This Row],[Product]],$R$18:$R$23,$S$18:$S$23))*Tabla22[[#This Row],[Req.]],0)</f>
        <v>17031</v>
      </c>
      <c r="N156" s="78">
        <f>IF(Tabla22[[#This Row],[Req.2]]&gt;0,(Tabla22[[#This Row],[Base price2]]-LOOKUP(Tabla22[[#This Row],[Product2]],$R$18:$R$23,$S$18:$S$23))*Tabla22[[#This Row],[Req.2]],0)</f>
        <v>12532</v>
      </c>
      <c r="O156" s="73">
        <f>SUM(Tabla22[[#This Row],[Bonus1]:[p2]])</f>
        <v>50580.436799999996</v>
      </c>
      <c r="P156" s="73">
        <f>IF(Tabla22[[#This Row],[QualityBonus]]&gt;0,Tabla22[[#This Row],[No wages]]-$C$4,"")</f>
        <v>2718.1525615577702</v>
      </c>
    </row>
    <row r="157" spans="1:16" x14ac:dyDescent="0.25">
      <c r="A157" s="13">
        <v>141</v>
      </c>
      <c r="B157" s="13" t="s">
        <v>66</v>
      </c>
      <c r="C157" s="66">
        <v>1.5900000000000001E-2</v>
      </c>
      <c r="D157" s="2" t="s">
        <v>55</v>
      </c>
      <c r="E157" s="73">
        <v>81718</v>
      </c>
      <c r="F157" s="5">
        <v>1</v>
      </c>
      <c r="G157" s="2"/>
      <c r="H157" s="73"/>
      <c r="I157" s="5"/>
      <c r="J157" s="74">
        <f>Tabla22[[#This Row],[Base price1]]*Tabla22[[#This Row],[Req.]]+Tabla22[[#This Row],[Base price2]]*Tabla22[[#This Row],[Req.2]]</f>
        <v>81718</v>
      </c>
      <c r="K157" s="73">
        <f>IFERROR(LOOKUP(Tabla22[[#This Row],[Product]],$R$18:$R$23,$T$18:$T$23)*Tabla22[[#This Row],[QualityBonus]]*Tabla22[[#This Row],[Base price1]]*Tabla22[[#This Row],[Req.]],0)</f>
        <v>5197.2647999999999</v>
      </c>
      <c r="L157" s="73">
        <f>IF(Tabla22[[#This Row],[Req.2]]&gt;0,LOOKUP(Tabla22[[#This Row],[Product2]],$R$18:$R$23,$T$18:$T$23)*Tabla22[[#This Row],[Base price2]]*Tabla22[[#This Row],[Req.2]]*Tabla22[[#This Row],[QualityBonus]],0)</f>
        <v>0</v>
      </c>
      <c r="M157" s="74">
        <f>IFERROR((Tabla22[[#This Row],[Base price1]]-LOOKUP(Tabla22[[#This Row],[Product]],$R$18:$R$23,$S$18:$S$23))*Tabla22[[#This Row],[Req.]],0)</f>
        <v>4718</v>
      </c>
      <c r="N157" s="78">
        <f>IF(Tabla22[[#This Row],[Req.2]]&gt;0,(Tabla22[[#This Row],[Base price2]]-LOOKUP(Tabla22[[#This Row],[Product2]],$R$18:$R$23,$S$18:$S$23))*Tabla22[[#This Row],[Req.2]],0)</f>
        <v>0</v>
      </c>
      <c r="O157" s="73">
        <f>SUM(Tabla22[[#This Row],[Bonus1]:[p2]])</f>
        <v>9915.2648000000008</v>
      </c>
      <c r="P157" s="73">
        <f>IF(Tabla22[[#This Row],[QualityBonus]]&gt;0,Tabla22[[#This Row],[No wages]]-$C$4,"")</f>
        <v>-37947.019438442221</v>
      </c>
    </row>
    <row r="158" spans="1:16" x14ac:dyDescent="0.25">
      <c r="A158" s="13">
        <v>142</v>
      </c>
      <c r="B158" s="13" t="s">
        <v>66</v>
      </c>
      <c r="C158" s="66">
        <v>2.1100000000000001E-2</v>
      </c>
      <c r="D158" s="2" t="s">
        <v>53</v>
      </c>
      <c r="E158" s="73">
        <v>38513</v>
      </c>
      <c r="F158" s="5">
        <v>5</v>
      </c>
      <c r="G158" s="2"/>
      <c r="H158" s="73"/>
      <c r="I158" s="5"/>
      <c r="J158" s="74">
        <f>Tabla22[[#This Row],[Base price1]]*Tabla22[[#This Row],[Req.]]+Tabla22[[#This Row],[Base price2]]*Tabla22[[#This Row],[Req.2]]</f>
        <v>192565</v>
      </c>
      <c r="K158" s="73">
        <f>IFERROR(LOOKUP(Tabla22[[#This Row],[Product]],$R$18:$R$23,$T$18:$T$23)*Tabla22[[#This Row],[QualityBonus]]*Tabla22[[#This Row],[Base price1]]*Tabla22[[#This Row],[Req.]],0)</f>
        <v>16252.486000000001</v>
      </c>
      <c r="L158" s="73">
        <f>IF(Tabla22[[#This Row],[Req.2]]&gt;0,LOOKUP(Tabla22[[#This Row],[Product2]],$R$18:$R$23,$T$18:$T$23)*Tabla22[[#This Row],[Base price2]]*Tabla22[[#This Row],[Req.2]]*Tabla22[[#This Row],[QualityBonus]],0)</f>
        <v>0</v>
      </c>
      <c r="M158" s="74">
        <f>IFERROR((Tabla22[[#This Row],[Base price1]]-LOOKUP(Tabla22[[#This Row],[Product]],$R$18:$R$23,$S$18:$S$23))*Tabla22[[#This Row],[Req.]],0)</f>
        <v>22565</v>
      </c>
      <c r="N158" s="78">
        <f>IF(Tabla22[[#This Row],[Req.2]]&gt;0,(Tabla22[[#This Row],[Base price2]]-LOOKUP(Tabla22[[#This Row],[Product2]],$R$18:$R$23,$S$18:$S$23))*Tabla22[[#This Row],[Req.2]],0)</f>
        <v>0</v>
      </c>
      <c r="O158" s="73">
        <f>SUM(Tabla22[[#This Row],[Bonus1]:[p2]])</f>
        <v>38817.486000000004</v>
      </c>
      <c r="P158" s="73">
        <f>IF(Tabla22[[#This Row],[QualityBonus]]&gt;0,Tabla22[[#This Row],[No wages]]-$C$4,"")</f>
        <v>-9044.7982384422212</v>
      </c>
    </row>
    <row r="159" spans="1:16" x14ac:dyDescent="0.25">
      <c r="A159" s="13">
        <v>143</v>
      </c>
      <c r="B159" s="13" t="s">
        <v>66</v>
      </c>
      <c r="C159" s="66">
        <v>2.3800000000000002E-2</v>
      </c>
      <c r="D159" s="2" t="s">
        <v>56</v>
      </c>
      <c r="E159" s="73">
        <v>211109</v>
      </c>
      <c r="F159" s="5">
        <v>3</v>
      </c>
      <c r="G159" s="2" t="s">
        <v>52</v>
      </c>
      <c r="H159" s="73">
        <v>112907</v>
      </c>
      <c r="I159" s="5">
        <v>4</v>
      </c>
      <c r="J159" s="74">
        <f>Tabla22[[#This Row],[Base price1]]*Tabla22[[#This Row],[Req.]]+Tabla22[[#This Row],[Base price2]]*Tabla22[[#This Row],[Req.2]]</f>
        <v>1084955</v>
      </c>
      <c r="K159" s="73">
        <f>IFERROR(LOOKUP(Tabla22[[#This Row],[Product]],$R$18:$R$23,$T$18:$T$23)*Tabla22[[#This Row],[QualityBonus]]*Tabla22[[#This Row],[Base price1]]*Tabla22[[#This Row],[Req.]],0)</f>
        <v>45219.547800000008</v>
      </c>
      <c r="L159" s="73">
        <f>IF(Tabla22[[#This Row],[Req.2]]&gt;0,LOOKUP(Tabla22[[#This Row],[Product2]],$R$18:$R$23,$T$18:$T$23)*Tabla22[[#This Row],[Base price2]]*Tabla22[[#This Row],[Req.2]]*Tabla22[[#This Row],[QualityBonus]],0)</f>
        <v>64492.478400000007</v>
      </c>
      <c r="M159" s="74">
        <f>IFERROR((Tabla22[[#This Row],[Base price1]]-LOOKUP(Tabla22[[#This Row],[Product]],$R$18:$R$23,$S$18:$S$23))*Tabla22[[#This Row],[Req.]],0)</f>
        <v>-29673</v>
      </c>
      <c r="N159" s="78">
        <f>IF(Tabla22[[#This Row],[Req.2]]&gt;0,(Tabla22[[#This Row],[Base price2]]-LOOKUP(Tabla22[[#This Row],[Product2]],$R$18:$R$23,$S$18:$S$23))*Tabla22[[#This Row],[Req.2]],0)</f>
        <v>-12372</v>
      </c>
      <c r="O159" s="73">
        <f>SUM(Tabla22[[#This Row],[Bonus1]:[p2]])</f>
        <v>67667.026200000022</v>
      </c>
      <c r="P159" s="73">
        <f>IF(Tabla22[[#This Row],[QualityBonus]]&gt;0,Tabla22[[#This Row],[No wages]]-$C$4,"")</f>
        <v>19804.741961557796</v>
      </c>
    </row>
    <row r="160" spans="1:16" x14ac:dyDescent="0.25">
      <c r="A160" s="13">
        <v>144</v>
      </c>
      <c r="B160" s="13" t="s">
        <v>66</v>
      </c>
      <c r="C160" s="66">
        <v>2.46E-2</v>
      </c>
      <c r="D160" s="2" t="s">
        <v>54</v>
      </c>
      <c r="E160" s="73">
        <v>57115</v>
      </c>
      <c r="F160" s="5">
        <v>3</v>
      </c>
      <c r="G160" s="2" t="s">
        <v>27</v>
      </c>
      <c r="H160" s="73">
        <v>820754</v>
      </c>
      <c r="I160" s="5">
        <v>2</v>
      </c>
      <c r="J160" s="74">
        <f>Tabla22[[#This Row],[Base price1]]*Tabla22[[#This Row],[Req.]]+Tabla22[[#This Row],[Base price2]]*Tabla22[[#This Row],[Req.2]]</f>
        <v>1812853</v>
      </c>
      <c r="K160" s="73">
        <f>IFERROR(LOOKUP(Tabla22[[#This Row],[Product]],$R$18:$R$23,$T$18:$T$23)*Tabla22[[#This Row],[QualityBonus]]*Tabla22[[#This Row],[Base price1]]*Tabla22[[#This Row],[Req.]],0)</f>
        <v>21075.434999999998</v>
      </c>
      <c r="L160" s="73">
        <f>IF(Tabla22[[#This Row],[Req.2]]&gt;0,LOOKUP(Tabla22[[#This Row],[Product2]],$R$18:$R$23,$T$18:$T$23)*Tabla22[[#This Row],[Base price2]]*Tabla22[[#This Row],[Req.2]]*Tabla22[[#This Row],[QualityBonus]],0)</f>
        <v>242286.5808</v>
      </c>
      <c r="M160" s="74">
        <f>IFERROR((Tabla22[[#This Row],[Base price1]]-LOOKUP(Tabla22[[#This Row],[Product]],$R$18:$R$23,$S$18:$S$23))*Tabla22[[#This Row],[Req.]],0)</f>
        <v>1845</v>
      </c>
      <c r="N160" s="78">
        <f>IF(Tabla22[[#This Row],[Req.2]]&gt;0,(Tabla22[[#This Row],[Base price2]]-LOOKUP(Tabla22[[#This Row],[Product2]],$R$18:$R$23,$S$18:$S$23))*Tabla22[[#This Row],[Req.2]],0)</f>
        <v>-36492</v>
      </c>
      <c r="O160" s="73">
        <f>SUM(Tabla22[[#This Row],[Bonus1]:[p2]])</f>
        <v>228715.01579999999</v>
      </c>
      <c r="P160" s="73">
        <f>IF(Tabla22[[#This Row],[QualityBonus]]&gt;0,Tabla22[[#This Row],[No wages]]-$C$4,"")</f>
        <v>180852.73156155777</v>
      </c>
    </row>
    <row r="161" spans="1:16" x14ac:dyDescent="0.25">
      <c r="A161" s="13">
        <v>145</v>
      </c>
      <c r="B161" s="13" t="s">
        <v>66</v>
      </c>
      <c r="C161" s="66">
        <v>2.24E-2</v>
      </c>
      <c r="D161" s="2" t="s">
        <v>53</v>
      </c>
      <c r="E161" s="73">
        <v>40018</v>
      </c>
      <c r="F161" s="5">
        <v>4</v>
      </c>
      <c r="G161" s="2" t="s">
        <v>52</v>
      </c>
      <c r="H161" s="73">
        <v>118191</v>
      </c>
      <c r="I161" s="5">
        <v>3</v>
      </c>
      <c r="J161" s="74">
        <f>Tabla22[[#This Row],[Base price1]]*Tabla22[[#This Row],[Req.]]+Tabla22[[#This Row],[Base price2]]*Tabla22[[#This Row],[Req.2]]</f>
        <v>514645</v>
      </c>
      <c r="K161" s="73">
        <f>IFERROR(LOOKUP(Tabla22[[#This Row],[Product]],$R$18:$R$23,$T$18:$T$23)*Tabla22[[#This Row],[QualityBonus]]*Tabla22[[#This Row],[Base price1]]*Tabla22[[#This Row],[Req.]],0)</f>
        <v>14342.4512</v>
      </c>
      <c r="L161" s="73">
        <f>IF(Tabla22[[#This Row],[Req.2]]&gt;0,LOOKUP(Tabla22[[#This Row],[Product2]],$R$18:$R$23,$T$18:$T$23)*Tabla22[[#This Row],[Base price2]]*Tabla22[[#This Row],[Req.2]]*Tabla22[[#This Row],[QualityBonus]],0)</f>
        <v>47654.611199999999</v>
      </c>
      <c r="M161" s="74">
        <f>IFERROR((Tabla22[[#This Row],[Base price1]]-LOOKUP(Tabla22[[#This Row],[Product]],$R$18:$R$23,$S$18:$S$23))*Tabla22[[#This Row],[Req.]],0)</f>
        <v>24072</v>
      </c>
      <c r="N161" s="78">
        <f>IF(Tabla22[[#This Row],[Req.2]]&gt;0,(Tabla22[[#This Row],[Base price2]]-LOOKUP(Tabla22[[#This Row],[Product2]],$R$18:$R$23,$S$18:$S$23))*Tabla22[[#This Row],[Req.2]],0)</f>
        <v>6573</v>
      </c>
      <c r="O161" s="73">
        <f>SUM(Tabla22[[#This Row],[Bonus1]:[p2]])</f>
        <v>92642.062399999995</v>
      </c>
      <c r="P161" s="73">
        <f>IF(Tabla22[[#This Row],[QualityBonus]]&gt;0,Tabla22[[#This Row],[No wages]]-$C$4,"")</f>
        <v>44779.77816155777</v>
      </c>
    </row>
    <row r="162" spans="1:16" x14ac:dyDescent="0.25">
      <c r="A162" s="13">
        <v>146</v>
      </c>
      <c r="B162" s="13" t="s">
        <v>66</v>
      </c>
      <c r="C162" s="66">
        <v>2.4E-2</v>
      </c>
      <c r="D162" s="2" t="s">
        <v>52</v>
      </c>
      <c r="E162" s="73">
        <v>112791</v>
      </c>
      <c r="F162" s="5">
        <v>4</v>
      </c>
      <c r="G162" s="2" t="s">
        <v>54</v>
      </c>
      <c r="H162" s="73">
        <v>59968</v>
      </c>
      <c r="I162" s="5">
        <v>3</v>
      </c>
      <c r="J162" s="74">
        <f>Tabla22[[#This Row],[Base price1]]*Tabla22[[#This Row],[Req.]]+Tabla22[[#This Row],[Base price2]]*Tabla22[[#This Row],[Req.2]]</f>
        <v>631068</v>
      </c>
      <c r="K162" s="73">
        <f>IFERROR(LOOKUP(Tabla22[[#This Row],[Product]],$R$18:$R$23,$T$18:$T$23)*Tabla22[[#This Row],[QualityBonus]]*Tabla22[[#This Row],[Base price1]]*Tabla22[[#This Row],[Req.]],0)</f>
        <v>64967.616000000009</v>
      </c>
      <c r="L162" s="73">
        <f>IF(Tabla22[[#This Row],[Req.2]]&gt;0,LOOKUP(Tabla22[[#This Row],[Product2]],$R$18:$R$23,$T$18:$T$23)*Tabla22[[#This Row],[Base price2]]*Tabla22[[#This Row],[Req.2]]*Tabla22[[#This Row],[QualityBonus]],0)</f>
        <v>21588.48</v>
      </c>
      <c r="M162" s="74">
        <f>IFERROR((Tabla22[[#This Row],[Base price1]]-LOOKUP(Tabla22[[#This Row],[Product]],$R$18:$R$23,$S$18:$S$23))*Tabla22[[#This Row],[Req.]],0)</f>
        <v>-12836</v>
      </c>
      <c r="N162" s="78">
        <f>IF(Tabla22[[#This Row],[Req.2]]&gt;0,(Tabla22[[#This Row],[Base price2]]-LOOKUP(Tabla22[[#This Row],[Product2]],$R$18:$R$23,$S$18:$S$23))*Tabla22[[#This Row],[Req.2]],0)</f>
        <v>10404</v>
      </c>
      <c r="O162" s="73">
        <f>SUM(Tabla22[[#This Row],[Bonus1]:[p2]])</f>
        <v>84124.096000000005</v>
      </c>
      <c r="P162" s="73">
        <f>IF(Tabla22[[#This Row],[QualityBonus]]&gt;0,Tabla22[[#This Row],[No wages]]-$C$4,"")</f>
        <v>36261.811761557779</v>
      </c>
    </row>
    <row r="163" spans="1:16" x14ac:dyDescent="0.25">
      <c r="A163" s="13">
        <v>147</v>
      </c>
      <c r="B163" s="13" t="s">
        <v>66</v>
      </c>
      <c r="C163" s="66">
        <v>2.6200000000000001E-2</v>
      </c>
      <c r="D163" s="2" t="s">
        <v>53</v>
      </c>
      <c r="E163" s="73">
        <v>38210</v>
      </c>
      <c r="F163" s="5">
        <v>4</v>
      </c>
      <c r="G163" s="2" t="s">
        <v>57</v>
      </c>
      <c r="H163" s="73">
        <v>82313</v>
      </c>
      <c r="I163" s="5">
        <v>3</v>
      </c>
      <c r="J163" s="74">
        <f>Tabla22[[#This Row],[Base price1]]*Tabla22[[#This Row],[Req.]]+Tabla22[[#This Row],[Base price2]]*Tabla22[[#This Row],[Req.2]]</f>
        <v>399779</v>
      </c>
      <c r="K163" s="73">
        <f>IFERROR(LOOKUP(Tabla22[[#This Row],[Product]],$R$18:$R$23,$T$18:$T$23)*Tabla22[[#This Row],[QualityBonus]]*Tabla22[[#This Row],[Base price1]]*Tabla22[[#This Row],[Req.]],0)</f>
        <v>16017.632000000001</v>
      </c>
      <c r="L163" s="73">
        <f>IF(Tabla22[[#This Row],[Req.2]]&gt;0,LOOKUP(Tabla22[[#This Row],[Product2]],$R$18:$R$23,$T$18:$T$23)*Tabla22[[#This Row],[Base price2]]*Tabla22[[#This Row],[Req.2]]*Tabla22[[#This Row],[QualityBonus]],0)</f>
        <v>25879.207200000001</v>
      </c>
      <c r="M163" s="74">
        <f>IFERROR((Tabla22[[#This Row],[Base price1]]-LOOKUP(Tabla22[[#This Row],[Product]],$R$18:$R$23,$S$18:$S$23))*Tabla22[[#This Row],[Req.]],0)</f>
        <v>16840</v>
      </c>
      <c r="N163" s="78">
        <f>IF(Tabla22[[#This Row],[Req.2]]&gt;0,(Tabla22[[#This Row],[Base price2]]-LOOKUP(Tabla22[[#This Row],[Product2]],$R$18:$R$23,$S$18:$S$23))*Tabla22[[#This Row],[Req.2]],0)</f>
        <v>15939</v>
      </c>
      <c r="O163" s="73">
        <f>SUM(Tabla22[[#This Row],[Bonus1]:[p2]])</f>
        <v>74675.839200000002</v>
      </c>
      <c r="P163" s="73">
        <f>IF(Tabla22[[#This Row],[QualityBonus]]&gt;0,Tabla22[[#This Row],[No wages]]-$C$4,"")</f>
        <v>26813.554961557777</v>
      </c>
    </row>
    <row r="164" spans="1:16" x14ac:dyDescent="0.25">
      <c r="A164" s="13">
        <v>148</v>
      </c>
      <c r="B164" s="13" t="s">
        <v>66</v>
      </c>
      <c r="C164" s="66">
        <v>1.4800000000000001E-2</v>
      </c>
      <c r="D164" s="2" t="s">
        <v>54</v>
      </c>
      <c r="E164" s="73">
        <v>56753</v>
      </c>
      <c r="F164" s="5">
        <v>1</v>
      </c>
      <c r="G164" s="2" t="s">
        <v>57</v>
      </c>
      <c r="H164" s="73">
        <v>79406</v>
      </c>
      <c r="I164" s="5">
        <v>2</v>
      </c>
      <c r="J164" s="74">
        <f>Tabla22[[#This Row],[Base price1]]*Tabla22[[#This Row],[Req.]]+Tabla22[[#This Row],[Base price2]]*Tabla22[[#This Row],[Req.2]]</f>
        <v>215565</v>
      </c>
      <c r="K164" s="73">
        <f>IFERROR(LOOKUP(Tabla22[[#This Row],[Product]],$R$18:$R$23,$T$18:$T$23)*Tabla22[[#This Row],[QualityBonus]]*Tabla22[[#This Row],[Base price1]]*Tabla22[[#This Row],[Req.]],0)</f>
        <v>4199.7220000000007</v>
      </c>
      <c r="L164" s="73">
        <f>IF(Tabla22[[#This Row],[Req.2]]&gt;0,LOOKUP(Tabla22[[#This Row],[Product2]],$R$18:$R$23,$T$18:$T$23)*Tabla22[[#This Row],[Base price2]]*Tabla22[[#This Row],[Req.2]]*Tabla22[[#This Row],[QualityBonus]],0)</f>
        <v>9401.6704000000009</v>
      </c>
      <c r="M164" s="74">
        <f>IFERROR((Tabla22[[#This Row],[Base price1]]-LOOKUP(Tabla22[[#This Row],[Product]],$R$18:$R$23,$S$18:$S$23))*Tabla22[[#This Row],[Req.]],0)</f>
        <v>253</v>
      </c>
      <c r="N164" s="78">
        <f>IF(Tabla22[[#This Row],[Req.2]]&gt;0,(Tabla22[[#This Row],[Base price2]]-LOOKUP(Tabla22[[#This Row],[Product2]],$R$18:$R$23,$S$18:$S$23))*Tabla22[[#This Row],[Req.2]],0)</f>
        <v>4812</v>
      </c>
      <c r="O164" s="73">
        <f>SUM(Tabla22[[#This Row],[Bonus1]:[p2]])</f>
        <v>18666.392400000001</v>
      </c>
      <c r="P164" s="73">
        <f>IF(Tabla22[[#This Row],[QualityBonus]]&gt;0,Tabla22[[#This Row],[No wages]]-$C$4,"")</f>
        <v>-29195.891838442225</v>
      </c>
    </row>
    <row r="165" spans="1:16" x14ac:dyDescent="0.25">
      <c r="A165" s="13">
        <v>149</v>
      </c>
      <c r="B165" s="13" t="s">
        <v>66</v>
      </c>
      <c r="C165" s="66">
        <v>2.87E-2</v>
      </c>
      <c r="D165" s="2" t="s">
        <v>53</v>
      </c>
      <c r="E165" s="73">
        <v>38878</v>
      </c>
      <c r="F165" s="5">
        <v>5</v>
      </c>
      <c r="G165" s="2" t="s">
        <v>52</v>
      </c>
      <c r="H165" s="73">
        <v>118055</v>
      </c>
      <c r="I165" s="5">
        <v>3</v>
      </c>
      <c r="J165" s="74">
        <f>Tabla22[[#This Row],[Base price1]]*Tabla22[[#This Row],[Req.]]+Tabla22[[#This Row],[Base price2]]*Tabla22[[#This Row],[Req.2]]</f>
        <v>548555</v>
      </c>
      <c r="K165" s="73">
        <f>IFERROR(LOOKUP(Tabla22[[#This Row],[Product]],$R$18:$R$23,$T$18:$T$23)*Tabla22[[#This Row],[QualityBonus]]*Tabla22[[#This Row],[Base price1]]*Tabla22[[#This Row],[Req.]],0)</f>
        <v>22315.972000000002</v>
      </c>
      <c r="L165" s="73">
        <f>IF(Tabla22[[#This Row],[Req.2]]&gt;0,LOOKUP(Tabla22[[#This Row],[Product2]],$R$18:$R$23,$T$18:$T$23)*Tabla22[[#This Row],[Base price2]]*Tabla22[[#This Row],[Req.2]]*Tabla22[[#This Row],[QualityBonus]],0)</f>
        <v>60987.212999999996</v>
      </c>
      <c r="M165" s="74">
        <f>IFERROR((Tabla22[[#This Row],[Base price1]]-LOOKUP(Tabla22[[#This Row],[Product]],$R$18:$R$23,$S$18:$S$23))*Tabla22[[#This Row],[Req.]],0)</f>
        <v>24390</v>
      </c>
      <c r="N165" s="78">
        <f>IF(Tabla22[[#This Row],[Req.2]]&gt;0,(Tabla22[[#This Row],[Base price2]]-LOOKUP(Tabla22[[#This Row],[Product2]],$R$18:$R$23,$S$18:$S$23))*Tabla22[[#This Row],[Req.2]],0)</f>
        <v>6165</v>
      </c>
      <c r="O165" s="73">
        <f>SUM(Tabla22[[#This Row],[Bonus1]:[p2]])</f>
        <v>113858.185</v>
      </c>
      <c r="P165" s="73">
        <f>IF(Tabla22[[#This Row],[QualityBonus]]&gt;0,Tabla22[[#This Row],[No wages]]-$C$4,"")</f>
        <v>65995.900761557772</v>
      </c>
    </row>
    <row r="166" spans="1:16" x14ac:dyDescent="0.25">
      <c r="A166" s="13">
        <v>150</v>
      </c>
      <c r="B166" s="13" t="s">
        <v>66</v>
      </c>
      <c r="C166" s="66">
        <v>2.6599999999999999E-2</v>
      </c>
      <c r="D166" s="2" t="s">
        <v>53</v>
      </c>
      <c r="E166" s="73">
        <v>40165</v>
      </c>
      <c r="F166" s="5">
        <v>2</v>
      </c>
      <c r="G166" s="2"/>
      <c r="H166" s="73"/>
      <c r="I166" s="5"/>
      <c r="J166" s="74">
        <f>Tabla22[[#This Row],[Base price1]]*Tabla22[[#This Row],[Req.]]+Tabla22[[#This Row],[Base price2]]*Tabla22[[#This Row],[Req.2]]</f>
        <v>80330</v>
      </c>
      <c r="K166" s="73">
        <f>IFERROR(LOOKUP(Tabla22[[#This Row],[Product]],$R$18:$R$23,$T$18:$T$23)*Tabla22[[#This Row],[QualityBonus]]*Tabla22[[#This Row],[Base price1]]*Tabla22[[#This Row],[Req.]],0)</f>
        <v>8547.1119999999992</v>
      </c>
      <c r="L166" s="73">
        <f>IF(Tabla22[[#This Row],[Req.2]]&gt;0,LOOKUP(Tabla22[[#This Row],[Product2]],$R$18:$R$23,$T$18:$T$23)*Tabla22[[#This Row],[Base price2]]*Tabla22[[#This Row],[Req.2]]*Tabla22[[#This Row],[QualityBonus]],0)</f>
        <v>0</v>
      </c>
      <c r="M166" s="74">
        <f>IFERROR((Tabla22[[#This Row],[Base price1]]-LOOKUP(Tabla22[[#This Row],[Product]],$R$18:$R$23,$S$18:$S$23))*Tabla22[[#This Row],[Req.]],0)</f>
        <v>12330</v>
      </c>
      <c r="N166" s="78">
        <f>IF(Tabla22[[#This Row],[Req.2]]&gt;0,(Tabla22[[#This Row],[Base price2]]-LOOKUP(Tabla22[[#This Row],[Product2]],$R$18:$R$23,$S$18:$S$23))*Tabla22[[#This Row],[Req.2]],0)</f>
        <v>0</v>
      </c>
      <c r="O166" s="73">
        <f>SUM(Tabla22[[#This Row],[Bonus1]:[p2]])</f>
        <v>20877.112000000001</v>
      </c>
      <c r="P166" s="73">
        <f>IF(Tabla22[[#This Row],[QualityBonus]]&gt;0,Tabla22[[#This Row],[No wages]]-$C$4,"")</f>
        <v>-26985.172238442225</v>
      </c>
    </row>
    <row r="167" spans="1:16" x14ac:dyDescent="0.25">
      <c r="A167" s="13">
        <v>151</v>
      </c>
      <c r="B167" s="13" t="s">
        <v>66</v>
      </c>
      <c r="C167" s="66">
        <v>2.47E-2</v>
      </c>
      <c r="D167" s="2" t="s">
        <v>55</v>
      </c>
      <c r="E167" s="73">
        <v>80261</v>
      </c>
      <c r="F167" s="5">
        <v>3</v>
      </c>
      <c r="G167" s="2" t="s">
        <v>53</v>
      </c>
      <c r="H167" s="73">
        <v>38757</v>
      </c>
      <c r="I167" s="5">
        <v>3</v>
      </c>
      <c r="J167" s="74">
        <f>Tabla22[[#This Row],[Base price1]]*Tabla22[[#This Row],[Req.]]+Tabla22[[#This Row],[Base price2]]*Tabla22[[#This Row],[Req.2]]</f>
        <v>357054</v>
      </c>
      <c r="K167" s="73">
        <f>IFERROR(LOOKUP(Tabla22[[#This Row],[Product]],$R$18:$R$23,$T$18:$T$23)*Tabla22[[#This Row],[QualityBonus]]*Tabla22[[#This Row],[Base price1]]*Tabla22[[#This Row],[Req.]],0)</f>
        <v>23789.360399999998</v>
      </c>
      <c r="L167" s="73">
        <f>IF(Tabla22[[#This Row],[Req.2]]&gt;0,LOOKUP(Tabla22[[#This Row],[Product2]],$R$18:$R$23,$T$18:$T$23)*Tabla22[[#This Row],[Base price2]]*Tabla22[[#This Row],[Req.2]]*Tabla22[[#This Row],[QualityBonus]],0)</f>
        <v>11487.5748</v>
      </c>
      <c r="M167" s="74">
        <f>IFERROR((Tabla22[[#This Row],[Base price1]]-LOOKUP(Tabla22[[#This Row],[Product]],$R$18:$R$23,$S$18:$S$23))*Tabla22[[#This Row],[Req.]],0)</f>
        <v>9783</v>
      </c>
      <c r="N167" s="78">
        <f>IF(Tabla22[[#This Row],[Req.2]]&gt;0,(Tabla22[[#This Row],[Base price2]]-LOOKUP(Tabla22[[#This Row],[Product2]],$R$18:$R$23,$S$18:$S$23))*Tabla22[[#This Row],[Req.2]],0)</f>
        <v>14271</v>
      </c>
      <c r="O167" s="73">
        <f>SUM(Tabla22[[#This Row],[Bonus1]:[p2]])</f>
        <v>59330.9352</v>
      </c>
      <c r="P167" s="73">
        <f>IF(Tabla22[[#This Row],[QualityBonus]]&gt;0,Tabla22[[#This Row],[No wages]]-$C$4,"")</f>
        <v>11468.650961557774</v>
      </c>
    </row>
    <row r="168" spans="1:16" x14ac:dyDescent="0.25">
      <c r="A168" s="13">
        <v>152</v>
      </c>
      <c r="B168" s="13" t="s">
        <v>66</v>
      </c>
      <c r="C168" s="66">
        <v>2.24E-2</v>
      </c>
      <c r="D168" s="2" t="s">
        <v>53</v>
      </c>
      <c r="E168" s="73">
        <v>38282</v>
      </c>
      <c r="F168" s="5">
        <v>2</v>
      </c>
      <c r="G168" s="2" t="s">
        <v>57</v>
      </c>
      <c r="H168" s="73">
        <v>81208</v>
      </c>
      <c r="I168" s="5">
        <v>2</v>
      </c>
      <c r="J168" s="74">
        <f>Tabla22[[#This Row],[Base price1]]*Tabla22[[#This Row],[Req.]]+Tabla22[[#This Row],[Base price2]]*Tabla22[[#This Row],[Req.2]]</f>
        <v>238980</v>
      </c>
      <c r="K168" s="73">
        <f>IFERROR(LOOKUP(Tabla22[[#This Row],[Product]],$R$18:$R$23,$T$18:$T$23)*Tabla22[[#This Row],[QualityBonus]]*Tabla22[[#This Row],[Base price1]]*Tabla22[[#This Row],[Req.]],0)</f>
        <v>6860.1343999999999</v>
      </c>
      <c r="L168" s="73">
        <f>IF(Tabla22[[#This Row],[Req.2]]&gt;0,LOOKUP(Tabla22[[#This Row],[Product2]],$R$18:$R$23,$T$18:$T$23)*Tabla22[[#This Row],[Base price2]]*Tabla22[[#This Row],[Req.2]]*Tabla22[[#This Row],[QualityBonus]],0)</f>
        <v>14552.473599999999</v>
      </c>
      <c r="M168" s="74">
        <f>IFERROR((Tabla22[[#This Row],[Base price1]]-LOOKUP(Tabla22[[#This Row],[Product]],$R$18:$R$23,$S$18:$S$23))*Tabla22[[#This Row],[Req.]],0)</f>
        <v>8564</v>
      </c>
      <c r="N168" s="78">
        <f>IF(Tabla22[[#This Row],[Req.2]]&gt;0,(Tabla22[[#This Row],[Base price2]]-LOOKUP(Tabla22[[#This Row],[Product2]],$R$18:$R$23,$S$18:$S$23))*Tabla22[[#This Row],[Req.2]],0)</f>
        <v>8416</v>
      </c>
      <c r="O168" s="73">
        <f>SUM(Tabla22[[#This Row],[Bonus1]:[p2]])</f>
        <v>38392.608</v>
      </c>
      <c r="P168" s="73">
        <f>IF(Tabla22[[#This Row],[QualityBonus]]&gt;0,Tabla22[[#This Row],[No wages]]-$C$4,"")</f>
        <v>-9469.6762384422254</v>
      </c>
    </row>
    <row r="169" spans="1:16" x14ac:dyDescent="0.25">
      <c r="A169" s="13">
        <v>153</v>
      </c>
      <c r="B169" s="13" t="s">
        <v>66</v>
      </c>
      <c r="C169" s="66">
        <v>2.4799999999999999E-2</v>
      </c>
      <c r="D169" s="2" t="s">
        <v>53</v>
      </c>
      <c r="E169" s="73">
        <v>38568</v>
      </c>
      <c r="F169" s="5">
        <v>5</v>
      </c>
      <c r="G169" s="2" t="s">
        <v>52</v>
      </c>
      <c r="H169" s="73">
        <v>116188</v>
      </c>
      <c r="I169" s="5">
        <v>1</v>
      </c>
      <c r="J169" s="74">
        <f>Tabla22[[#This Row],[Base price1]]*Tabla22[[#This Row],[Req.]]+Tabla22[[#This Row],[Base price2]]*Tabla22[[#This Row],[Req.2]]</f>
        <v>309028</v>
      </c>
      <c r="K169" s="73">
        <f>IFERROR(LOOKUP(Tabla22[[#This Row],[Product]],$R$18:$R$23,$T$18:$T$23)*Tabla22[[#This Row],[QualityBonus]]*Tabla22[[#This Row],[Base price1]]*Tabla22[[#This Row],[Req.]],0)</f>
        <v>19129.727999999999</v>
      </c>
      <c r="L169" s="73">
        <f>IF(Tabla22[[#This Row],[Req.2]]&gt;0,LOOKUP(Tabla22[[#This Row],[Product2]],$R$18:$R$23,$T$18:$T$23)*Tabla22[[#This Row],[Base price2]]*Tabla22[[#This Row],[Req.2]]*Tabla22[[#This Row],[QualityBonus]],0)</f>
        <v>17288.774399999998</v>
      </c>
      <c r="M169" s="74">
        <f>IFERROR((Tabla22[[#This Row],[Base price1]]-LOOKUP(Tabla22[[#This Row],[Product]],$R$18:$R$23,$S$18:$S$23))*Tabla22[[#This Row],[Req.]],0)</f>
        <v>22840</v>
      </c>
      <c r="N169" s="78">
        <f>IF(Tabla22[[#This Row],[Req.2]]&gt;0,(Tabla22[[#This Row],[Base price2]]-LOOKUP(Tabla22[[#This Row],[Product2]],$R$18:$R$23,$S$18:$S$23))*Tabla22[[#This Row],[Req.2]],0)</f>
        <v>188</v>
      </c>
      <c r="O169" s="73">
        <f>SUM(Tabla22[[#This Row],[Bonus1]:[p2]])</f>
        <v>59446.502399999998</v>
      </c>
      <c r="P169" s="73">
        <f>IF(Tabla22[[#This Row],[QualityBonus]]&gt;0,Tabla22[[#This Row],[No wages]]-$C$4,"")</f>
        <v>11584.218161557772</v>
      </c>
    </row>
    <row r="170" spans="1:16" x14ac:dyDescent="0.25">
      <c r="A170" s="13">
        <v>154</v>
      </c>
      <c r="B170" s="13" t="s">
        <v>66</v>
      </c>
      <c r="C170" s="66">
        <v>2.7E-2</v>
      </c>
      <c r="D170" s="2" t="s">
        <v>55</v>
      </c>
      <c r="E170" s="73">
        <v>79349</v>
      </c>
      <c r="F170" s="5">
        <v>4</v>
      </c>
      <c r="G170" s="2" t="s">
        <v>53</v>
      </c>
      <c r="H170" s="73">
        <v>40468</v>
      </c>
      <c r="I170" s="5">
        <v>5</v>
      </c>
      <c r="J170" s="74">
        <f>Tabla22[[#This Row],[Base price1]]*Tabla22[[#This Row],[Req.]]+Tabla22[[#This Row],[Base price2]]*Tabla22[[#This Row],[Req.2]]</f>
        <v>519736</v>
      </c>
      <c r="K170" s="73">
        <f>IFERROR(LOOKUP(Tabla22[[#This Row],[Product]],$R$18:$R$23,$T$18:$T$23)*Tabla22[[#This Row],[QualityBonus]]*Tabla22[[#This Row],[Base price1]]*Tabla22[[#This Row],[Req.]],0)</f>
        <v>34278.767999999996</v>
      </c>
      <c r="L170" s="73">
        <f>IF(Tabla22[[#This Row],[Req.2]]&gt;0,LOOKUP(Tabla22[[#This Row],[Product2]],$R$18:$R$23,$T$18:$T$23)*Tabla22[[#This Row],[Base price2]]*Tabla22[[#This Row],[Req.2]]*Tabla22[[#This Row],[QualityBonus]],0)</f>
        <v>21852.720000000001</v>
      </c>
      <c r="M170" s="74">
        <f>IFERROR((Tabla22[[#This Row],[Base price1]]-LOOKUP(Tabla22[[#This Row],[Product]],$R$18:$R$23,$S$18:$S$23))*Tabla22[[#This Row],[Req.]],0)</f>
        <v>9396</v>
      </c>
      <c r="N170" s="78">
        <f>IF(Tabla22[[#This Row],[Req.2]]&gt;0,(Tabla22[[#This Row],[Base price2]]-LOOKUP(Tabla22[[#This Row],[Product2]],$R$18:$R$23,$S$18:$S$23))*Tabla22[[#This Row],[Req.2]],0)</f>
        <v>32340</v>
      </c>
      <c r="O170" s="73">
        <f>SUM(Tabla22[[#This Row],[Bonus1]:[p2]])</f>
        <v>97867.487999999998</v>
      </c>
      <c r="P170" s="73">
        <f>IF(Tabla22[[#This Row],[QualityBonus]]&gt;0,Tabla22[[#This Row],[No wages]]-$C$4,"")</f>
        <v>50005.203761557772</v>
      </c>
    </row>
    <row r="171" spans="1:16" x14ac:dyDescent="0.25">
      <c r="A171" s="13">
        <v>155</v>
      </c>
      <c r="B171" s="13" t="s">
        <v>66</v>
      </c>
      <c r="C171" s="66">
        <v>2.3599999999999999E-2</v>
      </c>
      <c r="D171" s="2" t="s">
        <v>54</v>
      </c>
      <c r="E171" s="73">
        <v>57427</v>
      </c>
      <c r="F171" s="5">
        <v>2</v>
      </c>
      <c r="G171" s="2" t="s">
        <v>57</v>
      </c>
      <c r="H171" s="73">
        <v>78594</v>
      </c>
      <c r="I171" s="5">
        <v>2</v>
      </c>
      <c r="J171" s="74">
        <f>Tabla22[[#This Row],[Base price1]]*Tabla22[[#This Row],[Req.]]+Tabla22[[#This Row],[Base price2]]*Tabla22[[#This Row],[Req.2]]</f>
        <v>272042</v>
      </c>
      <c r="K171" s="73">
        <f>IFERROR(LOOKUP(Tabla22[[#This Row],[Product]],$R$18:$R$23,$T$18:$T$23)*Tabla22[[#This Row],[QualityBonus]]*Tabla22[[#This Row],[Base price1]]*Tabla22[[#This Row],[Req.]],0)</f>
        <v>13552.771999999999</v>
      </c>
      <c r="L171" s="73">
        <f>IF(Tabla22[[#This Row],[Req.2]]&gt;0,LOOKUP(Tabla22[[#This Row],[Product2]],$R$18:$R$23,$T$18:$T$23)*Tabla22[[#This Row],[Base price2]]*Tabla22[[#This Row],[Req.2]]*Tabla22[[#This Row],[QualityBonus]],0)</f>
        <v>14838.547199999999</v>
      </c>
      <c r="M171" s="74">
        <f>IFERROR((Tabla22[[#This Row],[Base price1]]-LOOKUP(Tabla22[[#This Row],[Product]],$R$18:$R$23,$S$18:$S$23))*Tabla22[[#This Row],[Req.]],0)</f>
        <v>1854</v>
      </c>
      <c r="N171" s="78">
        <f>IF(Tabla22[[#This Row],[Req.2]]&gt;0,(Tabla22[[#This Row],[Base price2]]-LOOKUP(Tabla22[[#This Row],[Product2]],$R$18:$R$23,$S$18:$S$23))*Tabla22[[#This Row],[Req.2]],0)</f>
        <v>3188</v>
      </c>
      <c r="O171" s="73">
        <f>SUM(Tabla22[[#This Row],[Bonus1]:[p2]])</f>
        <v>33433.319199999998</v>
      </c>
      <c r="P171" s="73">
        <f>IF(Tabla22[[#This Row],[QualityBonus]]&gt;0,Tabla22[[#This Row],[No wages]]-$C$4,"")</f>
        <v>-14428.965038442228</v>
      </c>
    </row>
    <row r="172" spans="1:16" x14ac:dyDescent="0.25">
      <c r="A172" s="13">
        <v>156</v>
      </c>
      <c r="B172" s="13" t="s">
        <v>66</v>
      </c>
      <c r="C172" s="66">
        <v>2.3699999999999999E-2</v>
      </c>
      <c r="D172" s="2" t="s">
        <v>55</v>
      </c>
      <c r="E172" s="73">
        <v>78651</v>
      </c>
      <c r="F172" s="5">
        <v>2</v>
      </c>
      <c r="G172" s="2"/>
      <c r="H172" s="73"/>
      <c r="I172" s="5"/>
      <c r="J172" s="74">
        <f>Tabla22[[#This Row],[Base price1]]*Tabla22[[#This Row],[Req.]]+Tabla22[[#This Row],[Base price2]]*Tabla22[[#This Row],[Req.2]]</f>
        <v>157302</v>
      </c>
      <c r="K172" s="73">
        <f>IFERROR(LOOKUP(Tabla22[[#This Row],[Product]],$R$18:$R$23,$T$18:$T$23)*Tabla22[[#This Row],[QualityBonus]]*Tabla22[[#This Row],[Base price1]]*Tabla22[[#This Row],[Req.]],0)</f>
        <v>14912.229599999999</v>
      </c>
      <c r="L172" s="73">
        <f>IF(Tabla22[[#This Row],[Req.2]]&gt;0,LOOKUP(Tabla22[[#This Row],[Product2]],$R$18:$R$23,$T$18:$T$23)*Tabla22[[#This Row],[Base price2]]*Tabla22[[#This Row],[Req.2]]*Tabla22[[#This Row],[QualityBonus]],0)</f>
        <v>0</v>
      </c>
      <c r="M172" s="74">
        <f>IFERROR((Tabla22[[#This Row],[Base price1]]-LOOKUP(Tabla22[[#This Row],[Product]],$R$18:$R$23,$S$18:$S$23))*Tabla22[[#This Row],[Req.]],0)</f>
        <v>3302</v>
      </c>
      <c r="N172" s="78">
        <f>IF(Tabla22[[#This Row],[Req.2]]&gt;0,(Tabla22[[#This Row],[Base price2]]-LOOKUP(Tabla22[[#This Row],[Product2]],$R$18:$R$23,$S$18:$S$23))*Tabla22[[#This Row],[Req.2]],0)</f>
        <v>0</v>
      </c>
      <c r="O172" s="73">
        <f>SUM(Tabla22[[#This Row],[Bonus1]:[p2]])</f>
        <v>18214.229599999999</v>
      </c>
      <c r="P172" s="73">
        <f>IF(Tabla22[[#This Row],[QualityBonus]]&gt;0,Tabla22[[#This Row],[No wages]]-$C$4,"")</f>
        <v>-29648.054638442227</v>
      </c>
    </row>
    <row r="173" spans="1:16" x14ac:dyDescent="0.25">
      <c r="A173" s="13">
        <v>157</v>
      </c>
      <c r="B173" s="13" t="s">
        <v>66</v>
      </c>
      <c r="C173" s="66">
        <v>1.1900000000000001E-2</v>
      </c>
      <c r="D173" s="2" t="s">
        <v>55</v>
      </c>
      <c r="E173" s="73">
        <v>79927</v>
      </c>
      <c r="F173" s="5">
        <v>4</v>
      </c>
      <c r="G173" s="2" t="s">
        <v>53</v>
      </c>
      <c r="H173" s="73">
        <v>38587</v>
      </c>
      <c r="I173" s="5">
        <v>4</v>
      </c>
      <c r="J173" s="74">
        <f>Tabla22[[#This Row],[Base price1]]*Tabla22[[#This Row],[Req.]]+Tabla22[[#This Row],[Base price2]]*Tabla22[[#This Row],[Req.2]]</f>
        <v>474056</v>
      </c>
      <c r="K173" s="73">
        <f>IFERROR(LOOKUP(Tabla22[[#This Row],[Product]],$R$18:$R$23,$T$18:$T$23)*Tabla22[[#This Row],[QualityBonus]]*Tabla22[[#This Row],[Base price1]]*Tabla22[[#This Row],[Req.]],0)</f>
        <v>15218.100800000002</v>
      </c>
      <c r="L173" s="73">
        <f>IF(Tabla22[[#This Row],[Req.2]]&gt;0,LOOKUP(Tabla22[[#This Row],[Product2]],$R$18:$R$23,$T$18:$T$23)*Tabla22[[#This Row],[Base price2]]*Tabla22[[#This Row],[Req.2]]*Tabla22[[#This Row],[QualityBonus]],0)</f>
        <v>7346.9648000000007</v>
      </c>
      <c r="M173" s="74">
        <f>IFERROR((Tabla22[[#This Row],[Base price1]]-LOOKUP(Tabla22[[#This Row],[Product]],$R$18:$R$23,$S$18:$S$23))*Tabla22[[#This Row],[Req.]],0)</f>
        <v>11708</v>
      </c>
      <c r="N173" s="78">
        <f>IF(Tabla22[[#This Row],[Req.2]]&gt;0,(Tabla22[[#This Row],[Base price2]]-LOOKUP(Tabla22[[#This Row],[Product2]],$R$18:$R$23,$S$18:$S$23))*Tabla22[[#This Row],[Req.2]],0)</f>
        <v>18348</v>
      </c>
      <c r="O173" s="73">
        <f>SUM(Tabla22[[#This Row],[Bonus1]:[p2]])</f>
        <v>52621.065600000002</v>
      </c>
      <c r="P173" s="73">
        <f>IF(Tabla22[[#This Row],[QualityBonus]]&gt;0,Tabla22[[#This Row],[No wages]]-$C$4,"")</f>
        <v>4758.7813615577761</v>
      </c>
    </row>
    <row r="174" spans="1:16" x14ac:dyDescent="0.25">
      <c r="A174" s="13">
        <v>158</v>
      </c>
      <c r="B174" s="13" t="s">
        <v>66</v>
      </c>
      <c r="C174" s="66">
        <v>1.6899999999999998E-2</v>
      </c>
      <c r="D174" s="2" t="s">
        <v>56</v>
      </c>
      <c r="E174" s="73">
        <v>216583</v>
      </c>
      <c r="F174" s="5">
        <v>3</v>
      </c>
      <c r="G174" s="2" t="s">
        <v>57</v>
      </c>
      <c r="H174" s="73">
        <v>79321</v>
      </c>
      <c r="I174" s="5">
        <v>3</v>
      </c>
      <c r="J174" s="74">
        <f>Tabla22[[#This Row],[Base price1]]*Tabla22[[#This Row],[Req.]]+Tabla22[[#This Row],[Base price2]]*Tabla22[[#This Row],[Req.2]]</f>
        <v>887712</v>
      </c>
      <c r="K174" s="73">
        <f>IFERROR(LOOKUP(Tabla22[[#This Row],[Product]],$R$18:$R$23,$T$18:$T$23)*Tabla22[[#This Row],[QualityBonus]]*Tabla22[[#This Row],[Base price1]]*Tabla22[[#This Row],[Req.]],0)</f>
        <v>32942.274299999997</v>
      </c>
      <c r="L174" s="73">
        <f>IF(Tabla22[[#This Row],[Req.2]]&gt;0,LOOKUP(Tabla22[[#This Row],[Product2]],$R$18:$R$23,$T$18:$T$23)*Tabla22[[#This Row],[Base price2]]*Tabla22[[#This Row],[Req.2]]*Tabla22[[#This Row],[QualityBonus]],0)</f>
        <v>16086.298799999999</v>
      </c>
      <c r="M174" s="74">
        <f>IFERROR((Tabla22[[#This Row],[Base price1]]-LOOKUP(Tabla22[[#This Row],[Product]],$R$18:$R$23,$S$18:$S$23))*Tabla22[[#This Row],[Req.]],0)</f>
        <v>-13251</v>
      </c>
      <c r="N174" s="78">
        <f>IF(Tabla22[[#This Row],[Req.2]]&gt;0,(Tabla22[[#This Row],[Base price2]]-LOOKUP(Tabla22[[#This Row],[Product2]],$R$18:$R$23,$S$18:$S$23))*Tabla22[[#This Row],[Req.2]],0)</f>
        <v>6963</v>
      </c>
      <c r="O174" s="73">
        <f>SUM(Tabla22[[#This Row],[Bonus1]:[p2]])</f>
        <v>42740.573099999994</v>
      </c>
      <c r="P174" s="73">
        <f>IF(Tabla22[[#This Row],[QualityBonus]]&gt;0,Tabla22[[#This Row],[No wages]]-$C$4,"")</f>
        <v>-5121.7111384422315</v>
      </c>
    </row>
    <row r="175" spans="1:16" x14ac:dyDescent="0.25">
      <c r="A175" s="24">
        <v>159</v>
      </c>
      <c r="B175" s="24" t="s">
        <v>66</v>
      </c>
      <c r="C175" s="44">
        <v>2.63E-2</v>
      </c>
      <c r="D175" s="37" t="s">
        <v>56</v>
      </c>
      <c r="E175" s="72">
        <v>219216</v>
      </c>
      <c r="F175" s="39">
        <v>3</v>
      </c>
      <c r="G175" s="37" t="s">
        <v>52</v>
      </c>
      <c r="H175" s="72">
        <v>115169</v>
      </c>
      <c r="I175" s="39">
        <v>2</v>
      </c>
      <c r="J175" s="75">
        <f>Tabla22[[#This Row],[Base price1]]*Tabla22[[#This Row],[Req.]]+Tabla22[[#This Row],[Base price2]]*Tabla22[[#This Row],[Req.2]]</f>
        <v>887986</v>
      </c>
      <c r="K175" s="72">
        <f>IFERROR(LOOKUP(Tabla22[[#This Row],[Product]],$R$18:$R$23,$T$18:$T$23)*Tabla22[[#This Row],[QualityBonus]]*Tabla22[[#This Row],[Base price1]]*Tabla22[[#This Row],[Req.]],0)</f>
        <v>51888.427200000006</v>
      </c>
      <c r="L175" s="72">
        <f>IF(Tabla22[[#This Row],[Req.2]]&gt;0,LOOKUP(Tabla22[[#This Row],[Product2]],$R$18:$R$23,$T$18:$T$23)*Tabla22[[#This Row],[Base price2]]*Tabla22[[#This Row],[Req.2]]*Tabla22[[#This Row],[QualityBonus]],0)</f>
        <v>36347.3364</v>
      </c>
      <c r="M175" s="75">
        <f>IFERROR((Tabla22[[#This Row],[Base price1]]-LOOKUP(Tabla22[[#This Row],[Product]],$R$18:$R$23,$S$18:$S$23))*Tabla22[[#This Row],[Req.]],0)</f>
        <v>-5352</v>
      </c>
      <c r="N175" s="79">
        <f>IF(Tabla22[[#This Row],[Req.2]]&gt;0,(Tabla22[[#This Row],[Base price2]]-LOOKUP(Tabla22[[#This Row],[Product2]],$R$18:$R$23,$S$18:$S$23))*Tabla22[[#This Row],[Req.2]],0)</f>
        <v>-1662</v>
      </c>
      <c r="O175" s="72">
        <f>SUM(Tabla22[[#This Row],[Bonus1]:[p2]])</f>
        <v>81221.763600000006</v>
      </c>
      <c r="P175" s="72">
        <f>IF(Tabla22[[#This Row],[QualityBonus]]&gt;0,Tabla22[[#This Row],[No wages]]-$C$4,"")</f>
        <v>33359.47936155778</v>
      </c>
    </row>
    <row r="176" spans="1:16" x14ac:dyDescent="0.25">
      <c r="A176" s="13">
        <v>160</v>
      </c>
      <c r="B176" s="13" t="s">
        <v>66</v>
      </c>
      <c r="C176" s="66">
        <v>1.3899999999999999E-2</v>
      </c>
      <c r="D176" s="2" t="s">
        <v>55</v>
      </c>
      <c r="E176" s="73">
        <v>81838</v>
      </c>
      <c r="F176" s="5">
        <v>2</v>
      </c>
      <c r="G176" s="2" t="s">
        <v>53</v>
      </c>
      <c r="H176" s="73">
        <v>40761</v>
      </c>
      <c r="I176" s="5">
        <v>2</v>
      </c>
      <c r="J176" s="74">
        <f>Tabla22[[#This Row],[Base price1]]*Tabla22[[#This Row],[Req.]]+Tabla22[[#This Row],[Base price2]]*Tabla22[[#This Row],[Req.2]]</f>
        <v>245198</v>
      </c>
      <c r="K176" s="73">
        <f>IFERROR(LOOKUP(Tabla22[[#This Row],[Product]],$R$18:$R$23,$T$18:$T$23)*Tabla22[[#This Row],[QualityBonus]]*Tabla22[[#This Row],[Base price1]]*Tabla22[[#This Row],[Req.]],0)</f>
        <v>9100.3855999999996</v>
      </c>
      <c r="L176" s="73">
        <f>IF(Tabla22[[#This Row],[Req.2]]&gt;0,LOOKUP(Tabla22[[#This Row],[Product2]],$R$18:$R$23,$T$18:$T$23)*Tabla22[[#This Row],[Base price2]]*Tabla22[[#This Row],[Req.2]]*Tabla22[[#This Row],[QualityBonus]],0)</f>
        <v>4532.6232</v>
      </c>
      <c r="M176" s="74">
        <f>IFERROR((Tabla22[[#This Row],[Base price1]]-LOOKUP(Tabla22[[#This Row],[Product]],$R$18:$R$23,$S$18:$S$23))*Tabla22[[#This Row],[Req.]],0)</f>
        <v>9676</v>
      </c>
      <c r="N176" s="78">
        <f>IF(Tabla22[[#This Row],[Req.2]]&gt;0,(Tabla22[[#This Row],[Base price2]]-LOOKUP(Tabla22[[#This Row],[Product2]],$R$18:$R$23,$S$18:$S$23))*Tabla22[[#This Row],[Req.2]],0)</f>
        <v>13522</v>
      </c>
      <c r="O176" s="73">
        <f>SUM(Tabla22[[#This Row],[Bonus1]:[p2]])</f>
        <v>36831.008799999996</v>
      </c>
      <c r="P176" s="73">
        <f>IF(Tabla22[[#This Row],[QualityBonus]]&gt;0,Tabla22[[#This Row],[No wages]]-$C$4,"")</f>
        <v>-11031.27543844223</v>
      </c>
    </row>
    <row r="177" spans="1:16" x14ac:dyDescent="0.25">
      <c r="A177" s="13">
        <v>161</v>
      </c>
      <c r="B177" s="13" t="s">
        <v>66</v>
      </c>
      <c r="C177" s="66">
        <v>1.0800000000000001E-2</v>
      </c>
      <c r="D177" s="2" t="s">
        <v>56</v>
      </c>
      <c r="E177" s="73">
        <v>217973</v>
      </c>
      <c r="F177" s="5">
        <v>3</v>
      </c>
      <c r="G177" s="2" t="s">
        <v>53</v>
      </c>
      <c r="H177" s="73">
        <v>39648</v>
      </c>
      <c r="I177" s="5">
        <v>2</v>
      </c>
      <c r="J177" s="74">
        <f>Tabla22[[#This Row],[Base price1]]*Tabla22[[#This Row],[Req.]]+Tabla22[[#This Row],[Base price2]]*Tabla22[[#This Row],[Req.2]]</f>
        <v>733215</v>
      </c>
      <c r="K177" s="73">
        <f>IFERROR(LOOKUP(Tabla22[[#This Row],[Product]],$R$18:$R$23,$T$18:$T$23)*Tabla22[[#This Row],[QualityBonus]]*Tabla22[[#This Row],[Base price1]]*Tabla22[[#This Row],[Req.]],0)</f>
        <v>21186.975599999998</v>
      </c>
      <c r="L177" s="73">
        <f>IF(Tabla22[[#This Row],[Req.2]]&gt;0,LOOKUP(Tabla22[[#This Row],[Product2]],$R$18:$R$23,$T$18:$T$23)*Tabla22[[#This Row],[Base price2]]*Tabla22[[#This Row],[Req.2]]*Tabla22[[#This Row],[QualityBonus]],0)</f>
        <v>3425.5872000000004</v>
      </c>
      <c r="M177" s="74">
        <f>IFERROR((Tabla22[[#This Row],[Base price1]]-LOOKUP(Tabla22[[#This Row],[Product]],$R$18:$R$23,$S$18:$S$23))*Tabla22[[#This Row],[Req.]],0)</f>
        <v>-9081</v>
      </c>
      <c r="N177" s="78">
        <f>IF(Tabla22[[#This Row],[Req.2]]&gt;0,(Tabla22[[#This Row],[Base price2]]-LOOKUP(Tabla22[[#This Row],[Product2]],$R$18:$R$23,$S$18:$S$23))*Tabla22[[#This Row],[Req.2]],0)</f>
        <v>11296</v>
      </c>
      <c r="O177" s="73">
        <f>SUM(Tabla22[[#This Row],[Bonus1]:[p2]])</f>
        <v>26827.5628</v>
      </c>
      <c r="P177" s="73">
        <f>IF(Tabla22[[#This Row],[QualityBonus]]&gt;0,Tabla22[[#This Row],[No wages]]-$C$4,"")</f>
        <v>-21034.721438442226</v>
      </c>
    </row>
    <row r="178" spans="1:16" x14ac:dyDescent="0.25">
      <c r="A178" s="13">
        <v>162</v>
      </c>
      <c r="B178" s="13" t="s">
        <v>66</v>
      </c>
      <c r="C178" s="66">
        <v>2.0199999999999999E-2</v>
      </c>
      <c r="D178" s="2" t="s">
        <v>56</v>
      </c>
      <c r="E178" s="73">
        <v>214810</v>
      </c>
      <c r="F178" s="5">
        <v>3</v>
      </c>
      <c r="G178" s="2" t="s">
        <v>53</v>
      </c>
      <c r="H178" s="73">
        <v>39869</v>
      </c>
      <c r="I178" s="5">
        <v>5</v>
      </c>
      <c r="J178" s="74">
        <f>Tabla22[[#This Row],[Base price1]]*Tabla22[[#This Row],[Req.]]+Tabla22[[#This Row],[Base price2]]*Tabla22[[#This Row],[Req.2]]</f>
        <v>843775</v>
      </c>
      <c r="K178" s="73">
        <f>IFERROR(LOOKUP(Tabla22[[#This Row],[Product]],$R$18:$R$23,$T$18:$T$23)*Tabla22[[#This Row],[QualityBonus]]*Tabla22[[#This Row],[Base price1]]*Tabla22[[#This Row],[Req.]],0)</f>
        <v>39052.457999999999</v>
      </c>
      <c r="L178" s="73">
        <f>IF(Tabla22[[#This Row],[Req.2]]&gt;0,LOOKUP(Tabla22[[#This Row],[Product2]],$R$18:$R$23,$T$18:$T$23)*Tabla22[[#This Row],[Base price2]]*Tabla22[[#This Row],[Req.2]]*Tabla22[[#This Row],[QualityBonus]],0)</f>
        <v>16107.075999999999</v>
      </c>
      <c r="M178" s="74">
        <f>IFERROR((Tabla22[[#This Row],[Base price1]]-LOOKUP(Tabla22[[#This Row],[Product]],$R$18:$R$23,$S$18:$S$23))*Tabla22[[#This Row],[Req.]],0)</f>
        <v>-18570</v>
      </c>
      <c r="N178" s="78">
        <f>IF(Tabla22[[#This Row],[Req.2]]&gt;0,(Tabla22[[#This Row],[Base price2]]-LOOKUP(Tabla22[[#This Row],[Product2]],$R$18:$R$23,$S$18:$S$23))*Tabla22[[#This Row],[Req.2]],0)</f>
        <v>29345</v>
      </c>
      <c r="O178" s="73">
        <f>SUM(Tabla22[[#This Row],[Bonus1]:[p2]])</f>
        <v>65934.534</v>
      </c>
      <c r="P178" s="73">
        <f>IF(Tabla22[[#This Row],[QualityBonus]]&gt;0,Tabla22[[#This Row],[No wages]]-$C$4,"")</f>
        <v>18072.249761557774</v>
      </c>
    </row>
    <row r="179" spans="1:16" x14ac:dyDescent="0.25">
      <c r="A179" s="13">
        <v>163</v>
      </c>
      <c r="B179" s="13" t="s">
        <v>66</v>
      </c>
      <c r="C179" s="66">
        <v>2.2100000000000002E-2</v>
      </c>
      <c r="D179" s="2" t="s">
        <v>52</v>
      </c>
      <c r="E179" s="73">
        <v>114121</v>
      </c>
      <c r="F179" s="5">
        <v>1</v>
      </c>
      <c r="G179" s="2" t="s">
        <v>54</v>
      </c>
      <c r="H179" s="73">
        <v>57307</v>
      </c>
      <c r="I179" s="5">
        <v>4</v>
      </c>
      <c r="J179" s="74">
        <f>Tabla22[[#This Row],[Base price1]]*Tabla22[[#This Row],[Req.]]+Tabla22[[#This Row],[Base price2]]*Tabla22[[#This Row],[Req.2]]</f>
        <v>343349</v>
      </c>
      <c r="K179" s="73">
        <f>IFERROR(LOOKUP(Tabla22[[#This Row],[Product]],$R$18:$R$23,$T$18:$T$23)*Tabla22[[#This Row],[QualityBonus]]*Tabla22[[#This Row],[Base price1]]*Tabla22[[#This Row],[Req.]],0)</f>
        <v>15132.444599999999</v>
      </c>
      <c r="L179" s="73">
        <f>IF(Tabla22[[#This Row],[Req.2]]&gt;0,LOOKUP(Tabla22[[#This Row],[Product2]],$R$18:$R$23,$T$18:$T$23)*Tabla22[[#This Row],[Base price2]]*Tabla22[[#This Row],[Req.2]]*Tabla22[[#This Row],[QualityBonus]],0)</f>
        <v>25329.694000000003</v>
      </c>
      <c r="M179" s="74">
        <f>IFERROR((Tabla22[[#This Row],[Base price1]]-LOOKUP(Tabla22[[#This Row],[Product]],$R$18:$R$23,$S$18:$S$23))*Tabla22[[#This Row],[Req.]],0)</f>
        <v>-1879</v>
      </c>
      <c r="N179" s="78">
        <f>IF(Tabla22[[#This Row],[Req.2]]&gt;0,(Tabla22[[#This Row],[Base price2]]-LOOKUP(Tabla22[[#This Row],[Product2]],$R$18:$R$23,$S$18:$S$23))*Tabla22[[#This Row],[Req.2]],0)</f>
        <v>3228</v>
      </c>
      <c r="O179" s="73">
        <f>SUM(Tabla22[[#This Row],[Bonus1]:[p2]])</f>
        <v>41811.138600000006</v>
      </c>
      <c r="P179" s="73">
        <f>IF(Tabla22[[#This Row],[QualityBonus]]&gt;0,Tabla22[[#This Row],[No wages]]-$C$4,"")</f>
        <v>-6051.1456384422199</v>
      </c>
    </row>
    <row r="180" spans="1:16" x14ac:dyDescent="0.25">
      <c r="A180" s="13">
        <v>164</v>
      </c>
      <c r="B180" s="13" t="s">
        <v>66</v>
      </c>
      <c r="C180" s="66">
        <v>1.7100000000000001E-2</v>
      </c>
      <c r="D180" s="2" t="s">
        <v>55</v>
      </c>
      <c r="E180" s="73">
        <v>81754</v>
      </c>
      <c r="F180" s="5">
        <v>4</v>
      </c>
      <c r="G180" s="2"/>
      <c r="H180" s="73"/>
      <c r="I180" s="5"/>
      <c r="J180" s="74">
        <f>Tabla22[[#This Row],[Base price1]]*Tabla22[[#This Row],[Req.]]+Tabla22[[#This Row],[Base price2]]*Tabla22[[#This Row],[Req.2]]</f>
        <v>327016</v>
      </c>
      <c r="K180" s="73">
        <f>IFERROR(LOOKUP(Tabla22[[#This Row],[Product]],$R$18:$R$23,$T$18:$T$23)*Tabla22[[#This Row],[QualityBonus]]*Tabla22[[#This Row],[Base price1]]*Tabla22[[#This Row],[Req.]],0)</f>
        <v>22367.894400000001</v>
      </c>
      <c r="L180" s="73">
        <f>IF(Tabla22[[#This Row],[Req.2]]&gt;0,LOOKUP(Tabla22[[#This Row],[Product2]],$R$18:$R$23,$T$18:$T$23)*Tabla22[[#This Row],[Base price2]]*Tabla22[[#This Row],[Req.2]]*Tabla22[[#This Row],[QualityBonus]],0)</f>
        <v>0</v>
      </c>
      <c r="M180" s="74">
        <f>IFERROR((Tabla22[[#This Row],[Base price1]]-LOOKUP(Tabla22[[#This Row],[Product]],$R$18:$R$23,$S$18:$S$23))*Tabla22[[#This Row],[Req.]],0)</f>
        <v>19016</v>
      </c>
      <c r="N180" s="78">
        <f>IF(Tabla22[[#This Row],[Req.2]]&gt;0,(Tabla22[[#This Row],[Base price2]]-LOOKUP(Tabla22[[#This Row],[Product2]],$R$18:$R$23,$S$18:$S$23))*Tabla22[[#This Row],[Req.2]],0)</f>
        <v>0</v>
      </c>
      <c r="O180" s="73">
        <f>SUM(Tabla22[[#This Row],[Bonus1]:[p2]])</f>
        <v>41383.894400000005</v>
      </c>
      <c r="P180" s="73">
        <f>IF(Tabla22[[#This Row],[QualityBonus]]&gt;0,Tabla22[[#This Row],[No wages]]-$C$4,"")</f>
        <v>-6478.3898384422209</v>
      </c>
    </row>
    <row r="181" spans="1:16" x14ac:dyDescent="0.25">
      <c r="A181" s="13">
        <v>165</v>
      </c>
      <c r="B181" s="13" t="s">
        <v>66</v>
      </c>
      <c r="C181" s="66">
        <v>1.3899999999999999E-2</v>
      </c>
      <c r="D181" s="2" t="s">
        <v>55</v>
      </c>
      <c r="E181" s="73">
        <v>81400</v>
      </c>
      <c r="F181" s="5">
        <v>3</v>
      </c>
      <c r="G181" s="2" t="s">
        <v>53</v>
      </c>
      <c r="H181" s="73">
        <v>40491</v>
      </c>
      <c r="I181" s="5">
        <v>5</v>
      </c>
      <c r="J181" s="74">
        <f>Tabla22[[#This Row],[Base price1]]*Tabla22[[#This Row],[Req.]]+Tabla22[[#This Row],[Base price2]]*Tabla22[[#This Row],[Req.2]]</f>
        <v>446655</v>
      </c>
      <c r="K181" s="73">
        <f>IFERROR(LOOKUP(Tabla22[[#This Row],[Product]],$R$18:$R$23,$T$18:$T$23)*Tabla22[[#This Row],[QualityBonus]]*Tabla22[[#This Row],[Base price1]]*Tabla22[[#This Row],[Req.]],0)</f>
        <v>13577.52</v>
      </c>
      <c r="L181" s="73">
        <f>IF(Tabla22[[#This Row],[Req.2]]&gt;0,LOOKUP(Tabla22[[#This Row],[Product2]],$R$18:$R$23,$T$18:$T$23)*Tabla22[[#This Row],[Base price2]]*Tabla22[[#This Row],[Req.2]]*Tabla22[[#This Row],[QualityBonus]],0)</f>
        <v>11256.498</v>
      </c>
      <c r="M181" s="74">
        <f>IFERROR((Tabla22[[#This Row],[Base price1]]-LOOKUP(Tabla22[[#This Row],[Product]],$R$18:$R$23,$S$18:$S$23))*Tabla22[[#This Row],[Req.]],0)</f>
        <v>13200</v>
      </c>
      <c r="N181" s="78">
        <f>IF(Tabla22[[#This Row],[Req.2]]&gt;0,(Tabla22[[#This Row],[Base price2]]-LOOKUP(Tabla22[[#This Row],[Product2]],$R$18:$R$23,$S$18:$S$23))*Tabla22[[#This Row],[Req.2]],0)</f>
        <v>32455</v>
      </c>
      <c r="O181" s="73">
        <f>SUM(Tabla22[[#This Row],[Bonus1]:[p2]])</f>
        <v>70489.017999999996</v>
      </c>
      <c r="P181" s="73">
        <f>IF(Tabla22[[#This Row],[QualityBonus]]&gt;0,Tabla22[[#This Row],[No wages]]-$C$4,"")</f>
        <v>22626.733761557771</v>
      </c>
    </row>
    <row r="182" spans="1:16" x14ac:dyDescent="0.25">
      <c r="A182" s="24">
        <v>166</v>
      </c>
      <c r="B182" s="24" t="s">
        <v>66</v>
      </c>
      <c r="C182" s="44">
        <v>2.4E-2</v>
      </c>
      <c r="D182" s="37" t="s">
        <v>55</v>
      </c>
      <c r="E182" s="72">
        <v>82767</v>
      </c>
      <c r="F182" s="39">
        <v>4</v>
      </c>
      <c r="G182" s="37"/>
      <c r="H182" s="72"/>
      <c r="I182" s="39"/>
      <c r="J182" s="75">
        <f>Tabla22[[#This Row],[Base price1]]*Tabla22[[#This Row],[Req.]]+Tabla22[[#This Row],[Base price2]]*Tabla22[[#This Row],[Req.2]]</f>
        <v>331068</v>
      </c>
      <c r="K182" s="72">
        <f>IFERROR(LOOKUP(Tabla22[[#This Row],[Product]],$R$18:$R$23,$T$18:$T$23)*Tabla22[[#This Row],[QualityBonus]]*Tabla22[[#This Row],[Base price1]]*Tabla22[[#This Row],[Req.]],0)</f>
        <v>31782.528000000002</v>
      </c>
      <c r="L182" s="72">
        <f>IF(Tabla22[[#This Row],[Req.2]]&gt;0,LOOKUP(Tabla22[[#This Row],[Product2]],$R$18:$R$23,$T$18:$T$23)*Tabla22[[#This Row],[Base price2]]*Tabla22[[#This Row],[Req.2]]*Tabla22[[#This Row],[QualityBonus]],0)</f>
        <v>0</v>
      </c>
      <c r="M182" s="75">
        <f>IFERROR((Tabla22[[#This Row],[Base price1]]-LOOKUP(Tabla22[[#This Row],[Product]],$R$18:$R$23,$S$18:$S$23))*Tabla22[[#This Row],[Req.]],0)</f>
        <v>23068</v>
      </c>
      <c r="N182" s="79">
        <f>IF(Tabla22[[#This Row],[Req.2]]&gt;0,(Tabla22[[#This Row],[Base price2]]-LOOKUP(Tabla22[[#This Row],[Product2]],$R$18:$R$23,$S$18:$S$23))*Tabla22[[#This Row],[Req.2]],0)</f>
        <v>0</v>
      </c>
      <c r="O182" s="72">
        <f>SUM(Tabla22[[#This Row],[Bonus1]:[p2]])</f>
        <v>54850.528000000006</v>
      </c>
      <c r="P182" s="72">
        <f>IF(Tabla22[[#This Row],[QualityBonus]]&gt;0,Tabla22[[#This Row],[No wages]]-$C$4,"")</f>
        <v>6988.2437615577801</v>
      </c>
    </row>
    <row r="183" spans="1:16" x14ac:dyDescent="0.25">
      <c r="A183" s="13">
        <v>167</v>
      </c>
      <c r="B183" s="13" t="s">
        <v>66</v>
      </c>
      <c r="C183" s="66">
        <v>1.8599999999999998E-2</v>
      </c>
      <c r="D183" s="2" t="s">
        <v>56</v>
      </c>
      <c r="E183" s="73">
        <v>219768</v>
      </c>
      <c r="F183" s="5">
        <v>1</v>
      </c>
      <c r="G183" s="2" t="s">
        <v>57</v>
      </c>
      <c r="H183" s="73">
        <v>82673</v>
      </c>
      <c r="I183" s="5">
        <v>3</v>
      </c>
      <c r="J183" s="74">
        <f>Tabla22[[#This Row],[Base price1]]*Tabla22[[#This Row],[Req.]]+Tabla22[[#This Row],[Base price2]]*Tabla22[[#This Row],[Req.2]]</f>
        <v>467787</v>
      </c>
      <c r="K183" s="73">
        <f>IFERROR(LOOKUP(Tabla22[[#This Row],[Product]],$R$18:$R$23,$T$18:$T$23)*Tabla22[[#This Row],[QualityBonus]]*Tabla22[[#This Row],[Base price1]]*Tabla22[[#This Row],[Req.]],0)</f>
        <v>12263.054399999999</v>
      </c>
      <c r="L183" s="73">
        <f>IF(Tabla22[[#This Row],[Req.2]]&gt;0,LOOKUP(Tabla22[[#This Row],[Product2]],$R$18:$R$23,$T$18:$T$23)*Tabla22[[#This Row],[Base price2]]*Tabla22[[#This Row],[Req.2]]*Tabla22[[#This Row],[QualityBonus]],0)</f>
        <v>18452.613599999997</v>
      </c>
      <c r="M183" s="74">
        <f>IFERROR((Tabla22[[#This Row],[Base price1]]-LOOKUP(Tabla22[[#This Row],[Product]],$R$18:$R$23,$S$18:$S$23))*Tabla22[[#This Row],[Req.]],0)</f>
        <v>-1232</v>
      </c>
      <c r="N183" s="78">
        <f>IF(Tabla22[[#This Row],[Req.2]]&gt;0,(Tabla22[[#This Row],[Base price2]]-LOOKUP(Tabla22[[#This Row],[Product2]],$R$18:$R$23,$S$18:$S$23))*Tabla22[[#This Row],[Req.2]],0)</f>
        <v>17019</v>
      </c>
      <c r="O183" s="73">
        <f>SUM(Tabla22[[#This Row],[Bonus1]:[p2]])</f>
        <v>46502.667999999998</v>
      </c>
      <c r="P183" s="73">
        <f>IF(Tabla22[[#This Row],[QualityBonus]]&gt;0,Tabla22[[#This Row],[No wages]]-$C$4,"")</f>
        <v>-1359.6162384422278</v>
      </c>
    </row>
    <row r="184" spans="1:16" x14ac:dyDescent="0.25">
      <c r="A184" s="13">
        <v>168</v>
      </c>
      <c r="B184" s="13" t="s">
        <v>66</v>
      </c>
      <c r="C184" s="66">
        <v>1.7399999999999999E-2</v>
      </c>
      <c r="D184" s="2" t="s">
        <v>54</v>
      </c>
      <c r="E184" s="73">
        <v>58185</v>
      </c>
      <c r="F184" s="5">
        <v>4</v>
      </c>
      <c r="G184" s="2" t="s">
        <v>53</v>
      </c>
      <c r="H184" s="73">
        <v>39211</v>
      </c>
      <c r="I184" s="5">
        <v>4</v>
      </c>
      <c r="J184" s="74">
        <f>Tabla22[[#This Row],[Base price1]]*Tabla22[[#This Row],[Req.]]+Tabla22[[#This Row],[Base price2]]*Tabla22[[#This Row],[Req.2]]</f>
        <v>389584</v>
      </c>
      <c r="K184" s="73">
        <f>IFERROR(LOOKUP(Tabla22[[#This Row],[Product]],$R$18:$R$23,$T$18:$T$23)*Tabla22[[#This Row],[QualityBonus]]*Tabla22[[#This Row],[Base price1]]*Tabla22[[#This Row],[Req.]],0)</f>
        <v>20248.379999999997</v>
      </c>
      <c r="L184" s="73">
        <f>IF(Tabla22[[#This Row],[Req.2]]&gt;0,LOOKUP(Tabla22[[#This Row],[Product2]],$R$18:$R$23,$T$18:$T$23)*Tabla22[[#This Row],[Base price2]]*Tabla22[[#This Row],[Req.2]]*Tabla22[[#This Row],[QualityBonus]],0)</f>
        <v>10916.3424</v>
      </c>
      <c r="M184" s="74">
        <f>IFERROR((Tabla22[[#This Row],[Base price1]]-LOOKUP(Tabla22[[#This Row],[Product]],$R$18:$R$23,$S$18:$S$23))*Tabla22[[#This Row],[Req.]],0)</f>
        <v>6740</v>
      </c>
      <c r="N184" s="78">
        <f>IF(Tabla22[[#This Row],[Req.2]]&gt;0,(Tabla22[[#This Row],[Base price2]]-LOOKUP(Tabla22[[#This Row],[Product2]],$R$18:$R$23,$S$18:$S$23))*Tabla22[[#This Row],[Req.2]],0)</f>
        <v>20844</v>
      </c>
      <c r="O184" s="73">
        <f>SUM(Tabla22[[#This Row],[Bonus1]:[p2]])</f>
        <v>58748.722399999999</v>
      </c>
      <c r="P184" s="73">
        <f>IF(Tabla22[[#This Row],[QualityBonus]]&gt;0,Tabla22[[#This Row],[No wages]]-$C$4,"")</f>
        <v>10886.438161557773</v>
      </c>
    </row>
    <row r="185" spans="1:16" x14ac:dyDescent="0.25">
      <c r="A185" s="13">
        <v>169</v>
      </c>
      <c r="B185" s="13" t="s">
        <v>66</v>
      </c>
      <c r="C185" s="66">
        <v>2.5399999999999999E-2</v>
      </c>
      <c r="D185" s="2" t="s">
        <v>53</v>
      </c>
      <c r="E185" s="73">
        <v>38606</v>
      </c>
      <c r="F185" s="5">
        <v>3</v>
      </c>
      <c r="G185" s="2" t="s">
        <v>57</v>
      </c>
      <c r="H185" s="73">
        <v>81582</v>
      </c>
      <c r="I185" s="5">
        <v>4</v>
      </c>
      <c r="J185" s="74">
        <f>Tabla22[[#This Row],[Base price1]]*Tabla22[[#This Row],[Req.]]+Tabla22[[#This Row],[Base price2]]*Tabla22[[#This Row],[Req.2]]</f>
        <v>442146</v>
      </c>
      <c r="K185" s="73">
        <f>IFERROR(LOOKUP(Tabla22[[#This Row],[Product]],$R$18:$R$23,$T$18:$T$23)*Tabla22[[#This Row],[QualityBonus]]*Tabla22[[#This Row],[Base price1]]*Tabla22[[#This Row],[Req.]],0)</f>
        <v>11767.1088</v>
      </c>
      <c r="L185" s="73">
        <f>IF(Tabla22[[#This Row],[Req.2]]&gt;0,LOOKUP(Tabla22[[#This Row],[Product2]],$R$18:$R$23,$T$18:$T$23)*Tabla22[[#This Row],[Base price2]]*Tabla22[[#This Row],[Req.2]]*Tabla22[[#This Row],[QualityBonus]],0)</f>
        <v>33154.924800000001</v>
      </c>
      <c r="M185" s="74">
        <f>IFERROR((Tabla22[[#This Row],[Base price1]]-LOOKUP(Tabla22[[#This Row],[Product]],$R$18:$R$23,$S$18:$S$23))*Tabla22[[#This Row],[Req.]],0)</f>
        <v>13818</v>
      </c>
      <c r="N185" s="78">
        <f>IF(Tabla22[[#This Row],[Req.2]]&gt;0,(Tabla22[[#This Row],[Base price2]]-LOOKUP(Tabla22[[#This Row],[Product2]],$R$18:$R$23,$S$18:$S$23))*Tabla22[[#This Row],[Req.2]],0)</f>
        <v>18328</v>
      </c>
      <c r="O185" s="73">
        <f>SUM(Tabla22[[#This Row],[Bonus1]:[p2]])</f>
        <v>77068.033599999995</v>
      </c>
      <c r="P185" s="73">
        <f>IF(Tabla22[[#This Row],[QualityBonus]]&gt;0,Tabla22[[#This Row],[No wages]]-$C$4,"")</f>
        <v>29205.74936155777</v>
      </c>
    </row>
    <row r="186" spans="1:16" x14ac:dyDescent="0.25">
      <c r="A186" s="13">
        <v>170</v>
      </c>
      <c r="B186" s="13" t="s">
        <v>66</v>
      </c>
      <c r="C186" s="66">
        <v>2.75E-2</v>
      </c>
      <c r="D186" s="2" t="s">
        <v>53</v>
      </c>
      <c r="E186" s="73">
        <v>40285</v>
      </c>
      <c r="F186" s="5">
        <v>4</v>
      </c>
      <c r="G186" s="2" t="s">
        <v>57</v>
      </c>
      <c r="H186" s="73">
        <v>80821</v>
      </c>
      <c r="I186" s="5">
        <v>4</v>
      </c>
      <c r="J186" s="74">
        <f>Tabla22[[#This Row],[Base price1]]*Tabla22[[#This Row],[Req.]]+Tabla22[[#This Row],[Base price2]]*Tabla22[[#This Row],[Req.2]]</f>
        <v>484424</v>
      </c>
      <c r="K186" s="73">
        <f>IFERROR(LOOKUP(Tabla22[[#This Row],[Product]],$R$18:$R$23,$T$18:$T$23)*Tabla22[[#This Row],[QualityBonus]]*Tabla22[[#This Row],[Base price1]]*Tabla22[[#This Row],[Req.]],0)</f>
        <v>17725.400000000001</v>
      </c>
      <c r="L186" s="73">
        <f>IF(Tabla22[[#This Row],[Req.2]]&gt;0,LOOKUP(Tabla22[[#This Row],[Product2]],$R$18:$R$23,$T$18:$T$23)*Tabla22[[#This Row],[Base price2]]*Tabla22[[#This Row],[Req.2]]*Tabla22[[#This Row],[QualityBonus]],0)</f>
        <v>35561.24</v>
      </c>
      <c r="M186" s="74">
        <f>IFERROR((Tabla22[[#This Row],[Base price1]]-LOOKUP(Tabla22[[#This Row],[Product]],$R$18:$R$23,$S$18:$S$23))*Tabla22[[#This Row],[Req.]],0)</f>
        <v>25140</v>
      </c>
      <c r="N186" s="78">
        <f>IF(Tabla22[[#This Row],[Req.2]]&gt;0,(Tabla22[[#This Row],[Base price2]]-LOOKUP(Tabla22[[#This Row],[Product2]],$R$18:$R$23,$S$18:$S$23))*Tabla22[[#This Row],[Req.2]],0)</f>
        <v>15284</v>
      </c>
      <c r="O186" s="73">
        <f>SUM(Tabla22[[#This Row],[Bonus1]:[p2]])</f>
        <v>93710.64</v>
      </c>
      <c r="P186" s="73">
        <f>IF(Tabla22[[#This Row],[QualityBonus]]&gt;0,Tabla22[[#This Row],[No wages]]-$C$4,"")</f>
        <v>45848.355761557774</v>
      </c>
    </row>
    <row r="187" spans="1:16" x14ac:dyDescent="0.25">
      <c r="A187" s="13">
        <v>171</v>
      </c>
      <c r="B187" s="13" t="s">
        <v>66</v>
      </c>
      <c r="C187" s="66">
        <v>1.6400000000000001E-2</v>
      </c>
      <c r="D187" s="2" t="s">
        <v>53</v>
      </c>
      <c r="E187" s="73">
        <v>40207</v>
      </c>
      <c r="F187" s="5">
        <v>2</v>
      </c>
      <c r="G187" s="2"/>
      <c r="H187" s="73"/>
      <c r="I187" s="5"/>
      <c r="J187" s="74">
        <f>Tabla22[[#This Row],[Base price1]]*Tabla22[[#This Row],[Req.]]+Tabla22[[#This Row],[Base price2]]*Tabla22[[#This Row],[Req.2]]</f>
        <v>80414</v>
      </c>
      <c r="K187" s="73">
        <f>IFERROR(LOOKUP(Tabla22[[#This Row],[Product]],$R$18:$R$23,$T$18:$T$23)*Tabla22[[#This Row],[QualityBonus]]*Tabla22[[#This Row],[Base price1]]*Tabla22[[#This Row],[Req.]],0)</f>
        <v>5275.1584000000003</v>
      </c>
      <c r="L187" s="73">
        <f>IF(Tabla22[[#This Row],[Req.2]]&gt;0,LOOKUP(Tabla22[[#This Row],[Product2]],$R$18:$R$23,$T$18:$T$23)*Tabla22[[#This Row],[Base price2]]*Tabla22[[#This Row],[Req.2]]*Tabla22[[#This Row],[QualityBonus]],0)</f>
        <v>0</v>
      </c>
      <c r="M187" s="74">
        <f>IFERROR((Tabla22[[#This Row],[Base price1]]-LOOKUP(Tabla22[[#This Row],[Product]],$R$18:$R$23,$S$18:$S$23))*Tabla22[[#This Row],[Req.]],0)</f>
        <v>12414</v>
      </c>
      <c r="N187" s="78">
        <f>IF(Tabla22[[#This Row],[Req.2]]&gt;0,(Tabla22[[#This Row],[Base price2]]-LOOKUP(Tabla22[[#This Row],[Product2]],$R$18:$R$23,$S$18:$S$23))*Tabla22[[#This Row],[Req.2]],0)</f>
        <v>0</v>
      </c>
      <c r="O187" s="73">
        <f>SUM(Tabla22[[#This Row],[Bonus1]:[p2]])</f>
        <v>17689.1584</v>
      </c>
      <c r="P187" s="73">
        <f>IF(Tabla22[[#This Row],[QualityBonus]]&gt;0,Tabla22[[#This Row],[No wages]]-$C$4,"")</f>
        <v>-30173.125838442225</v>
      </c>
    </row>
    <row r="188" spans="1:16" x14ac:dyDescent="0.25">
      <c r="A188" s="13">
        <v>172</v>
      </c>
      <c r="B188" s="13" t="s">
        <v>66</v>
      </c>
      <c r="C188" s="66">
        <v>1.7999999999999999E-2</v>
      </c>
      <c r="D188" s="2" t="s">
        <v>55</v>
      </c>
      <c r="E188" s="73">
        <v>80804</v>
      </c>
      <c r="F188" s="5">
        <v>1</v>
      </c>
      <c r="G188" s="2"/>
      <c r="H188" s="73"/>
      <c r="I188" s="5"/>
      <c r="J188" s="74">
        <f>Tabla22[[#This Row],[Base price1]]*Tabla22[[#This Row],[Req.]]+Tabla22[[#This Row],[Base price2]]*Tabla22[[#This Row],[Req.2]]</f>
        <v>80804</v>
      </c>
      <c r="K188" s="73">
        <f>IFERROR(LOOKUP(Tabla22[[#This Row],[Product]],$R$18:$R$23,$T$18:$T$23)*Tabla22[[#This Row],[QualityBonus]]*Tabla22[[#This Row],[Base price1]]*Tabla22[[#This Row],[Req.]],0)</f>
        <v>5817.8879999999999</v>
      </c>
      <c r="L188" s="73">
        <f>IF(Tabla22[[#This Row],[Req.2]]&gt;0,LOOKUP(Tabla22[[#This Row],[Product2]],$R$18:$R$23,$T$18:$T$23)*Tabla22[[#This Row],[Base price2]]*Tabla22[[#This Row],[Req.2]]*Tabla22[[#This Row],[QualityBonus]],0)</f>
        <v>0</v>
      </c>
      <c r="M188" s="74">
        <f>IFERROR((Tabla22[[#This Row],[Base price1]]-LOOKUP(Tabla22[[#This Row],[Product]],$R$18:$R$23,$S$18:$S$23))*Tabla22[[#This Row],[Req.]],0)</f>
        <v>3804</v>
      </c>
      <c r="N188" s="78">
        <f>IF(Tabla22[[#This Row],[Req.2]]&gt;0,(Tabla22[[#This Row],[Base price2]]-LOOKUP(Tabla22[[#This Row],[Product2]],$R$18:$R$23,$S$18:$S$23))*Tabla22[[#This Row],[Req.2]],0)</f>
        <v>0</v>
      </c>
      <c r="O188" s="73">
        <f>SUM(Tabla22[[#This Row],[Bonus1]:[p2]])</f>
        <v>9621.887999999999</v>
      </c>
      <c r="P188" s="73">
        <f>IF(Tabla22[[#This Row],[QualityBonus]]&gt;0,Tabla22[[#This Row],[No wages]]-$C$4,"")</f>
        <v>-38240.396238442227</v>
      </c>
    </row>
    <row r="189" spans="1:16" x14ac:dyDescent="0.25">
      <c r="A189" s="13">
        <v>173</v>
      </c>
      <c r="B189" s="13" t="s">
        <v>66</v>
      </c>
      <c r="C189" s="66">
        <v>1.24E-2</v>
      </c>
      <c r="D189" s="2" t="s">
        <v>52</v>
      </c>
      <c r="E189" s="73">
        <v>114505</v>
      </c>
      <c r="F189" s="5">
        <v>3</v>
      </c>
      <c r="G189" s="2" t="s">
        <v>54</v>
      </c>
      <c r="H189" s="73">
        <v>56318</v>
      </c>
      <c r="I189" s="5">
        <v>2</v>
      </c>
      <c r="J189" s="74">
        <f>Tabla22[[#This Row],[Base price1]]*Tabla22[[#This Row],[Req.]]+Tabla22[[#This Row],[Base price2]]*Tabla22[[#This Row],[Req.2]]</f>
        <v>456151</v>
      </c>
      <c r="K189" s="73">
        <f>IFERROR(LOOKUP(Tabla22[[#This Row],[Product]],$R$18:$R$23,$T$18:$T$23)*Tabla22[[#This Row],[QualityBonus]]*Tabla22[[#This Row],[Base price1]]*Tabla22[[#This Row],[Req.]],0)</f>
        <v>25557.515999999996</v>
      </c>
      <c r="L189" s="73">
        <f>IF(Tabla22[[#This Row],[Req.2]]&gt;0,LOOKUP(Tabla22[[#This Row],[Product2]],$R$18:$R$23,$T$18:$T$23)*Tabla22[[#This Row],[Base price2]]*Tabla22[[#This Row],[Req.2]]*Tabla22[[#This Row],[QualityBonus]],0)</f>
        <v>6983.4319999999998</v>
      </c>
      <c r="M189" s="74">
        <f>IFERROR((Tabla22[[#This Row],[Base price1]]-LOOKUP(Tabla22[[#This Row],[Product]],$R$18:$R$23,$S$18:$S$23))*Tabla22[[#This Row],[Req.]],0)</f>
        <v>-4485</v>
      </c>
      <c r="N189" s="78">
        <f>IF(Tabla22[[#This Row],[Req.2]]&gt;0,(Tabla22[[#This Row],[Base price2]]-LOOKUP(Tabla22[[#This Row],[Product2]],$R$18:$R$23,$S$18:$S$23))*Tabla22[[#This Row],[Req.2]],0)</f>
        <v>-364</v>
      </c>
      <c r="O189" s="73">
        <f>SUM(Tabla22[[#This Row],[Bonus1]:[p2]])</f>
        <v>27691.947999999997</v>
      </c>
      <c r="P189" s="73">
        <f>IF(Tabla22[[#This Row],[QualityBonus]]&gt;0,Tabla22[[#This Row],[No wages]]-$C$4,"")</f>
        <v>-20170.336238442229</v>
      </c>
    </row>
    <row r="190" spans="1:16" x14ac:dyDescent="0.25">
      <c r="A190" s="13">
        <v>174</v>
      </c>
      <c r="B190" s="13" t="s">
        <v>66</v>
      </c>
      <c r="C190" s="66">
        <v>2.3300000000000001E-2</v>
      </c>
      <c r="D190" s="2" t="s">
        <v>53</v>
      </c>
      <c r="E190" s="73">
        <v>40291</v>
      </c>
      <c r="F190" s="5">
        <v>4</v>
      </c>
      <c r="G190" s="2" t="s">
        <v>54</v>
      </c>
      <c r="H190" s="73">
        <v>56821</v>
      </c>
      <c r="I190" s="5">
        <v>4</v>
      </c>
      <c r="J190" s="74">
        <f>Tabla22[[#This Row],[Base price1]]*Tabla22[[#This Row],[Req.]]+Tabla22[[#This Row],[Base price2]]*Tabla22[[#This Row],[Req.2]]</f>
        <v>388448</v>
      </c>
      <c r="K190" s="73">
        <f>IFERROR(LOOKUP(Tabla22[[#This Row],[Product]],$R$18:$R$23,$T$18:$T$23)*Tabla22[[#This Row],[QualityBonus]]*Tabla22[[#This Row],[Base price1]]*Tabla22[[#This Row],[Req.]],0)</f>
        <v>15020.4848</v>
      </c>
      <c r="L190" s="73">
        <f>IF(Tabla22[[#This Row],[Req.2]]&gt;0,LOOKUP(Tabla22[[#This Row],[Product2]],$R$18:$R$23,$T$18:$T$23)*Tabla22[[#This Row],[Base price2]]*Tabla22[[#This Row],[Req.2]]*Tabla22[[#This Row],[QualityBonus]],0)</f>
        <v>26478.586000000003</v>
      </c>
      <c r="M190" s="74">
        <f>IFERROR((Tabla22[[#This Row],[Base price1]]-LOOKUP(Tabla22[[#This Row],[Product]],$R$18:$R$23,$S$18:$S$23))*Tabla22[[#This Row],[Req.]],0)</f>
        <v>25164</v>
      </c>
      <c r="N190" s="78">
        <f>IF(Tabla22[[#This Row],[Req.2]]&gt;0,(Tabla22[[#This Row],[Base price2]]-LOOKUP(Tabla22[[#This Row],[Product2]],$R$18:$R$23,$S$18:$S$23))*Tabla22[[#This Row],[Req.2]],0)</f>
        <v>1284</v>
      </c>
      <c r="O190" s="73">
        <f>SUM(Tabla22[[#This Row],[Bonus1]:[p2]])</f>
        <v>67947.070800000001</v>
      </c>
      <c r="P190" s="73">
        <f>IF(Tabla22[[#This Row],[QualityBonus]]&gt;0,Tabla22[[#This Row],[No wages]]-$C$4,"")</f>
        <v>20084.786561557776</v>
      </c>
    </row>
    <row r="191" spans="1:16" x14ac:dyDescent="0.25">
      <c r="A191" s="13">
        <v>175</v>
      </c>
      <c r="B191" s="13" t="s">
        <v>66</v>
      </c>
      <c r="C191" s="66">
        <v>2.7300000000000001E-2</v>
      </c>
      <c r="D191" s="2" t="s">
        <v>55</v>
      </c>
      <c r="E191" s="73">
        <v>81803</v>
      </c>
      <c r="F191" s="5">
        <v>3</v>
      </c>
      <c r="G191" s="2" t="s">
        <v>53</v>
      </c>
      <c r="H191" s="73">
        <v>39729</v>
      </c>
      <c r="I191" s="5">
        <v>3</v>
      </c>
      <c r="J191" s="74">
        <f>Tabla22[[#This Row],[Base price1]]*Tabla22[[#This Row],[Req.]]+Tabla22[[#This Row],[Base price2]]*Tabla22[[#This Row],[Req.2]]</f>
        <v>364596</v>
      </c>
      <c r="K191" s="73">
        <f>IFERROR(LOOKUP(Tabla22[[#This Row],[Product]],$R$18:$R$23,$T$18:$T$23)*Tabla22[[#This Row],[QualityBonus]]*Tabla22[[#This Row],[Base price1]]*Tabla22[[#This Row],[Req.]],0)</f>
        <v>26798.662799999998</v>
      </c>
      <c r="L191" s="73">
        <f>IF(Tabla22[[#This Row],[Req.2]]&gt;0,LOOKUP(Tabla22[[#This Row],[Product2]],$R$18:$R$23,$T$18:$T$23)*Tabla22[[#This Row],[Base price2]]*Tabla22[[#This Row],[Req.2]]*Tabla22[[#This Row],[QualityBonus]],0)</f>
        <v>13015.2204</v>
      </c>
      <c r="M191" s="74">
        <f>IFERROR((Tabla22[[#This Row],[Base price1]]-LOOKUP(Tabla22[[#This Row],[Product]],$R$18:$R$23,$S$18:$S$23))*Tabla22[[#This Row],[Req.]],0)</f>
        <v>14409</v>
      </c>
      <c r="N191" s="78">
        <f>IF(Tabla22[[#This Row],[Req.2]]&gt;0,(Tabla22[[#This Row],[Base price2]]-LOOKUP(Tabla22[[#This Row],[Product2]],$R$18:$R$23,$S$18:$S$23))*Tabla22[[#This Row],[Req.2]],0)</f>
        <v>17187</v>
      </c>
      <c r="O191" s="73">
        <f>SUM(Tabla22[[#This Row],[Bonus1]:[p2]])</f>
        <v>71409.883199999997</v>
      </c>
      <c r="P191" s="73">
        <f>IF(Tabla22[[#This Row],[QualityBonus]]&gt;0,Tabla22[[#This Row],[No wages]]-$C$4,"")</f>
        <v>23547.598961557771</v>
      </c>
    </row>
    <row r="192" spans="1:16" x14ac:dyDescent="0.25">
      <c r="A192" s="13">
        <v>176</v>
      </c>
      <c r="B192" s="13" t="s">
        <v>66</v>
      </c>
      <c r="C192" s="66">
        <v>2.64E-2</v>
      </c>
      <c r="D192" s="2" t="s">
        <v>56</v>
      </c>
      <c r="E192" s="73">
        <v>216640</v>
      </c>
      <c r="F192" s="5">
        <v>1</v>
      </c>
      <c r="G192" s="2" t="s">
        <v>54</v>
      </c>
      <c r="H192" s="73">
        <v>56823</v>
      </c>
      <c r="I192" s="5">
        <v>1</v>
      </c>
      <c r="J192" s="74">
        <f>Tabla22[[#This Row],[Base price1]]*Tabla22[[#This Row],[Req.]]+Tabla22[[#This Row],[Base price2]]*Tabla22[[#This Row],[Req.2]]</f>
        <v>273463</v>
      </c>
      <c r="K192" s="73">
        <f>IFERROR(LOOKUP(Tabla22[[#This Row],[Product]],$R$18:$R$23,$T$18:$T$23)*Tabla22[[#This Row],[QualityBonus]]*Tabla22[[#This Row],[Base price1]]*Tabla22[[#This Row],[Req.]],0)</f>
        <v>17157.887999999999</v>
      </c>
      <c r="L192" s="73">
        <f>IF(Tabla22[[#This Row],[Req.2]]&gt;0,LOOKUP(Tabla22[[#This Row],[Product2]],$R$18:$R$23,$T$18:$T$23)*Tabla22[[#This Row],[Base price2]]*Tabla22[[#This Row],[Req.2]]*Tabla22[[#This Row],[QualityBonus]],0)</f>
        <v>7500.6359999999995</v>
      </c>
      <c r="M192" s="74">
        <f>IFERROR((Tabla22[[#This Row],[Base price1]]-LOOKUP(Tabla22[[#This Row],[Product]],$R$18:$R$23,$S$18:$S$23))*Tabla22[[#This Row],[Req.]],0)</f>
        <v>-4360</v>
      </c>
      <c r="N192" s="78">
        <f>IF(Tabla22[[#This Row],[Req.2]]&gt;0,(Tabla22[[#This Row],[Base price2]]-LOOKUP(Tabla22[[#This Row],[Product2]],$R$18:$R$23,$S$18:$S$23))*Tabla22[[#This Row],[Req.2]],0)</f>
        <v>323</v>
      </c>
      <c r="O192" s="73">
        <f>SUM(Tabla22[[#This Row],[Bonus1]:[p2]])</f>
        <v>20621.523999999998</v>
      </c>
      <c r="P192" s="73">
        <f>IF(Tabla22[[#This Row],[QualityBonus]]&gt;0,Tabla22[[#This Row],[No wages]]-$C$4,"")</f>
        <v>-27240.760238442228</v>
      </c>
    </row>
    <row r="193" spans="1:16" x14ac:dyDescent="0.25">
      <c r="A193" s="13">
        <v>177</v>
      </c>
      <c r="B193" s="13" t="s">
        <v>66</v>
      </c>
      <c r="C193" s="66">
        <v>1.8499999999999999E-2</v>
      </c>
      <c r="D193" s="2" t="s">
        <v>54</v>
      </c>
      <c r="E193" s="73">
        <v>59830</v>
      </c>
      <c r="F193" s="5">
        <v>4</v>
      </c>
      <c r="G193" s="2"/>
      <c r="H193" s="73"/>
      <c r="I193" s="5"/>
      <c r="J193" s="74">
        <f>Tabla22[[#This Row],[Base price1]]*Tabla22[[#This Row],[Req.]]+Tabla22[[#This Row],[Base price2]]*Tabla22[[#This Row],[Req.2]]</f>
        <v>239320</v>
      </c>
      <c r="K193" s="73">
        <f>IFERROR(LOOKUP(Tabla22[[#This Row],[Product]],$R$18:$R$23,$T$18:$T$23)*Tabla22[[#This Row],[QualityBonus]]*Tabla22[[#This Row],[Base price1]]*Tabla22[[#This Row],[Req.]],0)</f>
        <v>22137.1</v>
      </c>
      <c r="L193" s="73">
        <f>IF(Tabla22[[#This Row],[Req.2]]&gt;0,LOOKUP(Tabla22[[#This Row],[Product2]],$R$18:$R$23,$T$18:$T$23)*Tabla22[[#This Row],[Base price2]]*Tabla22[[#This Row],[Req.2]]*Tabla22[[#This Row],[QualityBonus]],0)</f>
        <v>0</v>
      </c>
      <c r="M193" s="74">
        <f>IFERROR((Tabla22[[#This Row],[Base price1]]-LOOKUP(Tabla22[[#This Row],[Product]],$R$18:$R$23,$S$18:$S$23))*Tabla22[[#This Row],[Req.]],0)</f>
        <v>13320</v>
      </c>
      <c r="N193" s="78">
        <f>IF(Tabla22[[#This Row],[Req.2]]&gt;0,(Tabla22[[#This Row],[Base price2]]-LOOKUP(Tabla22[[#This Row],[Product2]],$R$18:$R$23,$S$18:$S$23))*Tabla22[[#This Row],[Req.2]],0)</f>
        <v>0</v>
      </c>
      <c r="O193" s="73">
        <f>SUM(Tabla22[[#This Row],[Bonus1]:[p2]])</f>
        <v>35457.1</v>
      </c>
      <c r="P193" s="73">
        <f>IF(Tabla22[[#This Row],[QualityBonus]]&gt;0,Tabla22[[#This Row],[No wages]]-$C$4,"")</f>
        <v>-12405.184238442227</v>
      </c>
    </row>
    <row r="194" spans="1:16" x14ac:dyDescent="0.25">
      <c r="A194" s="13">
        <v>178</v>
      </c>
      <c r="B194" s="13" t="s">
        <v>66</v>
      </c>
      <c r="C194" s="66">
        <v>2.47E-2</v>
      </c>
      <c r="D194" s="2" t="s">
        <v>56</v>
      </c>
      <c r="E194" s="73">
        <v>218222</v>
      </c>
      <c r="F194" s="5">
        <v>1</v>
      </c>
      <c r="G194" s="2" t="s">
        <v>27</v>
      </c>
      <c r="H194" s="73">
        <v>792820</v>
      </c>
      <c r="I194" s="5">
        <v>2</v>
      </c>
      <c r="J194" s="74">
        <f>Tabla22[[#This Row],[Base price1]]*Tabla22[[#This Row],[Req.]]+Tabla22[[#This Row],[Base price2]]*Tabla22[[#This Row],[Req.2]]</f>
        <v>1803862</v>
      </c>
      <c r="K194" s="73">
        <f>IFERROR(LOOKUP(Tabla22[[#This Row],[Product]],$R$18:$R$23,$T$18:$T$23)*Tabla22[[#This Row],[QualityBonus]]*Tabla22[[#This Row],[Base price1]]*Tabla22[[#This Row],[Req.]],0)</f>
        <v>16170.2502</v>
      </c>
      <c r="L194" s="73">
        <f>IF(Tabla22[[#This Row],[Req.2]]&gt;0,LOOKUP(Tabla22[[#This Row],[Product2]],$R$18:$R$23,$T$18:$T$23)*Tabla22[[#This Row],[Base price2]]*Tabla22[[#This Row],[Req.2]]*Tabla22[[#This Row],[QualityBonus]],0)</f>
        <v>234991.848</v>
      </c>
      <c r="M194" s="74">
        <f>IFERROR((Tabla22[[#This Row],[Base price1]]-LOOKUP(Tabla22[[#This Row],[Product]],$R$18:$R$23,$S$18:$S$23))*Tabla22[[#This Row],[Req.]],0)</f>
        <v>-2778</v>
      </c>
      <c r="N194" s="78">
        <f>IF(Tabla22[[#This Row],[Req.2]]&gt;0,(Tabla22[[#This Row],[Base price2]]-LOOKUP(Tabla22[[#This Row],[Product2]],$R$18:$R$23,$S$18:$S$23))*Tabla22[[#This Row],[Req.2]],0)</f>
        <v>-92360</v>
      </c>
      <c r="O194" s="73">
        <f>SUM(Tabla22[[#This Row],[Bonus1]:[p2]])</f>
        <v>156024.09820000001</v>
      </c>
      <c r="P194" s="73">
        <f>IF(Tabla22[[#This Row],[QualityBonus]]&gt;0,Tabla22[[#This Row],[No wages]]-$C$4,"")</f>
        <v>108161.81396155778</v>
      </c>
    </row>
    <row r="195" spans="1:16" x14ac:dyDescent="0.25">
      <c r="A195" s="13">
        <v>179</v>
      </c>
      <c r="B195" s="13" t="s">
        <v>66</v>
      </c>
      <c r="C195" s="36">
        <v>1.9099999999999999E-2</v>
      </c>
      <c r="D195" s="2" t="s">
        <v>56</v>
      </c>
      <c r="E195" s="71">
        <v>215081</v>
      </c>
      <c r="F195" s="4">
        <v>4</v>
      </c>
      <c r="G195" s="2"/>
      <c r="H195" s="71"/>
      <c r="I195" s="4"/>
      <c r="J195" s="74">
        <f>Tabla22[[#This Row],[Base price1]]*Tabla22[[#This Row],[Req.]]+Tabla22[[#This Row],[Base price2]]*Tabla22[[#This Row],[Req.2]]</f>
        <v>860324</v>
      </c>
      <c r="K195" s="71">
        <f>IFERROR(LOOKUP(Tabla22[[#This Row],[Product]],$R$18:$R$23,$T$18:$T$23)*Tabla22[[#This Row],[QualityBonus]]*Tabla22[[#This Row],[Base price1]]*Tabla22[[#This Row],[Req.]],0)</f>
        <v>49296.565199999997</v>
      </c>
      <c r="L195" s="71">
        <f>IF(Tabla22[[#This Row],[Req.2]]&gt;0,LOOKUP(Tabla22[[#This Row],[Product2]],$R$18:$R$23,$T$18:$T$23)*Tabla22[[#This Row],[Base price2]]*Tabla22[[#This Row],[Req.2]]*Tabla22[[#This Row],[QualityBonus]],0)</f>
        <v>0</v>
      </c>
      <c r="M195" s="74">
        <f>IFERROR((Tabla22[[#This Row],[Base price1]]-LOOKUP(Tabla22[[#This Row],[Product]],$R$18:$R$23,$S$18:$S$23))*Tabla22[[#This Row],[Req.]],0)</f>
        <v>-23676</v>
      </c>
      <c r="N195" s="78">
        <f>IF(Tabla22[[#This Row],[Req.2]]&gt;0,(Tabla22[[#This Row],[Base price2]]-LOOKUP(Tabla22[[#This Row],[Product2]],$R$18:$R$23,$S$18:$S$23))*Tabla22[[#This Row],[Req.2]],0)</f>
        <v>0</v>
      </c>
      <c r="O195" s="71">
        <f>SUM(Tabla22[[#This Row],[Bonus1]:[p2]])</f>
        <v>25620.565199999997</v>
      </c>
      <c r="P195" s="71">
        <f>IF(Tabla22[[#This Row],[QualityBonus]]&gt;0,Tabla22[[#This Row],[No wages]]-$C$4,"")</f>
        <v>-22241.719038442228</v>
      </c>
    </row>
    <row r="196" spans="1:16" x14ac:dyDescent="0.25">
      <c r="A196" s="24">
        <v>180</v>
      </c>
      <c r="B196" s="24" t="s">
        <v>66</v>
      </c>
      <c r="C196" s="44">
        <v>1.6400000000000001E-2</v>
      </c>
      <c r="D196" s="37" t="s">
        <v>56</v>
      </c>
      <c r="E196" s="72">
        <v>207213</v>
      </c>
      <c r="F196" s="39">
        <v>4</v>
      </c>
      <c r="G196" s="37" t="s">
        <v>27</v>
      </c>
      <c r="H196" s="72">
        <v>804340</v>
      </c>
      <c r="I196" s="39">
        <v>4</v>
      </c>
      <c r="J196" s="75">
        <f>Tabla22[[#This Row],[Base price1]]*Tabla22[[#This Row],[Req.]]+Tabla22[[#This Row],[Base price2]]*Tabla22[[#This Row],[Req.2]]</f>
        <v>4046212</v>
      </c>
      <c r="K196" s="72">
        <f>IFERROR(LOOKUP(Tabla22[[#This Row],[Product]],$R$18:$R$23,$T$18:$T$23)*Tabla22[[#This Row],[QualityBonus]]*Tabla22[[#This Row],[Base price1]]*Tabla22[[#This Row],[Req.]],0)</f>
        <v>40779.518400000008</v>
      </c>
      <c r="L196" s="72">
        <f>IF(Tabla22[[#This Row],[Req.2]]&gt;0,LOOKUP(Tabla22[[#This Row],[Product2]],$R$18:$R$23,$T$18:$T$23)*Tabla22[[#This Row],[Base price2]]*Tabla22[[#This Row],[Req.2]]*Tabla22[[#This Row],[QualityBonus]],0)</f>
        <v>316588.22400000005</v>
      </c>
      <c r="M196" s="75">
        <f>IFERROR((Tabla22[[#This Row],[Base price1]]-LOOKUP(Tabla22[[#This Row],[Product]],$R$18:$R$23,$S$18:$S$23))*Tabla22[[#This Row],[Req.]],0)</f>
        <v>-55148</v>
      </c>
      <c r="N196" s="79">
        <f>IF(Tabla22[[#This Row],[Req.2]]&gt;0,(Tabla22[[#This Row],[Base price2]]-LOOKUP(Tabla22[[#This Row],[Product2]],$R$18:$R$23,$S$18:$S$23))*Tabla22[[#This Row],[Req.2]],0)</f>
        <v>-138640</v>
      </c>
      <c r="O196" s="72">
        <f>SUM(Tabla22[[#This Row],[Bonus1]:[p2]])</f>
        <v>163579.74240000005</v>
      </c>
      <c r="P196" s="72">
        <f>IF(Tabla22[[#This Row],[QualityBonus]]&gt;0,Tabla22[[#This Row],[No wages]]-$C$4,"")</f>
        <v>115717.45816155782</v>
      </c>
    </row>
    <row r="197" spans="1:16" x14ac:dyDescent="0.25">
      <c r="A197" s="13">
        <v>181</v>
      </c>
      <c r="B197" s="13" t="s">
        <v>13</v>
      </c>
      <c r="C197" s="66">
        <v>2.3199999999999998E-2</v>
      </c>
      <c r="D197" s="2" t="s">
        <v>57</v>
      </c>
      <c r="E197" s="73">
        <v>82609</v>
      </c>
      <c r="F197" s="5">
        <v>4</v>
      </c>
      <c r="G197" s="2" t="s">
        <v>52</v>
      </c>
      <c r="H197" s="73">
        <v>117392</v>
      </c>
      <c r="I197" s="5">
        <v>2</v>
      </c>
      <c r="J197" s="74">
        <f>Tabla22[[#This Row],[Base price1]]*Tabla22[[#This Row],[Req.]]+Tabla22[[#This Row],[Base price2]]*Tabla22[[#This Row],[Req.2]]</f>
        <v>565220</v>
      </c>
      <c r="K197" s="73">
        <f>IFERROR(LOOKUP(Tabla22[[#This Row],[Product]],$R$18:$R$23,$T$18:$T$23)*Tabla22[[#This Row],[QualityBonus]]*Tabla22[[#This Row],[Base price1]]*Tabla22[[#This Row],[Req.]],0)</f>
        <v>30664.460799999997</v>
      </c>
      <c r="L197" s="73">
        <f>IF(Tabla22[[#This Row],[Req.2]]&gt;0,LOOKUP(Tabla22[[#This Row],[Product2]],$R$18:$R$23,$T$18:$T$23)*Tabla22[[#This Row],[Base price2]]*Tabla22[[#This Row],[Req.2]]*Tabla22[[#This Row],[QualityBonus]],0)</f>
        <v>32681.932799999999</v>
      </c>
      <c r="M197" s="74">
        <f>IFERROR((Tabla22[[#This Row],[Base price1]]-LOOKUP(Tabla22[[#This Row],[Product]],$R$18:$R$23,$S$18:$S$23))*Tabla22[[#This Row],[Req.]],0)</f>
        <v>22436</v>
      </c>
      <c r="N197" s="78">
        <f>IF(Tabla22[[#This Row],[Req.2]]&gt;0,(Tabla22[[#This Row],[Base price2]]-LOOKUP(Tabla22[[#This Row],[Product2]],$R$18:$R$23,$S$18:$S$23))*Tabla22[[#This Row],[Req.2]],0)</f>
        <v>2784</v>
      </c>
      <c r="O197" s="73">
        <f>SUM(Tabla22[[#This Row],[Bonus1]:[p2]])</f>
        <v>88566.393599999996</v>
      </c>
      <c r="P197" s="73">
        <f>IF(Tabla22[[#This Row],[QualityBonus]]&gt;0,Tabla22[[#This Row],[No wages]]-$C$4,"")</f>
        <v>40704.10936155777</v>
      </c>
    </row>
    <row r="198" spans="1:16" x14ac:dyDescent="0.25">
      <c r="A198" s="13">
        <v>182</v>
      </c>
      <c r="B198" s="13" t="s">
        <v>13</v>
      </c>
      <c r="C198" s="66">
        <v>2.4199999999999999E-2</v>
      </c>
      <c r="D198" s="2" t="s">
        <v>53</v>
      </c>
      <c r="E198" s="73">
        <v>40410</v>
      </c>
      <c r="F198" s="5">
        <v>3</v>
      </c>
      <c r="G198" s="2" t="s">
        <v>57</v>
      </c>
      <c r="H198" s="73">
        <v>86141</v>
      </c>
      <c r="I198" s="5">
        <v>2</v>
      </c>
      <c r="J198" s="74">
        <f>Tabla22[[#This Row],[Base price1]]*Tabla22[[#This Row],[Req.]]+Tabla22[[#This Row],[Base price2]]*Tabla22[[#This Row],[Req.2]]</f>
        <v>293512</v>
      </c>
      <c r="K198" s="73">
        <f>IFERROR(LOOKUP(Tabla22[[#This Row],[Product]],$R$18:$R$23,$T$18:$T$23)*Tabla22[[#This Row],[QualityBonus]]*Tabla22[[#This Row],[Base price1]]*Tabla22[[#This Row],[Req.]],0)</f>
        <v>11735.064</v>
      </c>
      <c r="L198" s="73">
        <f>IF(Tabla22[[#This Row],[Req.2]]&gt;0,LOOKUP(Tabla22[[#This Row],[Product2]],$R$18:$R$23,$T$18:$T$23)*Tabla22[[#This Row],[Base price2]]*Tabla22[[#This Row],[Req.2]]*Tabla22[[#This Row],[QualityBonus]],0)</f>
        <v>16676.8976</v>
      </c>
      <c r="M198" s="74">
        <f>IFERROR((Tabla22[[#This Row],[Base price1]]-LOOKUP(Tabla22[[#This Row],[Product]],$R$18:$R$23,$S$18:$S$23))*Tabla22[[#This Row],[Req.]],0)</f>
        <v>19230</v>
      </c>
      <c r="N198" s="78">
        <f>IF(Tabla22[[#This Row],[Req.2]]&gt;0,(Tabla22[[#This Row],[Base price2]]-LOOKUP(Tabla22[[#This Row],[Product2]],$R$18:$R$23,$S$18:$S$23))*Tabla22[[#This Row],[Req.2]],0)</f>
        <v>18282</v>
      </c>
      <c r="O198" s="73">
        <f>SUM(Tabla22[[#This Row],[Bonus1]:[p2]])</f>
        <v>65923.96160000001</v>
      </c>
      <c r="P198" s="73">
        <f>IF(Tabla22[[#This Row],[QualityBonus]]&gt;0,Tabla22[[#This Row],[No wages]]-$C$4,"")</f>
        <v>18061.677361557784</v>
      </c>
    </row>
    <row r="199" spans="1:16" x14ac:dyDescent="0.25">
      <c r="A199" s="13">
        <v>183</v>
      </c>
      <c r="B199" s="13" t="s">
        <v>13</v>
      </c>
      <c r="C199" s="66">
        <v>2.46E-2</v>
      </c>
      <c r="D199" s="2" t="s">
        <v>57</v>
      </c>
      <c r="E199" s="73">
        <v>82796</v>
      </c>
      <c r="F199" s="5">
        <v>3</v>
      </c>
      <c r="G199" s="2"/>
      <c r="H199" s="73"/>
      <c r="I199" s="5"/>
      <c r="J199" s="74">
        <f>Tabla22[[#This Row],[Base price1]]*Tabla22[[#This Row],[Req.]]+Tabla22[[#This Row],[Base price2]]*Tabla22[[#This Row],[Req.2]]</f>
        <v>248388</v>
      </c>
      <c r="K199" s="73">
        <f>IFERROR(LOOKUP(Tabla22[[#This Row],[Product]],$R$18:$R$23,$T$18:$T$23)*Tabla22[[#This Row],[QualityBonus]]*Tabla22[[#This Row],[Base price1]]*Tabla22[[#This Row],[Req.]],0)</f>
        <v>24441.379199999999</v>
      </c>
      <c r="L199" s="73">
        <f>IF(Tabla22[[#This Row],[Req.2]]&gt;0,LOOKUP(Tabla22[[#This Row],[Product2]],$R$18:$R$23,$T$18:$T$23)*Tabla22[[#This Row],[Base price2]]*Tabla22[[#This Row],[Req.2]]*Tabla22[[#This Row],[QualityBonus]],0)</f>
        <v>0</v>
      </c>
      <c r="M199" s="74">
        <f>IFERROR((Tabla22[[#This Row],[Base price1]]-LOOKUP(Tabla22[[#This Row],[Product]],$R$18:$R$23,$S$18:$S$23))*Tabla22[[#This Row],[Req.]],0)</f>
        <v>17388</v>
      </c>
      <c r="N199" s="78">
        <f>IF(Tabla22[[#This Row],[Req.2]]&gt;0,(Tabla22[[#This Row],[Base price2]]-LOOKUP(Tabla22[[#This Row],[Product2]],$R$18:$R$23,$S$18:$S$23))*Tabla22[[#This Row],[Req.2]],0)</f>
        <v>0</v>
      </c>
      <c r="O199" s="73">
        <f>SUM(Tabla22[[#This Row],[Bonus1]:[p2]])</f>
        <v>41829.379199999996</v>
      </c>
      <c r="P199" s="73">
        <f>IF(Tabla22[[#This Row],[QualityBonus]]&gt;0,Tabla22[[#This Row],[No wages]]-$C$4,"")</f>
        <v>-6032.9050384422299</v>
      </c>
    </row>
    <row r="200" spans="1:16" x14ac:dyDescent="0.25">
      <c r="A200" s="13">
        <v>184</v>
      </c>
      <c r="B200" s="13" t="s">
        <v>13</v>
      </c>
      <c r="C200" s="66">
        <v>1.17E-2</v>
      </c>
      <c r="D200" s="2" t="s">
        <v>56</v>
      </c>
      <c r="E200" s="73">
        <v>233503</v>
      </c>
      <c r="F200" s="5">
        <v>1</v>
      </c>
      <c r="G200" s="2" t="s">
        <v>54</v>
      </c>
      <c r="H200" s="73">
        <v>60720</v>
      </c>
      <c r="I200" s="5">
        <v>1</v>
      </c>
      <c r="J200" s="74">
        <f>Tabla22[[#This Row],[Base price1]]*Tabla22[[#This Row],[Req.]]+Tabla22[[#This Row],[Base price2]]*Tabla22[[#This Row],[Req.2]]</f>
        <v>294223</v>
      </c>
      <c r="K200" s="73">
        <f>IFERROR(LOOKUP(Tabla22[[#This Row],[Product]],$R$18:$R$23,$T$18:$T$23)*Tabla22[[#This Row],[QualityBonus]]*Tabla22[[#This Row],[Base price1]]*Tabla22[[#This Row],[Req.]],0)</f>
        <v>8195.9552999999996</v>
      </c>
      <c r="L200" s="73">
        <f>IF(Tabla22[[#This Row],[Req.2]]&gt;0,LOOKUP(Tabla22[[#This Row],[Product2]],$R$18:$R$23,$T$18:$T$23)*Tabla22[[#This Row],[Base price2]]*Tabla22[[#This Row],[Req.2]]*Tabla22[[#This Row],[QualityBonus]],0)</f>
        <v>3552.12</v>
      </c>
      <c r="M200" s="74">
        <f>IFERROR((Tabla22[[#This Row],[Base price1]]-LOOKUP(Tabla22[[#This Row],[Product]],$R$18:$R$23,$S$18:$S$23))*Tabla22[[#This Row],[Req.]],0)</f>
        <v>12503</v>
      </c>
      <c r="N200" s="78">
        <f>IF(Tabla22[[#This Row],[Req.2]]&gt;0,(Tabla22[[#This Row],[Base price2]]-LOOKUP(Tabla22[[#This Row],[Product2]],$R$18:$R$23,$S$18:$S$23))*Tabla22[[#This Row],[Req.2]],0)</f>
        <v>4220</v>
      </c>
      <c r="O200" s="73">
        <f>SUM(Tabla22[[#This Row],[Bonus1]:[p2]])</f>
        <v>28471.0753</v>
      </c>
      <c r="P200" s="73">
        <f>IF(Tabla22[[#This Row],[QualityBonus]]&gt;0,Tabla22[[#This Row],[No wages]]-$C$4,"")</f>
        <v>-19391.208938442225</v>
      </c>
    </row>
    <row r="201" spans="1:16" x14ac:dyDescent="0.25">
      <c r="A201" s="13">
        <v>185</v>
      </c>
      <c r="B201" s="13" t="s">
        <v>13</v>
      </c>
      <c r="C201" s="66">
        <v>1.4500000000000001E-2</v>
      </c>
      <c r="D201" s="2" t="s">
        <v>54</v>
      </c>
      <c r="E201" s="73">
        <v>60999</v>
      </c>
      <c r="F201" s="5">
        <v>1</v>
      </c>
      <c r="G201" s="2" t="s">
        <v>57</v>
      </c>
      <c r="H201" s="73">
        <v>84337</v>
      </c>
      <c r="I201" s="5">
        <v>4</v>
      </c>
      <c r="J201" s="74">
        <f>Tabla22[[#This Row],[Base price1]]*Tabla22[[#This Row],[Req.]]+Tabla22[[#This Row],[Base price2]]*Tabla22[[#This Row],[Req.2]]</f>
        <v>398347</v>
      </c>
      <c r="K201" s="73">
        <f>IFERROR(LOOKUP(Tabla22[[#This Row],[Product]],$R$18:$R$23,$T$18:$T$23)*Tabla22[[#This Row],[QualityBonus]]*Tabla22[[#This Row],[Base price1]]*Tabla22[[#This Row],[Req.]],0)</f>
        <v>4422.4275000000007</v>
      </c>
      <c r="L201" s="73">
        <f>IF(Tabla22[[#This Row],[Req.2]]&gt;0,LOOKUP(Tabla22[[#This Row],[Product2]],$R$18:$R$23,$T$18:$T$23)*Tabla22[[#This Row],[Base price2]]*Tabla22[[#This Row],[Req.2]]*Tabla22[[#This Row],[QualityBonus]],0)</f>
        <v>19566.184000000001</v>
      </c>
      <c r="M201" s="73">
        <f>IFERROR((Tabla22[[#This Row],[Base price1]]-LOOKUP(Tabla22[[#This Row],[Product]],$R$18:$R$23,$S$18:$S$23))*Tabla22[[#This Row],[Req.]],0)</f>
        <v>4499</v>
      </c>
      <c r="N201" s="73">
        <f>IF(Tabla22[[#This Row],[Req.2]]&gt;0,(Tabla22[[#This Row],[Base price2]]-LOOKUP(Tabla22[[#This Row],[Product2]],$R$18:$R$23,$S$18:$S$23))*Tabla22[[#This Row],[Req.2]],0)</f>
        <v>29348</v>
      </c>
      <c r="O201" s="73">
        <f>SUM(Tabla22[[#This Row],[Bonus1]:[p2]])</f>
        <v>57835.611499999999</v>
      </c>
      <c r="P201" s="73">
        <f>IF(Tabla22[[#This Row],[QualityBonus]]&gt;0,Tabla22[[#This Row],[No wages]]-$C$4,"")</f>
        <v>9973.3272615577735</v>
      </c>
    </row>
    <row r="202" spans="1:16" x14ac:dyDescent="0.25">
      <c r="A202" s="13">
        <v>186</v>
      </c>
      <c r="B202" s="13" t="s">
        <v>13</v>
      </c>
      <c r="C202" s="66">
        <v>1.46E-2</v>
      </c>
      <c r="D202" s="2" t="s">
        <v>53</v>
      </c>
      <c r="E202" s="73">
        <v>42172</v>
      </c>
      <c r="F202" s="5">
        <v>2</v>
      </c>
      <c r="G202" s="2" t="s">
        <v>54</v>
      </c>
      <c r="H202" s="73">
        <v>63200</v>
      </c>
      <c r="I202" s="5">
        <v>1</v>
      </c>
      <c r="J202" s="74">
        <f>Tabla22[[#This Row],[Base price1]]*Tabla22[[#This Row],[Req.]]+Tabla22[[#This Row],[Base price2]]*Tabla22[[#This Row],[Req.2]]</f>
        <v>147544</v>
      </c>
      <c r="K202" s="73">
        <f>IFERROR(LOOKUP(Tabla22[[#This Row],[Product]],$R$18:$R$23,$T$18:$T$23)*Tabla22[[#This Row],[QualityBonus]]*Tabla22[[#This Row],[Base price1]]*Tabla22[[#This Row],[Req.]],0)</f>
        <v>4925.6895999999997</v>
      </c>
      <c r="L202" s="73">
        <f>IF(Tabla22[[#This Row],[Req.2]]&gt;0,LOOKUP(Tabla22[[#This Row],[Product2]],$R$18:$R$23,$T$18:$T$23)*Tabla22[[#This Row],[Base price2]]*Tabla22[[#This Row],[Req.2]]*Tabla22[[#This Row],[QualityBonus]],0)</f>
        <v>4613.6000000000004</v>
      </c>
      <c r="M202" s="73">
        <f>IFERROR((Tabla22[[#This Row],[Base price1]]-LOOKUP(Tabla22[[#This Row],[Product]],$R$18:$R$23,$S$18:$S$23))*Tabla22[[#This Row],[Req.]],0)</f>
        <v>16344</v>
      </c>
      <c r="N202" s="73">
        <f>IF(Tabla22[[#This Row],[Req.2]]&gt;0,(Tabla22[[#This Row],[Base price2]]-LOOKUP(Tabla22[[#This Row],[Product2]],$R$18:$R$23,$S$18:$S$23))*Tabla22[[#This Row],[Req.2]],0)</f>
        <v>6700</v>
      </c>
      <c r="O202" s="73">
        <f>SUM(Tabla22[[#This Row],[Bonus1]:[p2]])</f>
        <v>32583.2896</v>
      </c>
      <c r="P202" s="73">
        <f>IF(Tabla22[[#This Row],[QualityBonus]]&gt;0,Tabla22[[#This Row],[No wages]]-$C$4,"")</f>
        <v>-15278.994638442226</v>
      </c>
    </row>
    <row r="203" spans="1:16" x14ac:dyDescent="0.25">
      <c r="A203" s="24">
        <v>187</v>
      </c>
      <c r="B203" s="24" t="s">
        <v>13</v>
      </c>
      <c r="C203" s="44">
        <v>1.26E-2</v>
      </c>
      <c r="D203" s="37" t="s">
        <v>54</v>
      </c>
      <c r="E203" s="72">
        <v>59504</v>
      </c>
      <c r="F203" s="39">
        <v>4</v>
      </c>
      <c r="G203" s="37"/>
      <c r="H203" s="72"/>
      <c r="I203" s="39"/>
      <c r="J203" s="75">
        <f>Tabla22[[#This Row],[Base price1]]*Tabla22[[#This Row],[Req.]]+Tabla22[[#This Row],[Base price2]]*Tabla22[[#This Row],[Req.2]]</f>
        <v>238016</v>
      </c>
      <c r="K203" s="72">
        <f>IFERROR(LOOKUP(Tabla22[[#This Row],[Product]],$R$18:$R$23,$T$18:$T$23)*Tabla22[[#This Row],[QualityBonus]]*Tabla22[[#This Row],[Base price1]]*Tabla22[[#This Row],[Req.]],0)</f>
        <v>14995.008</v>
      </c>
      <c r="L203" s="72">
        <f>IF(Tabla22[[#This Row],[Req.2]]&gt;0,LOOKUP(Tabla22[[#This Row],[Product2]],$R$18:$R$23,$T$18:$T$23)*Tabla22[[#This Row],[Base price2]]*Tabla22[[#This Row],[Req.2]]*Tabla22[[#This Row],[QualityBonus]],0)</f>
        <v>0</v>
      </c>
      <c r="M203" s="72">
        <f>IFERROR((Tabla22[[#This Row],[Base price1]]-LOOKUP(Tabla22[[#This Row],[Product]],$R$18:$R$23,$S$18:$S$23))*Tabla22[[#This Row],[Req.]],0)</f>
        <v>12016</v>
      </c>
      <c r="N203" s="72">
        <f>IF(Tabla22[[#This Row],[Req.2]]&gt;0,(Tabla22[[#This Row],[Base price2]]-LOOKUP(Tabla22[[#This Row],[Product2]],$R$18:$R$23,$S$18:$S$23))*Tabla22[[#This Row],[Req.2]],0)</f>
        <v>0</v>
      </c>
      <c r="O203" s="72">
        <f>SUM(Tabla22[[#This Row],[Bonus1]:[p2]])</f>
        <v>27011.008000000002</v>
      </c>
      <c r="P203" s="72">
        <f>IF(Tabla22[[#This Row],[QualityBonus]]&gt;0,Tabla22[[#This Row],[No wages]]-$C$4,"")</f>
        <v>-20851.276238442224</v>
      </c>
    </row>
    <row r="204" spans="1:16" x14ac:dyDescent="0.25">
      <c r="A204" s="13">
        <v>188</v>
      </c>
      <c r="B204" s="13" t="s">
        <v>13</v>
      </c>
      <c r="C204" s="66">
        <v>2.98E-2</v>
      </c>
      <c r="D204" s="2" t="s">
        <v>54</v>
      </c>
      <c r="E204" s="73">
        <v>60754</v>
      </c>
      <c r="F204" s="5">
        <v>3</v>
      </c>
      <c r="G204" s="2" t="s">
        <v>53</v>
      </c>
      <c r="H204" s="73">
        <v>41046</v>
      </c>
      <c r="I204" s="5">
        <v>5</v>
      </c>
      <c r="J204" s="74">
        <f>Tabla22[[#This Row],[Base price1]]*Tabla22[[#This Row],[Req.]]+Tabla22[[#This Row],[Base price2]]*Tabla22[[#This Row],[Req.2]]</f>
        <v>387492</v>
      </c>
      <c r="K204" s="73">
        <f>IFERROR(LOOKUP(Tabla22[[#This Row],[Product]],$R$18:$R$23,$T$18:$T$23)*Tabla22[[#This Row],[QualityBonus]]*Tabla22[[#This Row],[Base price1]]*Tabla22[[#This Row],[Req.]],0)</f>
        <v>27157.038</v>
      </c>
      <c r="L204" s="73">
        <f>IF(Tabla22[[#This Row],[Req.2]]&gt;0,LOOKUP(Tabla22[[#This Row],[Product2]],$R$18:$R$23,$T$18:$T$23)*Tabla22[[#This Row],[Base price2]]*Tabla22[[#This Row],[Req.2]]*Tabla22[[#This Row],[QualityBonus]],0)</f>
        <v>24463.416000000001</v>
      </c>
      <c r="M204" s="73">
        <f>IFERROR((Tabla22[[#This Row],[Base price1]]-LOOKUP(Tabla22[[#This Row],[Product]],$R$18:$R$23,$S$18:$S$23))*Tabla22[[#This Row],[Req.]],0)</f>
        <v>12762</v>
      </c>
      <c r="N204" s="73">
        <f>IF(Tabla22[[#This Row],[Req.2]]&gt;0,(Tabla22[[#This Row],[Base price2]]-LOOKUP(Tabla22[[#This Row],[Product2]],$R$18:$R$23,$S$18:$S$23))*Tabla22[[#This Row],[Req.2]],0)</f>
        <v>35230</v>
      </c>
      <c r="O204" s="73">
        <f>SUM(Tabla22[[#This Row],[Bonus1]:[p2]])</f>
        <v>99612.453999999998</v>
      </c>
      <c r="P204" s="73">
        <f>IF(Tabla22[[#This Row],[QualityBonus]]&gt;0,Tabla22[[#This Row],[No wages]]-$C$4,"")</f>
        <v>51750.169761557772</v>
      </c>
    </row>
    <row r="205" spans="1:16" x14ac:dyDescent="0.25">
      <c r="A205" s="13">
        <v>189</v>
      </c>
      <c r="B205" s="13" t="s">
        <v>13</v>
      </c>
      <c r="C205" s="66">
        <v>1.06E-2</v>
      </c>
      <c r="D205" s="2" t="s">
        <v>54</v>
      </c>
      <c r="E205" s="73">
        <v>61023</v>
      </c>
      <c r="F205" s="5">
        <v>4</v>
      </c>
      <c r="G205" s="2"/>
      <c r="H205" s="73"/>
      <c r="I205" s="5"/>
      <c r="J205" s="74">
        <f>Tabla22[[#This Row],[Base price1]]*Tabla22[[#This Row],[Req.]]+Tabla22[[#This Row],[Base price2]]*Tabla22[[#This Row],[Req.2]]</f>
        <v>244092</v>
      </c>
      <c r="K205" s="73">
        <f>IFERROR(LOOKUP(Tabla22[[#This Row],[Product]],$R$18:$R$23,$T$18:$T$23)*Tabla22[[#This Row],[QualityBonus]]*Tabla22[[#This Row],[Base price1]]*Tabla22[[#This Row],[Req.]],0)</f>
        <v>12936.876</v>
      </c>
      <c r="L205" s="73">
        <f>IF(Tabla22[[#This Row],[Req.2]]&gt;0,LOOKUP(Tabla22[[#This Row],[Product2]],$R$18:$R$23,$T$18:$T$23)*Tabla22[[#This Row],[Base price2]]*Tabla22[[#This Row],[Req.2]]*Tabla22[[#This Row],[QualityBonus]],0)</f>
        <v>0</v>
      </c>
      <c r="M205" s="73">
        <f>IFERROR((Tabla22[[#This Row],[Base price1]]-LOOKUP(Tabla22[[#This Row],[Product]],$R$18:$R$23,$S$18:$S$23))*Tabla22[[#This Row],[Req.]],0)</f>
        <v>18092</v>
      </c>
      <c r="N205" s="73">
        <f>IF(Tabla22[[#This Row],[Req.2]]&gt;0,(Tabla22[[#This Row],[Base price2]]-LOOKUP(Tabla22[[#This Row],[Product2]],$R$18:$R$23,$S$18:$S$23))*Tabla22[[#This Row],[Req.2]],0)</f>
        <v>0</v>
      </c>
      <c r="O205" s="73">
        <f>SUM(Tabla22[[#This Row],[Bonus1]:[p2]])</f>
        <v>31028.876</v>
      </c>
      <c r="P205" s="73">
        <f>IF(Tabla22[[#This Row],[QualityBonus]]&gt;0,Tabla22[[#This Row],[No wages]]-$C$4,"")</f>
        <v>-16833.408238442225</v>
      </c>
    </row>
    <row r="206" spans="1:16" x14ac:dyDescent="0.25">
      <c r="A206" s="13">
        <v>190</v>
      </c>
      <c r="B206" s="13" t="s">
        <v>13</v>
      </c>
      <c r="C206" s="66">
        <v>2.06E-2</v>
      </c>
      <c r="D206" s="2" t="s">
        <v>53</v>
      </c>
      <c r="E206" s="73">
        <v>41632</v>
      </c>
      <c r="F206" s="5">
        <v>5</v>
      </c>
      <c r="G206" s="2" t="s">
        <v>54</v>
      </c>
      <c r="H206" s="73">
        <v>62254</v>
      </c>
      <c r="I206" s="5">
        <v>1</v>
      </c>
      <c r="J206" s="74">
        <f>Tabla22[[#This Row],[Base price1]]*Tabla22[[#This Row],[Req.]]+Tabla22[[#This Row],[Base price2]]*Tabla22[[#This Row],[Req.2]]</f>
        <v>270414</v>
      </c>
      <c r="K206" s="73">
        <f>IFERROR(LOOKUP(Tabla22[[#This Row],[Product]],$R$18:$R$23,$T$18:$T$23)*Tabla22[[#This Row],[QualityBonus]]*Tabla22[[#This Row],[Base price1]]*Tabla22[[#This Row],[Req.]],0)</f>
        <v>17152.383999999998</v>
      </c>
      <c r="L206" s="73">
        <f>IF(Tabla22[[#This Row],[Req.2]]&gt;0,LOOKUP(Tabla22[[#This Row],[Product2]],$R$18:$R$23,$T$18:$T$23)*Tabla22[[#This Row],[Base price2]]*Tabla22[[#This Row],[Req.2]]*Tabla22[[#This Row],[QualityBonus]],0)</f>
        <v>6412.1620000000003</v>
      </c>
      <c r="M206" s="73">
        <f>IFERROR((Tabla22[[#This Row],[Base price1]]-LOOKUP(Tabla22[[#This Row],[Product]],$R$18:$R$23,$S$18:$S$23))*Tabla22[[#This Row],[Req.]],0)</f>
        <v>38160</v>
      </c>
      <c r="N206" s="73">
        <f>IF(Tabla22[[#This Row],[Req.2]]&gt;0,(Tabla22[[#This Row],[Base price2]]-LOOKUP(Tabla22[[#This Row],[Product2]],$R$18:$R$23,$S$18:$S$23))*Tabla22[[#This Row],[Req.2]],0)</f>
        <v>5754</v>
      </c>
      <c r="O206" s="73">
        <f>SUM(Tabla22[[#This Row],[Bonus1]:[p2]])</f>
        <v>67478.546000000002</v>
      </c>
      <c r="P206" s="73">
        <f>IF(Tabla22[[#This Row],[QualityBonus]]&gt;0,Tabla22[[#This Row],[No wages]]-$C$4,"")</f>
        <v>19616.261761557776</v>
      </c>
    </row>
    <row r="207" spans="1:16" x14ac:dyDescent="0.25">
      <c r="A207" s="13">
        <v>191</v>
      </c>
      <c r="B207" s="13" t="s">
        <v>13</v>
      </c>
      <c r="C207" s="66">
        <v>2.7300000000000001E-2</v>
      </c>
      <c r="D207" s="2" t="s">
        <v>52</v>
      </c>
      <c r="E207" s="73">
        <v>122124</v>
      </c>
      <c r="F207" s="5">
        <v>3</v>
      </c>
      <c r="G207" s="2" t="s">
        <v>54</v>
      </c>
      <c r="H207" s="73">
        <v>62870</v>
      </c>
      <c r="I207" s="5">
        <v>3</v>
      </c>
      <c r="J207" s="74">
        <f>Tabla22[[#This Row],[Base price1]]*Tabla22[[#This Row],[Req.]]+Tabla22[[#This Row],[Base price2]]*Tabla22[[#This Row],[Req.2]]</f>
        <v>554982</v>
      </c>
      <c r="K207" s="73">
        <f>IFERROR(LOOKUP(Tabla22[[#This Row],[Product]],$R$18:$R$23,$T$18:$T$23)*Tabla22[[#This Row],[QualityBonus]]*Tabla22[[#This Row],[Base price1]]*Tabla22[[#This Row],[Req.]],0)</f>
        <v>60011.733599999992</v>
      </c>
      <c r="L207" s="73">
        <f>IF(Tabla22[[#This Row],[Req.2]]&gt;0,LOOKUP(Tabla22[[#This Row],[Product2]],$R$18:$R$23,$T$18:$T$23)*Tabla22[[#This Row],[Base price2]]*Tabla22[[#This Row],[Req.2]]*Tabla22[[#This Row],[QualityBonus]],0)</f>
        <v>25745.265000000003</v>
      </c>
      <c r="M207" s="73">
        <f>IFERROR((Tabla22[[#This Row],[Base price1]]-LOOKUP(Tabla22[[#This Row],[Product]],$R$18:$R$23,$S$18:$S$23))*Tabla22[[#This Row],[Req.]],0)</f>
        <v>18372</v>
      </c>
      <c r="N207" s="73">
        <f>IF(Tabla22[[#This Row],[Req.2]]&gt;0,(Tabla22[[#This Row],[Base price2]]-LOOKUP(Tabla22[[#This Row],[Product2]],$R$18:$R$23,$S$18:$S$23))*Tabla22[[#This Row],[Req.2]],0)</f>
        <v>19110</v>
      </c>
      <c r="O207" s="73">
        <f>SUM(Tabla22[[#This Row],[Bonus1]:[p2]])</f>
        <v>123238.99859999999</v>
      </c>
      <c r="P207" s="73">
        <f>IF(Tabla22[[#This Row],[QualityBonus]]&gt;0,Tabla22[[#This Row],[No wages]]-$C$4,"")</f>
        <v>75376.714361557766</v>
      </c>
    </row>
    <row r="208" spans="1:16" x14ac:dyDescent="0.25">
      <c r="A208" s="13">
        <v>192</v>
      </c>
      <c r="B208" s="13" t="s">
        <v>13</v>
      </c>
      <c r="C208" s="66">
        <v>1.6199999999999999E-2</v>
      </c>
      <c r="D208" s="2" t="s">
        <v>54</v>
      </c>
      <c r="E208" s="73">
        <v>63015</v>
      </c>
      <c r="F208" s="5">
        <v>2</v>
      </c>
      <c r="G208" s="2" t="s">
        <v>53</v>
      </c>
      <c r="H208" s="73">
        <v>40315</v>
      </c>
      <c r="I208" s="5">
        <v>4</v>
      </c>
      <c r="J208" s="74">
        <f>Tabla22[[#This Row],[Base price1]]*Tabla22[[#This Row],[Req.]]+Tabla22[[#This Row],[Base price2]]*Tabla22[[#This Row],[Req.2]]</f>
        <v>287290</v>
      </c>
      <c r="K208" s="73">
        <f>IFERROR(LOOKUP(Tabla22[[#This Row],[Product]],$R$18:$R$23,$T$18:$T$23)*Tabla22[[#This Row],[QualityBonus]]*Tabla22[[#This Row],[Base price1]]*Tabla22[[#This Row],[Req.]],0)</f>
        <v>10208.429999999998</v>
      </c>
      <c r="L208" s="73">
        <f>IF(Tabla22[[#This Row],[Req.2]]&gt;0,LOOKUP(Tabla22[[#This Row],[Product2]],$R$18:$R$23,$T$18:$T$23)*Tabla22[[#This Row],[Base price2]]*Tabla22[[#This Row],[Req.2]]*Tabla22[[#This Row],[QualityBonus]],0)</f>
        <v>10449.647999999999</v>
      </c>
      <c r="M208" s="73">
        <f>IFERROR((Tabla22[[#This Row],[Base price1]]-LOOKUP(Tabla22[[#This Row],[Product]],$R$18:$R$23,$S$18:$S$23))*Tabla22[[#This Row],[Req.]],0)</f>
        <v>13030</v>
      </c>
      <c r="N208" s="73">
        <f>IF(Tabla22[[#This Row],[Req.2]]&gt;0,(Tabla22[[#This Row],[Base price2]]-LOOKUP(Tabla22[[#This Row],[Product2]],$R$18:$R$23,$S$18:$S$23))*Tabla22[[#This Row],[Req.2]],0)</f>
        <v>25260</v>
      </c>
      <c r="O208" s="73">
        <f>SUM(Tabla22[[#This Row],[Bonus1]:[p2]])</f>
        <v>58948.077999999994</v>
      </c>
      <c r="P208" s="73">
        <f>IF(Tabla22[[#This Row],[QualityBonus]]&gt;0,Tabla22[[#This Row],[No wages]]-$C$4,"")</f>
        <v>11085.793761557768</v>
      </c>
    </row>
    <row r="209" spans="1:16" x14ac:dyDescent="0.25">
      <c r="A209" s="13">
        <v>193</v>
      </c>
      <c r="B209" s="13" t="s">
        <v>13</v>
      </c>
      <c r="C209" s="66">
        <v>1.01E-2</v>
      </c>
      <c r="D209" s="2" t="s">
        <v>54</v>
      </c>
      <c r="E209" s="73">
        <v>59748</v>
      </c>
      <c r="F209" s="5">
        <v>3</v>
      </c>
      <c r="G209" s="2"/>
      <c r="H209" s="73"/>
      <c r="I209" s="5"/>
      <c r="J209" s="74">
        <f>Tabla22[[#This Row],[Base price1]]*Tabla22[[#This Row],[Req.]]+Tabla22[[#This Row],[Base price2]]*Tabla22[[#This Row],[Req.2]]</f>
        <v>179244</v>
      </c>
      <c r="K209" s="73">
        <f>IFERROR(LOOKUP(Tabla22[[#This Row],[Product]],$R$18:$R$23,$T$18:$T$23)*Tabla22[[#This Row],[QualityBonus]]*Tabla22[[#This Row],[Base price1]]*Tabla22[[#This Row],[Req.]],0)</f>
        <v>9051.8220000000001</v>
      </c>
      <c r="L209" s="73">
        <f>IF(Tabla22[[#This Row],[Req.2]]&gt;0,LOOKUP(Tabla22[[#This Row],[Product2]],$R$18:$R$23,$T$18:$T$23)*Tabla22[[#This Row],[Base price2]]*Tabla22[[#This Row],[Req.2]]*Tabla22[[#This Row],[QualityBonus]],0)</f>
        <v>0</v>
      </c>
      <c r="M209" s="73">
        <f>IFERROR((Tabla22[[#This Row],[Base price1]]-LOOKUP(Tabla22[[#This Row],[Product]],$R$18:$R$23,$S$18:$S$23))*Tabla22[[#This Row],[Req.]],0)</f>
        <v>9744</v>
      </c>
      <c r="N209" s="73">
        <f>IF(Tabla22[[#This Row],[Req.2]]&gt;0,(Tabla22[[#This Row],[Base price2]]-LOOKUP(Tabla22[[#This Row],[Product2]],$R$18:$R$23,$S$18:$S$23))*Tabla22[[#This Row],[Req.2]],0)</f>
        <v>0</v>
      </c>
      <c r="O209" s="73">
        <f>SUM(Tabla22[[#This Row],[Bonus1]:[p2]])</f>
        <v>18795.822</v>
      </c>
      <c r="P209" s="73">
        <f>IF(Tabla22[[#This Row],[QualityBonus]]&gt;0,Tabla22[[#This Row],[No wages]]-$C$4,"")</f>
        <v>-29066.462238442225</v>
      </c>
    </row>
    <row r="210" spans="1:16" x14ac:dyDescent="0.25">
      <c r="A210" s="13">
        <v>194</v>
      </c>
      <c r="B210" s="13" t="s">
        <v>13</v>
      </c>
      <c r="C210" s="66">
        <v>2.8299999999999999E-2</v>
      </c>
      <c r="D210" s="2" t="s">
        <v>52</v>
      </c>
      <c r="E210" s="73">
        <v>124057</v>
      </c>
      <c r="F210" s="5">
        <v>4</v>
      </c>
      <c r="G210" s="2"/>
      <c r="H210" s="73"/>
      <c r="I210" s="5"/>
      <c r="J210" s="74">
        <f>Tabla22[[#This Row],[Base price1]]*Tabla22[[#This Row],[Req.]]+Tabla22[[#This Row],[Base price2]]*Tabla22[[#This Row],[Req.2]]</f>
        <v>496228</v>
      </c>
      <c r="K210" s="73">
        <f>IFERROR(LOOKUP(Tabla22[[#This Row],[Product]],$R$18:$R$23,$T$18:$T$23)*Tabla22[[#This Row],[QualityBonus]]*Tabla22[[#This Row],[Base price1]]*Tabla22[[#This Row],[Req.]],0)</f>
        <v>84259.5144</v>
      </c>
      <c r="L210" s="73">
        <f>IF(Tabla22[[#This Row],[Req.2]]&gt;0,LOOKUP(Tabla22[[#This Row],[Product2]],$R$18:$R$23,$T$18:$T$23)*Tabla22[[#This Row],[Base price2]]*Tabla22[[#This Row],[Req.2]]*Tabla22[[#This Row],[QualityBonus]],0)</f>
        <v>0</v>
      </c>
      <c r="M210" s="73">
        <f>IFERROR((Tabla22[[#This Row],[Base price1]]-LOOKUP(Tabla22[[#This Row],[Product]],$R$18:$R$23,$S$18:$S$23))*Tabla22[[#This Row],[Req.]],0)</f>
        <v>32228</v>
      </c>
      <c r="N210" s="73">
        <f>IF(Tabla22[[#This Row],[Req.2]]&gt;0,(Tabla22[[#This Row],[Base price2]]-LOOKUP(Tabla22[[#This Row],[Product2]],$R$18:$R$23,$S$18:$S$23))*Tabla22[[#This Row],[Req.2]],0)</f>
        <v>0</v>
      </c>
      <c r="O210" s="73">
        <f>SUM(Tabla22[[#This Row],[Bonus1]:[p2]])</f>
        <v>116487.5144</v>
      </c>
      <c r="P210" s="73">
        <f>IF(Tabla22[[#This Row],[QualityBonus]]&gt;0,Tabla22[[#This Row],[No wages]]-$C$4,"")</f>
        <v>68625.230161557774</v>
      </c>
    </row>
    <row r="211" spans="1:16" x14ac:dyDescent="0.25">
      <c r="A211" s="13">
        <v>195</v>
      </c>
      <c r="B211" s="13" t="s">
        <v>13</v>
      </c>
      <c r="C211" s="66">
        <v>2.3199999999999998E-2</v>
      </c>
      <c r="D211" s="2" t="s">
        <v>53</v>
      </c>
      <c r="E211" s="73">
        <v>40758</v>
      </c>
      <c r="F211" s="5">
        <v>4</v>
      </c>
      <c r="G211" s="2" t="s">
        <v>54</v>
      </c>
      <c r="H211" s="73">
        <v>61446</v>
      </c>
      <c r="I211" s="5">
        <v>4</v>
      </c>
      <c r="J211" s="74">
        <f>Tabla22[[#This Row],[Base price1]]*Tabla22[[#This Row],[Req.]]+Tabla22[[#This Row],[Base price2]]*Tabla22[[#This Row],[Req.2]]</f>
        <v>408816</v>
      </c>
      <c r="K211" s="73">
        <f>IFERROR(LOOKUP(Tabla22[[#This Row],[Product]],$R$18:$R$23,$T$18:$T$23)*Tabla22[[#This Row],[QualityBonus]]*Tabla22[[#This Row],[Base price1]]*Tabla22[[#This Row],[Req.]],0)</f>
        <v>15129.369599999998</v>
      </c>
      <c r="L211" s="73">
        <f>IF(Tabla22[[#This Row],[Req.2]]&gt;0,LOOKUP(Tabla22[[#This Row],[Product2]],$R$18:$R$23,$T$18:$T$23)*Tabla22[[#This Row],[Base price2]]*Tabla22[[#This Row],[Req.2]]*Tabla22[[#This Row],[QualityBonus]],0)</f>
        <v>28510.944</v>
      </c>
      <c r="M211" s="73">
        <f>IFERROR((Tabla22[[#This Row],[Base price1]]-LOOKUP(Tabla22[[#This Row],[Product]],$R$18:$R$23,$S$18:$S$23))*Tabla22[[#This Row],[Req.]],0)</f>
        <v>27032</v>
      </c>
      <c r="N211" s="73">
        <f>IF(Tabla22[[#This Row],[Req.2]]&gt;0,(Tabla22[[#This Row],[Base price2]]-LOOKUP(Tabla22[[#This Row],[Product2]],$R$18:$R$23,$S$18:$S$23))*Tabla22[[#This Row],[Req.2]],0)</f>
        <v>19784</v>
      </c>
      <c r="O211" s="73">
        <f>SUM(Tabla22[[#This Row],[Bonus1]:[p2]])</f>
        <v>90456.313599999994</v>
      </c>
      <c r="P211" s="73">
        <f>IF(Tabla22[[#This Row],[QualityBonus]]&gt;0,Tabla22[[#This Row],[No wages]]-$C$4,"")</f>
        <v>42594.029361557768</v>
      </c>
    </row>
    <row r="212" spans="1:16" x14ac:dyDescent="0.25">
      <c r="A212" s="13">
        <v>196</v>
      </c>
      <c r="B212" s="13" t="s">
        <v>13</v>
      </c>
      <c r="C212" s="66">
        <v>2.2800000000000001E-2</v>
      </c>
      <c r="D212" s="2" t="s">
        <v>57</v>
      </c>
      <c r="E212" s="73">
        <v>82963</v>
      </c>
      <c r="F212" s="5">
        <v>4</v>
      </c>
      <c r="G212" s="2" t="s">
        <v>56</v>
      </c>
      <c r="H212" s="73">
        <v>220651</v>
      </c>
      <c r="I212" s="5">
        <v>1</v>
      </c>
      <c r="J212" s="74">
        <f>Tabla22[[#This Row],[Base price1]]*Tabla22[[#This Row],[Req.]]+Tabla22[[#This Row],[Base price2]]*Tabla22[[#This Row],[Req.2]]</f>
        <v>552503</v>
      </c>
      <c r="K212" s="73">
        <f>IFERROR(LOOKUP(Tabla22[[#This Row],[Product]],$R$18:$R$23,$T$18:$T$23)*Tabla22[[#This Row],[QualityBonus]]*Tabla22[[#This Row],[Base price1]]*Tabla22[[#This Row],[Req.]],0)</f>
        <v>30264.902400000003</v>
      </c>
      <c r="L212" s="73">
        <f>IF(Tabla22[[#This Row],[Req.2]]&gt;0,LOOKUP(Tabla22[[#This Row],[Product2]],$R$18:$R$23,$T$18:$T$23)*Tabla22[[#This Row],[Base price2]]*Tabla22[[#This Row],[Req.2]]*Tabla22[[#This Row],[QualityBonus]],0)</f>
        <v>15092.528400000001</v>
      </c>
      <c r="M212" s="73">
        <f>IFERROR((Tabla22[[#This Row],[Base price1]]-LOOKUP(Tabla22[[#This Row],[Product]],$R$18:$R$23,$S$18:$S$23))*Tabla22[[#This Row],[Req.]],0)</f>
        <v>23852</v>
      </c>
      <c r="N212" s="73">
        <f>IF(Tabla22[[#This Row],[Req.2]]&gt;0,(Tabla22[[#This Row],[Base price2]]-LOOKUP(Tabla22[[#This Row],[Product2]],$R$18:$R$23,$S$18:$S$23))*Tabla22[[#This Row],[Req.2]],0)</f>
        <v>-349</v>
      </c>
      <c r="O212" s="73">
        <f>SUM(Tabla22[[#This Row],[Bonus1]:[p2]])</f>
        <v>68860.430800000002</v>
      </c>
      <c r="P212" s="73">
        <f>IF(Tabla22[[#This Row],[QualityBonus]]&gt;0,Tabla22[[#This Row],[No wages]]-$C$4,"")</f>
        <v>20998.146561557776</v>
      </c>
    </row>
    <row r="213" spans="1:16" x14ac:dyDescent="0.25">
      <c r="A213" s="13">
        <v>197</v>
      </c>
      <c r="B213" s="13" t="s">
        <v>13</v>
      </c>
      <c r="C213" s="66">
        <v>1.77E-2</v>
      </c>
      <c r="D213" s="2" t="s">
        <v>53</v>
      </c>
      <c r="E213" s="73">
        <v>40725</v>
      </c>
      <c r="F213" s="5">
        <v>4</v>
      </c>
      <c r="G213" s="2"/>
      <c r="H213" s="73"/>
      <c r="I213" s="5"/>
      <c r="J213" s="74">
        <f>Tabla22[[#This Row],[Base price1]]*Tabla22[[#This Row],[Req.]]+Tabla22[[#This Row],[Base price2]]*Tabla22[[#This Row],[Req.2]]</f>
        <v>162900</v>
      </c>
      <c r="K213" s="73">
        <f>IFERROR(LOOKUP(Tabla22[[#This Row],[Product]],$R$18:$R$23,$T$18:$T$23)*Tabla22[[#This Row],[QualityBonus]]*Tabla22[[#This Row],[Base price1]]*Tabla22[[#This Row],[Req.]],0)</f>
        <v>11533.32</v>
      </c>
      <c r="L213" s="73">
        <f>IF(Tabla22[[#This Row],[Req.2]]&gt;0,LOOKUP(Tabla22[[#This Row],[Product2]],$R$18:$R$23,$T$18:$T$23)*Tabla22[[#This Row],[Base price2]]*Tabla22[[#This Row],[Req.2]]*Tabla22[[#This Row],[QualityBonus]],0)</f>
        <v>0</v>
      </c>
      <c r="M213" s="73">
        <f>IFERROR((Tabla22[[#This Row],[Base price1]]-LOOKUP(Tabla22[[#This Row],[Product]],$R$18:$R$23,$S$18:$S$23))*Tabla22[[#This Row],[Req.]],0)</f>
        <v>26900</v>
      </c>
      <c r="N213" s="73">
        <f>IF(Tabla22[[#This Row],[Req.2]]&gt;0,(Tabla22[[#This Row],[Base price2]]-LOOKUP(Tabla22[[#This Row],[Product2]],$R$18:$R$23,$S$18:$S$23))*Tabla22[[#This Row],[Req.2]],0)</f>
        <v>0</v>
      </c>
      <c r="O213" s="73">
        <f>SUM(Tabla22[[#This Row],[Bonus1]:[p2]])</f>
        <v>38433.32</v>
      </c>
      <c r="P213" s="73">
        <f>IF(Tabla22[[#This Row],[QualityBonus]]&gt;0,Tabla22[[#This Row],[No wages]]-$C$4,"")</f>
        <v>-9428.9642384422259</v>
      </c>
    </row>
    <row r="214" spans="1:16" x14ac:dyDescent="0.25">
      <c r="A214" s="13">
        <v>198</v>
      </c>
      <c r="B214" s="13" t="s">
        <v>13</v>
      </c>
      <c r="C214" s="66">
        <v>1.32E-2</v>
      </c>
      <c r="D214" s="2" t="s">
        <v>53</v>
      </c>
      <c r="E214" s="73">
        <v>42533</v>
      </c>
      <c r="F214" s="5">
        <v>2</v>
      </c>
      <c r="G214" s="2"/>
      <c r="H214" s="73"/>
      <c r="I214" s="5"/>
      <c r="J214" s="74">
        <f>Tabla22[[#This Row],[Base price1]]*Tabla22[[#This Row],[Req.]]+Tabla22[[#This Row],[Base price2]]*Tabla22[[#This Row],[Req.2]]</f>
        <v>85066</v>
      </c>
      <c r="K214" s="73">
        <f>IFERROR(LOOKUP(Tabla22[[#This Row],[Product]],$R$18:$R$23,$T$18:$T$23)*Tabla22[[#This Row],[QualityBonus]]*Tabla22[[#This Row],[Base price1]]*Tabla22[[#This Row],[Req.]],0)</f>
        <v>4491.4848000000002</v>
      </c>
      <c r="L214" s="73">
        <f>IF(Tabla22[[#This Row],[Req.2]]&gt;0,LOOKUP(Tabla22[[#This Row],[Product2]],$R$18:$R$23,$T$18:$T$23)*Tabla22[[#This Row],[Base price2]]*Tabla22[[#This Row],[Req.2]]*Tabla22[[#This Row],[QualityBonus]],0)</f>
        <v>0</v>
      </c>
      <c r="M214" s="73">
        <f>IFERROR((Tabla22[[#This Row],[Base price1]]-LOOKUP(Tabla22[[#This Row],[Product]],$R$18:$R$23,$S$18:$S$23))*Tabla22[[#This Row],[Req.]],0)</f>
        <v>17066</v>
      </c>
      <c r="N214" s="73">
        <f>IF(Tabla22[[#This Row],[Req.2]]&gt;0,(Tabla22[[#This Row],[Base price2]]-LOOKUP(Tabla22[[#This Row],[Product2]],$R$18:$R$23,$S$18:$S$23))*Tabla22[[#This Row],[Req.2]],0)</f>
        <v>0</v>
      </c>
      <c r="O214" s="73">
        <f>SUM(Tabla22[[#This Row],[Bonus1]:[p2]])</f>
        <v>21557.484799999998</v>
      </c>
      <c r="P214" s="73">
        <f>IF(Tabla22[[#This Row],[QualityBonus]]&gt;0,Tabla22[[#This Row],[No wages]]-$C$4,"")</f>
        <v>-26304.799438442227</v>
      </c>
    </row>
    <row r="215" spans="1:16" x14ac:dyDescent="0.25">
      <c r="A215" s="13">
        <v>199</v>
      </c>
      <c r="B215" s="13" t="s">
        <v>13</v>
      </c>
      <c r="C215" s="66">
        <v>2.8299999999999999E-2</v>
      </c>
      <c r="D215" s="2" t="s">
        <v>53</v>
      </c>
      <c r="E215" s="73">
        <v>42021</v>
      </c>
      <c r="F215" s="5">
        <v>3</v>
      </c>
      <c r="G215" s="2" t="s">
        <v>57</v>
      </c>
      <c r="H215" s="73">
        <v>84088</v>
      </c>
      <c r="I215" s="5">
        <v>2</v>
      </c>
      <c r="J215" s="74">
        <f>Tabla22[[#This Row],[Base price1]]*Tabla22[[#This Row],[Req.]]+Tabla22[[#This Row],[Base price2]]*Tabla22[[#This Row],[Req.2]]</f>
        <v>294239</v>
      </c>
      <c r="K215" s="73">
        <f>IFERROR(LOOKUP(Tabla22[[#This Row],[Product]],$R$18:$R$23,$T$18:$T$23)*Tabla22[[#This Row],[QualityBonus]]*Tabla22[[#This Row],[Base price1]]*Tabla22[[#This Row],[Req.]],0)</f>
        <v>14270.331599999998</v>
      </c>
      <c r="L215" s="73">
        <f>IF(Tabla22[[#This Row],[Req.2]]&gt;0,LOOKUP(Tabla22[[#This Row],[Product2]],$R$18:$R$23,$T$18:$T$23)*Tabla22[[#This Row],[Base price2]]*Tabla22[[#This Row],[Req.2]]*Tabla22[[#This Row],[QualityBonus]],0)</f>
        <v>19037.5232</v>
      </c>
      <c r="M215" s="73">
        <f>IFERROR((Tabla22[[#This Row],[Base price1]]-LOOKUP(Tabla22[[#This Row],[Product]],$R$18:$R$23,$S$18:$S$23))*Tabla22[[#This Row],[Req.]],0)</f>
        <v>24063</v>
      </c>
      <c r="N215" s="73">
        <f>IF(Tabla22[[#This Row],[Req.2]]&gt;0,(Tabla22[[#This Row],[Base price2]]-LOOKUP(Tabla22[[#This Row],[Product2]],$R$18:$R$23,$S$18:$S$23))*Tabla22[[#This Row],[Req.2]],0)</f>
        <v>14176</v>
      </c>
      <c r="O215" s="73">
        <f>SUM(Tabla22[[#This Row],[Bonus1]:[p2]])</f>
        <v>71546.854800000001</v>
      </c>
      <c r="P215" s="73">
        <f>IF(Tabla22[[#This Row],[QualityBonus]]&gt;0,Tabla22[[#This Row],[No wages]]-$C$4,"")</f>
        <v>23684.570561557775</v>
      </c>
    </row>
    <row r="216" spans="1:16" x14ac:dyDescent="0.25">
      <c r="A216" s="13">
        <v>200</v>
      </c>
      <c r="B216" s="13" t="s">
        <v>13</v>
      </c>
      <c r="C216" s="66">
        <v>2.1700000000000001E-2</v>
      </c>
      <c r="D216" s="2" t="s">
        <v>54</v>
      </c>
      <c r="E216" s="73">
        <v>62654</v>
      </c>
      <c r="F216" s="5">
        <v>1</v>
      </c>
      <c r="G216" s="2" t="s">
        <v>57</v>
      </c>
      <c r="H216" s="73">
        <v>85970</v>
      </c>
      <c r="I216" s="5">
        <v>1</v>
      </c>
      <c r="J216" s="74">
        <f>Tabla22[[#This Row],[Base price1]]*Tabla22[[#This Row],[Req.]]+Tabla22[[#This Row],[Base price2]]*Tabla22[[#This Row],[Req.2]]</f>
        <v>148624</v>
      </c>
      <c r="K216" s="73">
        <f>IFERROR(LOOKUP(Tabla22[[#This Row],[Product]],$R$18:$R$23,$T$18:$T$23)*Tabla22[[#This Row],[QualityBonus]]*Tabla22[[#This Row],[Base price1]]*Tabla22[[#This Row],[Req.]],0)</f>
        <v>6797.9589999999998</v>
      </c>
      <c r="L216" s="73">
        <f>IF(Tabla22[[#This Row],[Req.2]]&gt;0,LOOKUP(Tabla22[[#This Row],[Product2]],$R$18:$R$23,$T$18:$T$23)*Tabla22[[#This Row],[Base price2]]*Tabla22[[#This Row],[Req.2]]*Tabla22[[#This Row],[QualityBonus]],0)</f>
        <v>7462.1959999999999</v>
      </c>
      <c r="M216" s="73">
        <f>IFERROR((Tabla22[[#This Row],[Base price1]]-LOOKUP(Tabla22[[#This Row],[Product]],$R$18:$R$23,$S$18:$S$23))*Tabla22[[#This Row],[Req.]],0)</f>
        <v>6154</v>
      </c>
      <c r="N216" s="73">
        <f>IF(Tabla22[[#This Row],[Req.2]]&gt;0,(Tabla22[[#This Row],[Base price2]]-LOOKUP(Tabla22[[#This Row],[Product2]],$R$18:$R$23,$S$18:$S$23))*Tabla22[[#This Row],[Req.2]],0)</f>
        <v>8970</v>
      </c>
      <c r="O216" s="73">
        <f>SUM(Tabla22[[#This Row],[Bonus1]:[p2]])</f>
        <v>29384.154999999999</v>
      </c>
      <c r="P216" s="73">
        <f>IF(Tabla22[[#This Row],[QualityBonus]]&gt;0,Tabla22[[#This Row],[No wages]]-$C$4,"")</f>
        <v>-18478.129238442227</v>
      </c>
    </row>
    <row r="217" spans="1:16" x14ac:dyDescent="0.25">
      <c r="A217" s="13">
        <v>201</v>
      </c>
      <c r="B217" s="13" t="s">
        <v>13</v>
      </c>
      <c r="C217" s="66">
        <v>1.46E-2</v>
      </c>
      <c r="D217" s="2" t="s">
        <v>54</v>
      </c>
      <c r="E217" s="73">
        <v>59785</v>
      </c>
      <c r="F217" s="5">
        <v>1</v>
      </c>
      <c r="G217" s="2" t="s">
        <v>53</v>
      </c>
      <c r="H217" s="73">
        <v>41263</v>
      </c>
      <c r="I217" s="5">
        <v>3</v>
      </c>
      <c r="J217" s="74">
        <f>Tabla22[[#This Row],[Base price1]]*Tabla22[[#This Row],[Req.]]+Tabla22[[#This Row],[Base price2]]*Tabla22[[#This Row],[Req.2]]</f>
        <v>183574</v>
      </c>
      <c r="K217" s="73">
        <f>IFERROR(LOOKUP(Tabla22[[#This Row],[Product]],$R$18:$R$23,$T$18:$T$23)*Tabla22[[#This Row],[QualityBonus]]*Tabla22[[#This Row],[Base price1]]*Tabla22[[#This Row],[Req.]],0)</f>
        <v>4364.3049999999994</v>
      </c>
      <c r="L217" s="73">
        <f>IF(Tabla22[[#This Row],[Req.2]]&gt;0,LOOKUP(Tabla22[[#This Row],[Product2]],$R$18:$R$23,$T$18:$T$23)*Tabla22[[#This Row],[Base price2]]*Tabla22[[#This Row],[Req.2]]*Tabla22[[#This Row],[QualityBonus]],0)</f>
        <v>7229.2776000000003</v>
      </c>
      <c r="M217" s="73">
        <f>IFERROR((Tabla22[[#This Row],[Base price1]]-LOOKUP(Tabla22[[#This Row],[Product]],$R$18:$R$23,$S$18:$S$23))*Tabla22[[#This Row],[Req.]],0)</f>
        <v>3285</v>
      </c>
      <c r="N217" s="73">
        <f>IF(Tabla22[[#This Row],[Req.2]]&gt;0,(Tabla22[[#This Row],[Base price2]]-LOOKUP(Tabla22[[#This Row],[Product2]],$R$18:$R$23,$S$18:$S$23))*Tabla22[[#This Row],[Req.2]],0)</f>
        <v>21789</v>
      </c>
      <c r="O217" s="73">
        <f>SUM(Tabla22[[#This Row],[Bonus1]:[p2]])</f>
        <v>36667.582600000002</v>
      </c>
      <c r="P217" s="73">
        <f>IF(Tabla22[[#This Row],[QualityBonus]]&gt;0,Tabla22[[#This Row],[No wages]]-$C$4,"")</f>
        <v>-11194.701638442224</v>
      </c>
    </row>
    <row r="218" spans="1:16" x14ac:dyDescent="0.25">
      <c r="A218" s="13">
        <v>202</v>
      </c>
      <c r="B218" s="13" t="s">
        <v>13</v>
      </c>
      <c r="C218" s="66">
        <v>1.4800000000000001E-2</v>
      </c>
      <c r="D218" s="2" t="s">
        <v>53</v>
      </c>
      <c r="E218" s="73">
        <v>40812</v>
      </c>
      <c r="F218" s="5">
        <v>4</v>
      </c>
      <c r="G218" s="2"/>
      <c r="H218" s="73"/>
      <c r="I218" s="5"/>
      <c r="J218" s="74">
        <f>Tabla22[[#This Row],[Base price1]]*Tabla22[[#This Row],[Req.]]+Tabla22[[#This Row],[Base price2]]*Tabla22[[#This Row],[Req.2]]</f>
        <v>163248</v>
      </c>
      <c r="K218" s="73">
        <f>IFERROR(LOOKUP(Tabla22[[#This Row],[Product]],$R$18:$R$23,$T$18:$T$23)*Tabla22[[#This Row],[QualityBonus]]*Tabla22[[#This Row],[Base price1]]*Tabla22[[#This Row],[Req.]],0)</f>
        <v>9664.2816000000003</v>
      </c>
      <c r="L218" s="73">
        <f>IF(Tabla22[[#This Row],[Req.2]]&gt;0,LOOKUP(Tabla22[[#This Row],[Product2]],$R$18:$R$23,$T$18:$T$23)*Tabla22[[#This Row],[Base price2]]*Tabla22[[#This Row],[Req.2]]*Tabla22[[#This Row],[QualityBonus]],0)</f>
        <v>0</v>
      </c>
      <c r="M218" s="73">
        <f>IFERROR((Tabla22[[#This Row],[Base price1]]-LOOKUP(Tabla22[[#This Row],[Product]],$R$18:$R$23,$S$18:$S$23))*Tabla22[[#This Row],[Req.]],0)</f>
        <v>27248</v>
      </c>
      <c r="N218" s="73">
        <f>IF(Tabla22[[#This Row],[Req.2]]&gt;0,(Tabla22[[#This Row],[Base price2]]-LOOKUP(Tabla22[[#This Row],[Product2]],$R$18:$R$23,$S$18:$S$23))*Tabla22[[#This Row],[Req.2]],0)</f>
        <v>0</v>
      </c>
      <c r="O218" s="73">
        <f>SUM(Tabla22[[#This Row],[Bonus1]:[p2]])</f>
        <v>36912.281600000002</v>
      </c>
      <c r="P218" s="73">
        <f>IF(Tabla22[[#This Row],[QualityBonus]]&gt;0,Tabla22[[#This Row],[No wages]]-$C$4,"")</f>
        <v>-10950.002638442224</v>
      </c>
    </row>
    <row r="219" spans="1:16" x14ac:dyDescent="0.25">
      <c r="A219" s="13">
        <v>203</v>
      </c>
      <c r="B219" s="13" t="s">
        <v>13</v>
      </c>
      <c r="C219" s="66">
        <v>2.9100000000000001E-2</v>
      </c>
      <c r="D219" s="2" t="s">
        <v>27</v>
      </c>
      <c r="E219" s="73">
        <v>821381</v>
      </c>
      <c r="F219" s="5">
        <v>1</v>
      </c>
      <c r="G219" s="2" t="s">
        <v>57</v>
      </c>
      <c r="H219" s="73">
        <v>86549</v>
      </c>
      <c r="I219" s="5">
        <v>4</v>
      </c>
      <c r="J219" s="74">
        <f>Tabla22[[#This Row],[Base price1]]*Tabla22[[#This Row],[Req.]]+Tabla22[[#This Row],[Base price2]]*Tabla22[[#This Row],[Req.2]]</f>
        <v>1167577</v>
      </c>
      <c r="K219" s="73">
        <f>IFERROR(LOOKUP(Tabla22[[#This Row],[Product]],$R$18:$R$23,$T$18:$T$23)*Tabla22[[#This Row],[QualityBonus]]*Tabla22[[#This Row],[Base price1]]*Tabla22[[#This Row],[Req.]],0)</f>
        <v>143413.1226</v>
      </c>
      <c r="L219" s="73">
        <f>IF(Tabla22[[#This Row],[Req.2]]&gt;0,LOOKUP(Tabla22[[#This Row],[Product2]],$R$18:$R$23,$T$18:$T$23)*Tabla22[[#This Row],[Base price2]]*Tabla22[[#This Row],[Req.2]]*Tabla22[[#This Row],[QualityBonus]],0)</f>
        <v>40297.214400000004</v>
      </c>
      <c r="M219" s="73">
        <f>IFERROR((Tabla22[[#This Row],[Base price1]]-LOOKUP(Tabla22[[#This Row],[Product]],$R$18:$R$23,$S$18:$S$23))*Tabla22[[#This Row],[Req.]],0)</f>
        <v>-17619</v>
      </c>
      <c r="N219" s="73">
        <f>IF(Tabla22[[#This Row],[Req.2]]&gt;0,(Tabla22[[#This Row],[Base price2]]-LOOKUP(Tabla22[[#This Row],[Product2]],$R$18:$R$23,$S$18:$S$23))*Tabla22[[#This Row],[Req.2]],0)</f>
        <v>38196</v>
      </c>
      <c r="O219" s="73">
        <f>SUM(Tabla22[[#This Row],[Bonus1]:[p2]])</f>
        <v>204287.337</v>
      </c>
      <c r="P219" s="73">
        <f>IF(Tabla22[[#This Row],[QualityBonus]]&gt;0,Tabla22[[#This Row],[No wages]]-$C$4,"")</f>
        <v>156425.05276155777</v>
      </c>
    </row>
    <row r="220" spans="1:16" x14ac:dyDescent="0.25">
      <c r="A220" s="13">
        <v>204</v>
      </c>
      <c r="B220" s="13" t="s">
        <v>13</v>
      </c>
      <c r="C220" s="66">
        <v>1.2200000000000001E-2</v>
      </c>
      <c r="D220" s="2" t="s">
        <v>55</v>
      </c>
      <c r="E220" s="73">
        <v>83554</v>
      </c>
      <c r="F220" s="5">
        <v>4</v>
      </c>
      <c r="G220" s="2"/>
      <c r="H220" s="73"/>
      <c r="I220" s="5"/>
      <c r="J220" s="74">
        <f>Tabla22[[#This Row],[Base price1]]*Tabla22[[#This Row],[Req.]]+Tabla22[[#This Row],[Base price2]]*Tabla22[[#This Row],[Req.2]]</f>
        <v>334216</v>
      </c>
      <c r="K220" s="73">
        <f>IFERROR(LOOKUP(Tabla22[[#This Row],[Product]],$R$18:$R$23,$T$18:$T$23)*Tabla22[[#This Row],[QualityBonus]]*Tabla22[[#This Row],[Base price1]]*Tabla22[[#This Row],[Req.]],0)</f>
        <v>16309.740800000001</v>
      </c>
      <c r="L220" s="73">
        <f>IF(Tabla22[[#This Row],[Req.2]]&gt;0,LOOKUP(Tabla22[[#This Row],[Product2]],$R$18:$R$23,$T$18:$T$23)*Tabla22[[#This Row],[Base price2]]*Tabla22[[#This Row],[Req.2]]*Tabla22[[#This Row],[QualityBonus]],0)</f>
        <v>0</v>
      </c>
      <c r="M220" s="73">
        <f>IFERROR((Tabla22[[#This Row],[Base price1]]-LOOKUP(Tabla22[[#This Row],[Product]],$R$18:$R$23,$S$18:$S$23))*Tabla22[[#This Row],[Req.]],0)</f>
        <v>26216</v>
      </c>
      <c r="N220" s="73">
        <f>IF(Tabla22[[#This Row],[Req.2]]&gt;0,(Tabla22[[#This Row],[Base price2]]-LOOKUP(Tabla22[[#This Row],[Product2]],$R$18:$R$23,$S$18:$S$23))*Tabla22[[#This Row],[Req.2]],0)</f>
        <v>0</v>
      </c>
      <c r="O220" s="73">
        <f>SUM(Tabla22[[#This Row],[Bonus1]:[p2]])</f>
        <v>42525.7408</v>
      </c>
      <c r="P220" s="73">
        <f>IF(Tabla22[[#This Row],[QualityBonus]]&gt;0,Tabla22[[#This Row],[No wages]]-$C$4,"")</f>
        <v>-5336.543438442226</v>
      </c>
    </row>
    <row r="221" spans="1:16" x14ac:dyDescent="0.25">
      <c r="A221" s="13">
        <v>205</v>
      </c>
      <c r="B221" s="13" t="s">
        <v>13</v>
      </c>
      <c r="C221" s="66">
        <v>1.6899999999999998E-2</v>
      </c>
      <c r="D221" s="2" t="s">
        <v>53</v>
      </c>
      <c r="E221" s="73">
        <v>41146</v>
      </c>
      <c r="F221" s="5">
        <v>5</v>
      </c>
      <c r="G221" s="2" t="s">
        <v>57</v>
      </c>
      <c r="H221" s="73">
        <v>87290</v>
      </c>
      <c r="I221" s="5">
        <v>4</v>
      </c>
      <c r="J221" s="74">
        <f>Tabla22[[#This Row],[Base price1]]*Tabla22[[#This Row],[Req.]]+Tabla22[[#This Row],[Base price2]]*Tabla22[[#This Row],[Req.2]]</f>
        <v>554890</v>
      </c>
      <c r="K221" s="73">
        <f>IFERROR(LOOKUP(Tabla22[[#This Row],[Product]],$R$18:$R$23,$T$18:$T$23)*Tabla22[[#This Row],[QualityBonus]]*Tabla22[[#This Row],[Base price1]]*Tabla22[[#This Row],[Req.]],0)</f>
        <v>13907.348</v>
      </c>
      <c r="L221" s="73">
        <f>IF(Tabla22[[#This Row],[Req.2]]&gt;0,LOOKUP(Tabla22[[#This Row],[Product2]],$R$18:$R$23,$T$18:$T$23)*Tabla22[[#This Row],[Base price2]]*Tabla22[[#This Row],[Req.2]]*Tabla22[[#This Row],[QualityBonus]],0)</f>
        <v>23603.215999999997</v>
      </c>
      <c r="M221" s="73">
        <f>IFERROR((Tabla22[[#This Row],[Base price1]]-LOOKUP(Tabla22[[#This Row],[Product]],$R$18:$R$23,$S$18:$S$23))*Tabla22[[#This Row],[Req.]],0)</f>
        <v>35730</v>
      </c>
      <c r="N221" s="73">
        <f>IF(Tabla22[[#This Row],[Req.2]]&gt;0,(Tabla22[[#This Row],[Base price2]]-LOOKUP(Tabla22[[#This Row],[Product2]],$R$18:$R$23,$S$18:$S$23))*Tabla22[[#This Row],[Req.2]],0)</f>
        <v>41160</v>
      </c>
      <c r="O221" s="73">
        <f>SUM(Tabla22[[#This Row],[Bonus1]:[p2]])</f>
        <v>114400.564</v>
      </c>
      <c r="P221" s="73">
        <f>IF(Tabla22[[#This Row],[QualityBonus]]&gt;0,Tabla22[[#This Row],[No wages]]-$C$4,"")</f>
        <v>66538.279761557773</v>
      </c>
    </row>
    <row r="222" spans="1:16" x14ac:dyDescent="0.25">
      <c r="A222" s="13">
        <v>206</v>
      </c>
      <c r="B222" s="13" t="s">
        <v>13</v>
      </c>
      <c r="C222" s="66">
        <v>1.61E-2</v>
      </c>
      <c r="D222" s="2" t="s">
        <v>54</v>
      </c>
      <c r="E222" s="73">
        <v>62700</v>
      </c>
      <c r="F222" s="5">
        <v>3</v>
      </c>
      <c r="G222" s="2" t="s">
        <v>53</v>
      </c>
      <c r="H222" s="73">
        <v>40409</v>
      </c>
      <c r="I222" s="5">
        <v>3</v>
      </c>
      <c r="J222" s="74">
        <f>Tabla22[[#This Row],[Base price1]]*Tabla22[[#This Row],[Req.]]+Tabla22[[#This Row],[Base price2]]*Tabla22[[#This Row],[Req.2]]</f>
        <v>309327</v>
      </c>
      <c r="K222" s="73">
        <f>IFERROR(LOOKUP(Tabla22[[#This Row],[Product]],$R$18:$R$23,$T$18:$T$23)*Tabla22[[#This Row],[QualityBonus]]*Tabla22[[#This Row],[Base price1]]*Tabla22[[#This Row],[Req.]],0)</f>
        <v>15142.050000000001</v>
      </c>
      <c r="L222" s="73">
        <f>IF(Tabla22[[#This Row],[Req.2]]&gt;0,LOOKUP(Tabla22[[#This Row],[Product2]],$R$18:$R$23,$T$18:$T$23)*Tabla22[[#This Row],[Base price2]]*Tabla22[[#This Row],[Req.2]]*Tabla22[[#This Row],[QualityBonus]],0)</f>
        <v>7807.0187999999998</v>
      </c>
      <c r="M222" s="73">
        <f>IFERROR((Tabla22[[#This Row],[Base price1]]-LOOKUP(Tabla22[[#This Row],[Product]],$R$18:$R$23,$S$18:$S$23))*Tabla22[[#This Row],[Req.]],0)</f>
        <v>18600</v>
      </c>
      <c r="N222" s="73">
        <f>IF(Tabla22[[#This Row],[Req.2]]&gt;0,(Tabla22[[#This Row],[Base price2]]-LOOKUP(Tabla22[[#This Row],[Product2]],$R$18:$R$23,$S$18:$S$23))*Tabla22[[#This Row],[Req.2]],0)</f>
        <v>19227</v>
      </c>
      <c r="O222" s="73">
        <f>SUM(Tabla22[[#This Row],[Bonus1]:[p2]])</f>
        <v>60776.068800000001</v>
      </c>
      <c r="P222" s="73">
        <f>IF(Tabla22[[#This Row],[QualityBonus]]&gt;0,Tabla22[[#This Row],[No wages]]-$C$4,"")</f>
        <v>12913.784561557775</v>
      </c>
    </row>
    <row r="223" spans="1:16" x14ac:dyDescent="0.25">
      <c r="A223" s="13">
        <v>207</v>
      </c>
      <c r="B223" s="13" t="s">
        <v>13</v>
      </c>
      <c r="C223" s="66">
        <v>2.23E-2</v>
      </c>
      <c r="D223" s="2" t="s">
        <v>54</v>
      </c>
      <c r="E223" s="73">
        <v>59521</v>
      </c>
      <c r="F223" s="5">
        <v>2</v>
      </c>
      <c r="G223" s="2" t="s">
        <v>54</v>
      </c>
      <c r="H223" s="73">
        <v>59521</v>
      </c>
      <c r="I223" s="5">
        <v>4</v>
      </c>
      <c r="J223" s="74">
        <f>Tabla22[[#This Row],[Base price1]]*Tabla22[[#This Row],[Req.]]+Tabla22[[#This Row],[Base price2]]*Tabla22[[#This Row],[Req.2]]</f>
        <v>357126</v>
      </c>
      <c r="K223" s="73">
        <f>IFERROR(LOOKUP(Tabla22[[#This Row],[Product]],$R$18:$R$23,$T$18:$T$23)*Tabla22[[#This Row],[QualityBonus]]*Tabla22[[#This Row],[Base price1]]*Tabla22[[#This Row],[Req.]],0)</f>
        <v>13273.183000000001</v>
      </c>
      <c r="L223" s="73">
        <f>IF(Tabla22[[#This Row],[Req.2]]&gt;0,LOOKUP(Tabla22[[#This Row],[Product2]],$R$18:$R$23,$T$18:$T$23)*Tabla22[[#This Row],[Base price2]]*Tabla22[[#This Row],[Req.2]]*Tabla22[[#This Row],[QualityBonus]],0)</f>
        <v>26546.366000000002</v>
      </c>
      <c r="M223" s="73">
        <f>IFERROR((Tabla22[[#This Row],[Base price1]]-LOOKUP(Tabla22[[#This Row],[Product]],$R$18:$R$23,$S$18:$S$23))*Tabla22[[#This Row],[Req.]],0)</f>
        <v>6042</v>
      </c>
      <c r="N223" s="73">
        <f>IF(Tabla22[[#This Row],[Req.2]]&gt;0,(Tabla22[[#This Row],[Base price2]]-LOOKUP(Tabla22[[#This Row],[Product2]],$R$18:$R$23,$S$18:$S$23))*Tabla22[[#This Row],[Req.2]],0)</f>
        <v>12084</v>
      </c>
      <c r="O223" s="73">
        <f>SUM(Tabla22[[#This Row],[Bonus1]:[p2]])</f>
        <v>57945.548999999999</v>
      </c>
      <c r="P223" s="73">
        <f>IF(Tabla22[[#This Row],[QualityBonus]]&gt;0,Tabla22[[#This Row],[No wages]]-$C$4,"")</f>
        <v>10083.264761557773</v>
      </c>
    </row>
    <row r="224" spans="1:16" x14ac:dyDescent="0.25">
      <c r="A224" s="13">
        <v>208</v>
      </c>
      <c r="B224" s="13" t="s">
        <v>13</v>
      </c>
      <c r="C224" s="66">
        <v>1.89E-2</v>
      </c>
      <c r="D224" s="2" t="s">
        <v>55</v>
      </c>
      <c r="E224" s="73">
        <v>85978</v>
      </c>
      <c r="F224" s="5">
        <v>3</v>
      </c>
      <c r="G224" s="2"/>
      <c r="H224" s="73"/>
      <c r="I224" s="5"/>
      <c r="J224" s="74">
        <f>Tabla22[[#This Row],[Base price1]]*Tabla22[[#This Row],[Req.]]+Tabla22[[#This Row],[Base price2]]*Tabla22[[#This Row],[Req.2]]</f>
        <v>257934</v>
      </c>
      <c r="K224" s="73">
        <f>IFERROR(LOOKUP(Tabla22[[#This Row],[Product]],$R$18:$R$23,$T$18:$T$23)*Tabla22[[#This Row],[QualityBonus]]*Tabla22[[#This Row],[Base price1]]*Tabla22[[#This Row],[Req.]],0)</f>
        <v>19499.810400000002</v>
      </c>
      <c r="L224" s="73">
        <f>IF(Tabla22[[#This Row],[Req.2]]&gt;0,LOOKUP(Tabla22[[#This Row],[Product2]],$R$18:$R$23,$T$18:$T$23)*Tabla22[[#This Row],[Base price2]]*Tabla22[[#This Row],[Req.2]]*Tabla22[[#This Row],[QualityBonus]],0)</f>
        <v>0</v>
      </c>
      <c r="M224" s="73">
        <f>IFERROR((Tabla22[[#This Row],[Base price1]]-LOOKUP(Tabla22[[#This Row],[Product]],$R$18:$R$23,$S$18:$S$23))*Tabla22[[#This Row],[Req.]],0)</f>
        <v>26934</v>
      </c>
      <c r="N224" s="73">
        <f>IF(Tabla22[[#This Row],[Req.2]]&gt;0,(Tabla22[[#This Row],[Base price2]]-LOOKUP(Tabla22[[#This Row],[Product2]],$R$18:$R$23,$S$18:$S$23))*Tabla22[[#This Row],[Req.2]],0)</f>
        <v>0</v>
      </c>
      <c r="O224" s="73">
        <f>SUM(Tabla22[[#This Row],[Bonus1]:[p2]])</f>
        <v>46433.810400000002</v>
      </c>
      <c r="P224" s="73">
        <f>IF(Tabla22[[#This Row],[QualityBonus]]&gt;0,Tabla22[[#This Row],[No wages]]-$C$4,"")</f>
        <v>-1428.4738384422235</v>
      </c>
    </row>
    <row r="225" spans="1:16" x14ac:dyDescent="0.25">
      <c r="A225" s="13">
        <v>209</v>
      </c>
      <c r="B225" s="13" t="s">
        <v>13</v>
      </c>
      <c r="C225" s="66">
        <v>2.87E-2</v>
      </c>
      <c r="D225" s="2" t="s">
        <v>55</v>
      </c>
      <c r="E225" s="73">
        <v>82253</v>
      </c>
      <c r="F225" s="5">
        <v>4</v>
      </c>
      <c r="G225" s="2"/>
      <c r="H225" s="73"/>
      <c r="I225" s="5"/>
      <c r="J225" s="74">
        <f>Tabla22[[#This Row],[Base price1]]*Tabla22[[#This Row],[Req.]]+Tabla22[[#This Row],[Base price2]]*Tabla22[[#This Row],[Req.2]]</f>
        <v>329012</v>
      </c>
      <c r="K225" s="73">
        <f>IFERROR(LOOKUP(Tabla22[[#This Row],[Product]],$R$18:$R$23,$T$18:$T$23)*Tabla22[[#This Row],[QualityBonus]]*Tabla22[[#This Row],[Base price1]]*Tabla22[[#This Row],[Req.]],0)</f>
        <v>37770.577599999997</v>
      </c>
      <c r="L225" s="73">
        <f>IF(Tabla22[[#This Row],[Req.2]]&gt;0,LOOKUP(Tabla22[[#This Row],[Product2]],$R$18:$R$23,$T$18:$T$23)*Tabla22[[#This Row],[Base price2]]*Tabla22[[#This Row],[Req.2]]*Tabla22[[#This Row],[QualityBonus]],0)</f>
        <v>0</v>
      </c>
      <c r="M225" s="73">
        <f>IFERROR((Tabla22[[#This Row],[Base price1]]-LOOKUP(Tabla22[[#This Row],[Product]],$R$18:$R$23,$S$18:$S$23))*Tabla22[[#This Row],[Req.]],0)</f>
        <v>21012</v>
      </c>
      <c r="N225" s="73">
        <f>IF(Tabla22[[#This Row],[Req.2]]&gt;0,(Tabla22[[#This Row],[Base price2]]-LOOKUP(Tabla22[[#This Row],[Product2]],$R$18:$R$23,$S$18:$S$23))*Tabla22[[#This Row],[Req.2]],0)</f>
        <v>0</v>
      </c>
      <c r="O225" s="73">
        <f>SUM(Tabla22[[#This Row],[Bonus1]:[p2]])</f>
        <v>58782.577599999997</v>
      </c>
      <c r="P225" s="73">
        <f>IF(Tabla22[[#This Row],[QualityBonus]]&gt;0,Tabla22[[#This Row],[No wages]]-$C$4,"")</f>
        <v>10920.293361557771</v>
      </c>
    </row>
    <row r="226" spans="1:16" x14ac:dyDescent="0.25">
      <c r="A226" s="13">
        <v>210</v>
      </c>
      <c r="B226" s="13" t="s">
        <v>13</v>
      </c>
      <c r="C226" s="66">
        <v>2.9100000000000001E-2</v>
      </c>
      <c r="D226" s="2" t="s">
        <v>55</v>
      </c>
      <c r="E226" s="73">
        <v>84059</v>
      </c>
      <c r="F226" s="5">
        <v>4</v>
      </c>
      <c r="G226" s="2" t="s">
        <v>56</v>
      </c>
      <c r="H226" s="73">
        <v>222534</v>
      </c>
      <c r="I226" s="5">
        <v>1</v>
      </c>
      <c r="J226" s="74">
        <f>Tabla22[[#This Row],[Base price1]]*Tabla22[[#This Row],[Req.]]+Tabla22[[#This Row],[Base price2]]*Tabla22[[#This Row],[Req.2]]</f>
        <v>558770</v>
      </c>
      <c r="K226" s="73">
        <f>IFERROR(LOOKUP(Tabla22[[#This Row],[Product]],$R$18:$R$23,$T$18:$T$23)*Tabla22[[#This Row],[QualityBonus]]*Tabla22[[#This Row],[Base price1]]*Tabla22[[#This Row],[Req.]],0)</f>
        <v>39137.8704</v>
      </c>
      <c r="L226" s="73">
        <f>IF(Tabla22[[#This Row],[Req.2]]&gt;0,LOOKUP(Tabla22[[#This Row],[Product2]],$R$18:$R$23,$T$18:$T$23)*Tabla22[[#This Row],[Base price2]]*Tabla22[[#This Row],[Req.2]]*Tabla22[[#This Row],[QualityBonus]],0)</f>
        <v>19427.218199999999</v>
      </c>
      <c r="M226" s="73">
        <f>IFERROR((Tabla22[[#This Row],[Base price1]]-LOOKUP(Tabla22[[#This Row],[Product]],$R$18:$R$23,$S$18:$S$23))*Tabla22[[#This Row],[Req.]],0)</f>
        <v>28236</v>
      </c>
      <c r="N226" s="73">
        <f>IF(Tabla22[[#This Row],[Req.2]]&gt;0,(Tabla22[[#This Row],[Base price2]]-LOOKUP(Tabla22[[#This Row],[Product2]],$R$18:$R$23,$S$18:$S$23))*Tabla22[[#This Row],[Req.2]],0)</f>
        <v>1534</v>
      </c>
      <c r="O226" s="73">
        <f>SUM(Tabla22[[#This Row],[Bonus1]:[p2]])</f>
        <v>88335.088600000003</v>
      </c>
      <c r="P226" s="73">
        <f>IF(Tabla22[[#This Row],[QualityBonus]]&gt;0,Tabla22[[#This Row],[No wages]]-$C$4,"")</f>
        <v>40472.804361557777</v>
      </c>
    </row>
    <row r="227" spans="1:16" x14ac:dyDescent="0.25">
      <c r="A227" s="13">
        <v>211</v>
      </c>
      <c r="B227" s="13" t="s">
        <v>13</v>
      </c>
      <c r="C227" s="66">
        <v>1.6899999999999998E-2</v>
      </c>
      <c r="D227" s="2" t="s">
        <v>53</v>
      </c>
      <c r="E227" s="73">
        <v>41145</v>
      </c>
      <c r="F227" s="5">
        <v>5</v>
      </c>
      <c r="G227" s="2" t="s">
        <v>57</v>
      </c>
      <c r="H227" s="73">
        <v>87289</v>
      </c>
      <c r="I227" s="5">
        <v>4</v>
      </c>
      <c r="J227" s="74">
        <f>Tabla22[[#This Row],[Base price1]]*Tabla22[[#This Row],[Req.]]+Tabla22[[#This Row],[Base price2]]*Tabla22[[#This Row],[Req.2]]</f>
        <v>554881</v>
      </c>
      <c r="K227" s="73">
        <f>IFERROR(LOOKUP(Tabla22[[#This Row],[Product]],$R$18:$R$23,$T$18:$T$23)*Tabla22[[#This Row],[QualityBonus]]*Tabla22[[#This Row],[Base price1]]*Tabla22[[#This Row],[Req.]],0)</f>
        <v>13907.009999999998</v>
      </c>
      <c r="L227" s="73">
        <f>IF(Tabla22[[#This Row],[Req.2]]&gt;0,LOOKUP(Tabla22[[#This Row],[Product2]],$R$18:$R$23,$T$18:$T$23)*Tabla22[[#This Row],[Base price2]]*Tabla22[[#This Row],[Req.2]]*Tabla22[[#This Row],[QualityBonus]],0)</f>
        <v>23602.945599999999</v>
      </c>
      <c r="M227" s="73">
        <f>IFERROR((Tabla22[[#This Row],[Base price1]]-LOOKUP(Tabla22[[#This Row],[Product]],$R$18:$R$23,$S$18:$S$23))*Tabla22[[#This Row],[Req.]],0)</f>
        <v>35725</v>
      </c>
      <c r="N227" s="73">
        <f>IF(Tabla22[[#This Row],[Req.2]]&gt;0,(Tabla22[[#This Row],[Base price2]]-LOOKUP(Tabla22[[#This Row],[Product2]],$R$18:$R$23,$S$18:$S$23))*Tabla22[[#This Row],[Req.2]],0)</f>
        <v>41156</v>
      </c>
      <c r="O227" s="73">
        <f>SUM(Tabla22[[#This Row],[Bonus1]:[p2]])</f>
        <v>114390.9556</v>
      </c>
      <c r="P227" s="73">
        <f>IF(Tabla22[[#This Row],[QualityBonus]]&gt;0,Tabla22[[#This Row],[No wages]]-$C$4,"")</f>
        <v>66528.671361557776</v>
      </c>
    </row>
    <row r="228" spans="1:16" x14ac:dyDescent="0.25">
      <c r="A228" s="13">
        <v>212</v>
      </c>
      <c r="B228" s="13" t="s">
        <v>13</v>
      </c>
      <c r="C228" s="66">
        <v>1.12E-2</v>
      </c>
      <c r="D228" s="2" t="s">
        <v>53</v>
      </c>
      <c r="E228" s="73">
        <v>42380</v>
      </c>
      <c r="F228" s="5">
        <v>4</v>
      </c>
      <c r="G228" s="2" t="s">
        <v>52</v>
      </c>
      <c r="H228" s="73">
        <v>120747</v>
      </c>
      <c r="I228" s="5">
        <v>4</v>
      </c>
      <c r="J228" s="74">
        <f>Tabla22[[#This Row],[Base price1]]*Tabla22[[#This Row],[Req.]]+Tabla22[[#This Row],[Base price2]]*Tabla22[[#This Row],[Req.2]]</f>
        <v>652508</v>
      </c>
      <c r="K228" s="73">
        <f>IFERROR(LOOKUP(Tabla22[[#This Row],[Product]],$R$18:$R$23,$T$18:$T$23)*Tabla22[[#This Row],[QualityBonus]]*Tabla22[[#This Row],[Base price1]]*Tabla22[[#This Row],[Req.]],0)</f>
        <v>7594.4960000000001</v>
      </c>
      <c r="L228" s="73">
        <f>IF(Tabla22[[#This Row],[Req.2]]&gt;0,LOOKUP(Tabla22[[#This Row],[Product2]],$R$18:$R$23,$T$18:$T$23)*Tabla22[[#This Row],[Base price2]]*Tabla22[[#This Row],[Req.2]]*Tabla22[[#This Row],[QualityBonus]],0)</f>
        <v>32456.793600000001</v>
      </c>
      <c r="M228" s="73">
        <f>IFERROR((Tabla22[[#This Row],[Base price1]]-LOOKUP(Tabla22[[#This Row],[Product]],$R$18:$R$23,$S$18:$S$23))*Tabla22[[#This Row],[Req.]],0)</f>
        <v>33520</v>
      </c>
      <c r="N228" s="73">
        <f>IF(Tabla22[[#This Row],[Req.2]]&gt;0,(Tabla22[[#This Row],[Base price2]]-LOOKUP(Tabla22[[#This Row],[Product2]],$R$18:$R$23,$S$18:$S$23))*Tabla22[[#This Row],[Req.2]],0)</f>
        <v>18988</v>
      </c>
      <c r="O228" s="73">
        <f>SUM(Tabla22[[#This Row],[Bonus1]:[p2]])</f>
        <v>92559.289600000004</v>
      </c>
      <c r="P228" s="73">
        <f>IF(Tabla22[[#This Row],[QualityBonus]]&gt;0,Tabla22[[#This Row],[No wages]]-$C$4,"")</f>
        <v>44697.005361557778</v>
      </c>
    </row>
    <row r="229" spans="1:16" x14ac:dyDescent="0.25">
      <c r="A229" s="13">
        <v>213</v>
      </c>
      <c r="B229" s="13" t="s">
        <v>13</v>
      </c>
      <c r="C229" s="66">
        <v>1.38E-2</v>
      </c>
      <c r="D229" s="2" t="s">
        <v>53</v>
      </c>
      <c r="E229" s="73">
        <v>40999</v>
      </c>
      <c r="F229" s="5">
        <v>4</v>
      </c>
      <c r="G229" s="2"/>
      <c r="H229" s="73"/>
      <c r="I229" s="5"/>
      <c r="J229" s="74">
        <f>Tabla22[[#This Row],[Base price1]]*Tabla22[[#This Row],[Req.]]+Tabla22[[#This Row],[Base price2]]*Tabla22[[#This Row],[Req.2]]</f>
        <v>163996</v>
      </c>
      <c r="K229" s="73">
        <f>IFERROR(LOOKUP(Tabla22[[#This Row],[Product]],$R$18:$R$23,$T$18:$T$23)*Tabla22[[#This Row],[QualityBonus]]*Tabla22[[#This Row],[Base price1]]*Tabla22[[#This Row],[Req.]],0)</f>
        <v>9052.5792000000001</v>
      </c>
      <c r="L229" s="73">
        <f>IF(Tabla22[[#This Row],[Req.2]]&gt;0,LOOKUP(Tabla22[[#This Row],[Product2]],$R$18:$R$23,$T$18:$T$23)*Tabla22[[#This Row],[Base price2]]*Tabla22[[#This Row],[Req.2]]*Tabla22[[#This Row],[QualityBonus]],0)</f>
        <v>0</v>
      </c>
      <c r="M229" s="73">
        <f>IFERROR((Tabla22[[#This Row],[Base price1]]-LOOKUP(Tabla22[[#This Row],[Product]],$R$18:$R$23,$S$18:$S$23))*Tabla22[[#This Row],[Req.]],0)</f>
        <v>27996</v>
      </c>
      <c r="N229" s="73">
        <f>IF(Tabla22[[#This Row],[Req.2]]&gt;0,(Tabla22[[#This Row],[Base price2]]-LOOKUP(Tabla22[[#This Row],[Product2]],$R$18:$R$23,$S$18:$S$23))*Tabla22[[#This Row],[Req.2]],0)</f>
        <v>0</v>
      </c>
      <c r="O229" s="73">
        <f>SUM(Tabla22[[#This Row],[Bonus1]:[p2]])</f>
        <v>37048.5792</v>
      </c>
      <c r="P229" s="73">
        <f>IF(Tabla22[[#This Row],[QualityBonus]]&gt;0,Tabla22[[#This Row],[No wages]]-$C$4,"")</f>
        <v>-10813.705038442225</v>
      </c>
    </row>
    <row r="230" spans="1:16" x14ac:dyDescent="0.25">
      <c r="A230" s="13">
        <v>214</v>
      </c>
      <c r="B230" s="13" t="s">
        <v>13</v>
      </c>
      <c r="C230" s="66">
        <v>2.1000000000000001E-2</v>
      </c>
      <c r="D230" s="2" t="s">
        <v>53</v>
      </c>
      <c r="E230" s="73">
        <v>41957</v>
      </c>
      <c r="F230" s="5">
        <v>4</v>
      </c>
      <c r="G230" s="2" t="s">
        <v>57</v>
      </c>
      <c r="H230" s="73">
        <v>83957</v>
      </c>
      <c r="I230" s="5">
        <v>3</v>
      </c>
      <c r="J230" s="74">
        <f>Tabla22[[#This Row],[Base price1]]*Tabla22[[#This Row],[Req.]]+Tabla22[[#This Row],[Base price2]]*Tabla22[[#This Row],[Req.2]]</f>
        <v>419699</v>
      </c>
      <c r="K230" s="73">
        <f>IFERROR(LOOKUP(Tabla22[[#This Row],[Product]],$R$18:$R$23,$T$18:$T$23)*Tabla22[[#This Row],[QualityBonus]]*Tabla22[[#This Row],[Base price1]]*Tabla22[[#This Row],[Req.]],0)</f>
        <v>14097.552000000001</v>
      </c>
      <c r="L230" s="73">
        <f>IF(Tabla22[[#This Row],[Req.2]]&gt;0,LOOKUP(Tabla22[[#This Row],[Product2]],$R$18:$R$23,$T$18:$T$23)*Tabla22[[#This Row],[Base price2]]*Tabla22[[#This Row],[Req.2]]*Tabla22[[#This Row],[QualityBonus]],0)</f>
        <v>21157.164000000001</v>
      </c>
      <c r="M230" s="73">
        <f>IFERROR((Tabla22[[#This Row],[Base price1]]-LOOKUP(Tabla22[[#This Row],[Product]],$R$18:$R$23,$S$18:$S$23))*Tabla22[[#This Row],[Req.]],0)</f>
        <v>31828</v>
      </c>
      <c r="N230" s="73">
        <f>IF(Tabla22[[#This Row],[Req.2]]&gt;0,(Tabla22[[#This Row],[Base price2]]-LOOKUP(Tabla22[[#This Row],[Product2]],$R$18:$R$23,$S$18:$S$23))*Tabla22[[#This Row],[Req.2]],0)</f>
        <v>20871</v>
      </c>
      <c r="O230" s="73">
        <f>SUM(Tabla22[[#This Row],[Bonus1]:[p2]])</f>
        <v>87953.716</v>
      </c>
      <c r="P230" s="73">
        <f>IF(Tabla22[[#This Row],[QualityBonus]]&gt;0,Tabla22[[#This Row],[No wages]]-$C$4,"")</f>
        <v>40091.431761557775</v>
      </c>
    </row>
    <row r="231" spans="1:16" x14ac:dyDescent="0.25">
      <c r="A231" s="13">
        <v>215</v>
      </c>
      <c r="B231" s="13" t="s">
        <v>13</v>
      </c>
      <c r="C231" s="66">
        <v>1.9E-2</v>
      </c>
      <c r="D231" s="2" t="s">
        <v>54</v>
      </c>
      <c r="E231" s="73">
        <v>59901</v>
      </c>
      <c r="F231" s="5">
        <v>2</v>
      </c>
      <c r="G231" s="2" t="s">
        <v>56</v>
      </c>
      <c r="H231" s="73">
        <v>231833</v>
      </c>
      <c r="I231" s="5">
        <v>2</v>
      </c>
      <c r="J231" s="74">
        <f>Tabla22[[#This Row],[Base price1]]*Tabla22[[#This Row],[Req.]]+Tabla22[[#This Row],[Base price2]]*Tabla22[[#This Row],[Req.2]]</f>
        <v>583468</v>
      </c>
      <c r="K231" s="73">
        <f>IFERROR(LOOKUP(Tabla22[[#This Row],[Product]],$R$18:$R$23,$T$18:$T$23)*Tabla22[[#This Row],[QualityBonus]]*Tabla22[[#This Row],[Base price1]]*Tabla22[[#This Row],[Req.]],0)</f>
        <v>11381.19</v>
      </c>
      <c r="L231" s="73">
        <f>IF(Tabla22[[#This Row],[Req.2]]&gt;0,LOOKUP(Tabla22[[#This Row],[Product2]],$R$18:$R$23,$T$18:$T$23)*Tabla22[[#This Row],[Base price2]]*Tabla22[[#This Row],[Req.2]]*Tabla22[[#This Row],[QualityBonus]],0)</f>
        <v>26428.962</v>
      </c>
      <c r="M231" s="73">
        <f>IFERROR((Tabla22[[#This Row],[Base price1]]-LOOKUP(Tabla22[[#This Row],[Product]],$R$18:$R$23,$S$18:$S$23))*Tabla22[[#This Row],[Req.]],0)</f>
        <v>6802</v>
      </c>
      <c r="N231" s="73">
        <f>IF(Tabla22[[#This Row],[Req.2]]&gt;0,(Tabla22[[#This Row],[Base price2]]-LOOKUP(Tabla22[[#This Row],[Product2]],$R$18:$R$23,$S$18:$S$23))*Tabla22[[#This Row],[Req.2]],0)</f>
        <v>21666</v>
      </c>
      <c r="O231" s="73">
        <f>SUM(Tabla22[[#This Row],[Bonus1]:[p2]])</f>
        <v>66278.152000000002</v>
      </c>
      <c r="P231" s="73">
        <f>IF(Tabla22[[#This Row],[QualityBonus]]&gt;0,Tabla22[[#This Row],[No wages]]-$C$4,"")</f>
        <v>18415.867761557776</v>
      </c>
    </row>
    <row r="232" spans="1:16" x14ac:dyDescent="0.25">
      <c r="A232" s="13">
        <v>216</v>
      </c>
      <c r="B232" s="13" t="s">
        <v>13</v>
      </c>
      <c r="C232" s="66">
        <v>1.43E-2</v>
      </c>
      <c r="D232" s="2" t="s">
        <v>55</v>
      </c>
      <c r="E232" s="73">
        <v>87043</v>
      </c>
      <c r="F232" s="5">
        <v>2</v>
      </c>
      <c r="G232" s="2"/>
      <c r="H232" s="73"/>
      <c r="I232" s="5"/>
      <c r="J232" s="74">
        <f>Tabla22[[#This Row],[Base price1]]*Tabla22[[#This Row],[Req.]]+Tabla22[[#This Row],[Base price2]]*Tabla22[[#This Row],[Req.2]]</f>
        <v>174086</v>
      </c>
      <c r="K232" s="73">
        <f>IFERROR(LOOKUP(Tabla22[[#This Row],[Product]],$R$18:$R$23,$T$18:$T$23)*Tabla22[[#This Row],[QualityBonus]]*Tabla22[[#This Row],[Base price1]]*Tabla22[[#This Row],[Req.]],0)</f>
        <v>9957.7191999999995</v>
      </c>
      <c r="L232" s="73">
        <f>IF(Tabla22[[#This Row],[Req.2]]&gt;0,LOOKUP(Tabla22[[#This Row],[Product2]],$R$18:$R$23,$T$18:$T$23)*Tabla22[[#This Row],[Base price2]]*Tabla22[[#This Row],[Req.2]]*Tabla22[[#This Row],[QualityBonus]],0)</f>
        <v>0</v>
      </c>
      <c r="M232" s="73">
        <f>IFERROR((Tabla22[[#This Row],[Base price1]]-LOOKUP(Tabla22[[#This Row],[Product]],$R$18:$R$23,$S$18:$S$23))*Tabla22[[#This Row],[Req.]],0)</f>
        <v>20086</v>
      </c>
      <c r="N232" s="73">
        <f>IF(Tabla22[[#This Row],[Req.2]]&gt;0,(Tabla22[[#This Row],[Base price2]]-LOOKUP(Tabla22[[#This Row],[Product2]],$R$18:$R$23,$S$18:$S$23))*Tabla22[[#This Row],[Req.2]],0)</f>
        <v>0</v>
      </c>
      <c r="O232" s="73">
        <f>SUM(Tabla22[[#This Row],[Bonus1]:[p2]])</f>
        <v>30043.7192</v>
      </c>
      <c r="P232" s="73">
        <f>IF(Tabla22[[#This Row],[QualityBonus]]&gt;0,Tabla22[[#This Row],[No wages]]-$C$4,"")</f>
        <v>-17818.565038442226</v>
      </c>
    </row>
    <row r="233" spans="1:16" x14ac:dyDescent="0.25">
      <c r="A233" s="13">
        <v>217</v>
      </c>
      <c r="B233" s="13" t="s">
        <v>13</v>
      </c>
      <c r="C233" s="66">
        <v>2.6800000000000001E-2</v>
      </c>
      <c r="D233" s="2" t="s">
        <v>55</v>
      </c>
      <c r="E233" s="73">
        <v>82887</v>
      </c>
      <c r="F233" s="5">
        <v>2</v>
      </c>
      <c r="G233" s="2"/>
      <c r="H233" s="73"/>
      <c r="I233" s="5"/>
      <c r="J233" s="74">
        <f>Tabla22[[#This Row],[Base price1]]*Tabla22[[#This Row],[Req.]]+Tabla22[[#This Row],[Base price2]]*Tabla22[[#This Row],[Req.2]]</f>
        <v>165774</v>
      </c>
      <c r="K233" s="73">
        <f>IFERROR(LOOKUP(Tabla22[[#This Row],[Product]],$R$18:$R$23,$T$18:$T$23)*Tabla22[[#This Row],[QualityBonus]]*Tabla22[[#This Row],[Base price1]]*Tabla22[[#This Row],[Req.]],0)</f>
        <v>17770.9728</v>
      </c>
      <c r="L233" s="73">
        <f>IF(Tabla22[[#This Row],[Req.2]]&gt;0,LOOKUP(Tabla22[[#This Row],[Product2]],$R$18:$R$23,$T$18:$T$23)*Tabla22[[#This Row],[Base price2]]*Tabla22[[#This Row],[Req.2]]*Tabla22[[#This Row],[QualityBonus]],0)</f>
        <v>0</v>
      </c>
      <c r="M233" s="73">
        <f>IFERROR((Tabla22[[#This Row],[Base price1]]-LOOKUP(Tabla22[[#This Row],[Product]],$R$18:$R$23,$S$18:$S$23))*Tabla22[[#This Row],[Req.]],0)</f>
        <v>11774</v>
      </c>
      <c r="N233" s="73">
        <f>IF(Tabla22[[#This Row],[Req.2]]&gt;0,(Tabla22[[#This Row],[Base price2]]-LOOKUP(Tabla22[[#This Row],[Product2]],$R$18:$R$23,$S$18:$S$23))*Tabla22[[#This Row],[Req.2]],0)</f>
        <v>0</v>
      </c>
      <c r="O233" s="73">
        <f>SUM(Tabla22[[#This Row],[Bonus1]:[p2]])</f>
        <v>29544.9728</v>
      </c>
      <c r="P233" s="73">
        <f>IF(Tabla22[[#This Row],[QualityBonus]]&gt;0,Tabla22[[#This Row],[No wages]]-$C$4,"")</f>
        <v>-18317.311438442226</v>
      </c>
    </row>
    <row r="234" spans="1:16" x14ac:dyDescent="0.25">
      <c r="A234" s="13">
        <v>218</v>
      </c>
      <c r="B234" s="13" t="s">
        <v>13</v>
      </c>
      <c r="C234" s="66">
        <v>1.52E-2</v>
      </c>
      <c r="D234" s="2" t="s">
        <v>54</v>
      </c>
      <c r="E234" s="73">
        <v>62686</v>
      </c>
      <c r="F234" s="5">
        <v>1</v>
      </c>
      <c r="G234" s="2" t="s">
        <v>53</v>
      </c>
      <c r="H234" s="73">
        <v>41534</v>
      </c>
      <c r="I234" s="5">
        <v>3</v>
      </c>
      <c r="J234" s="74">
        <f>Tabla22[[#This Row],[Base price1]]*Tabla22[[#This Row],[Req.]]+Tabla22[[#This Row],[Base price2]]*Tabla22[[#This Row],[Req.2]]</f>
        <v>187288</v>
      </c>
      <c r="K234" s="73">
        <f>IFERROR(LOOKUP(Tabla22[[#This Row],[Product]],$R$18:$R$23,$T$18:$T$23)*Tabla22[[#This Row],[QualityBonus]]*Tabla22[[#This Row],[Base price1]]*Tabla22[[#This Row],[Req.]],0)</f>
        <v>4764.1359999999995</v>
      </c>
      <c r="L234" s="73">
        <f>IF(Tabla22[[#This Row],[Req.2]]&gt;0,LOOKUP(Tabla22[[#This Row],[Product2]],$R$18:$R$23,$T$18:$T$23)*Tabla22[[#This Row],[Base price2]]*Tabla22[[#This Row],[Req.2]]*Tabla22[[#This Row],[QualityBonus]],0)</f>
        <v>7575.8015999999998</v>
      </c>
      <c r="M234" s="73">
        <f>IFERROR((Tabla22[[#This Row],[Base price1]]-LOOKUP(Tabla22[[#This Row],[Product]],$R$18:$R$23,$S$18:$S$23))*Tabla22[[#This Row],[Req.]],0)</f>
        <v>6186</v>
      </c>
      <c r="N234" s="73">
        <f>IF(Tabla22[[#This Row],[Req.2]]&gt;0,(Tabla22[[#This Row],[Base price2]]-LOOKUP(Tabla22[[#This Row],[Product2]],$R$18:$R$23,$S$18:$S$23))*Tabla22[[#This Row],[Req.2]],0)</f>
        <v>22602</v>
      </c>
      <c r="O234" s="73">
        <f>SUM(Tabla22[[#This Row],[Bonus1]:[p2]])</f>
        <v>41127.937599999997</v>
      </c>
      <c r="P234" s="73">
        <f>IF(Tabla22[[#This Row],[QualityBonus]]&gt;0,Tabla22[[#This Row],[No wages]]-$C$4,"")</f>
        <v>-6734.3466384422281</v>
      </c>
    </row>
    <row r="235" spans="1:16" x14ac:dyDescent="0.25">
      <c r="A235" s="13">
        <v>219</v>
      </c>
      <c r="B235" s="13" t="s">
        <v>13</v>
      </c>
      <c r="C235" s="66">
        <v>2.6800000000000001E-2</v>
      </c>
      <c r="D235" s="2" t="s">
        <v>56</v>
      </c>
      <c r="E235" s="73">
        <v>224341</v>
      </c>
      <c r="F235" s="5">
        <v>2</v>
      </c>
      <c r="G235" s="2" t="s">
        <v>57</v>
      </c>
      <c r="H235" s="73">
        <v>84958</v>
      </c>
      <c r="I235" s="5">
        <v>1</v>
      </c>
      <c r="J235" s="74">
        <f>Tabla22[[#This Row],[Base price1]]*Tabla22[[#This Row],[Req.]]+Tabla22[[#This Row],[Base price2]]*Tabla22[[#This Row],[Req.2]]</f>
        <v>533640</v>
      </c>
      <c r="K235" s="73">
        <f>IFERROR(LOOKUP(Tabla22[[#This Row],[Product]],$R$18:$R$23,$T$18:$T$23)*Tabla22[[#This Row],[QualityBonus]]*Tabla22[[#This Row],[Base price1]]*Tabla22[[#This Row],[Req.]],0)</f>
        <v>36074.032800000001</v>
      </c>
      <c r="L235" s="73">
        <f>IF(Tabla22[[#This Row],[Req.2]]&gt;0,LOOKUP(Tabla22[[#This Row],[Product2]],$R$18:$R$23,$T$18:$T$23)*Tabla22[[#This Row],[Base price2]]*Tabla22[[#This Row],[Req.2]]*Tabla22[[#This Row],[QualityBonus]],0)</f>
        <v>9107.4976000000006</v>
      </c>
      <c r="M235" s="73">
        <f>IFERROR((Tabla22[[#This Row],[Base price1]]-LOOKUP(Tabla22[[#This Row],[Product]],$R$18:$R$23,$S$18:$S$23))*Tabla22[[#This Row],[Req.]],0)</f>
        <v>6682</v>
      </c>
      <c r="N235" s="73">
        <f>IF(Tabla22[[#This Row],[Req.2]]&gt;0,(Tabla22[[#This Row],[Base price2]]-LOOKUP(Tabla22[[#This Row],[Product2]],$R$18:$R$23,$S$18:$S$23))*Tabla22[[#This Row],[Req.2]],0)</f>
        <v>7958</v>
      </c>
      <c r="O235" s="73">
        <f>SUM(Tabla22[[#This Row],[Bonus1]:[p2]])</f>
        <v>59821.530400000003</v>
      </c>
      <c r="P235" s="73">
        <f>IF(Tabla22[[#This Row],[QualityBonus]]&gt;0,Tabla22[[#This Row],[No wages]]-$C$4,"")</f>
        <v>11959.246161557778</v>
      </c>
    </row>
    <row r="236" spans="1:16" x14ac:dyDescent="0.25">
      <c r="A236" s="13">
        <v>220</v>
      </c>
      <c r="B236" s="13" t="s">
        <v>13</v>
      </c>
      <c r="C236" s="66">
        <v>2.6599999999999999E-2</v>
      </c>
      <c r="D236" s="2" t="s">
        <v>54</v>
      </c>
      <c r="E236" s="73">
        <v>60184</v>
      </c>
      <c r="F236" s="5">
        <v>2</v>
      </c>
      <c r="G236" s="2" t="s">
        <v>56</v>
      </c>
      <c r="H236" s="73">
        <v>228570</v>
      </c>
      <c r="I236" s="5">
        <v>4</v>
      </c>
      <c r="J236" s="74">
        <f>Tabla22[[#This Row],[Base price1]]*Tabla22[[#This Row],[Req.]]+Tabla22[[#This Row],[Base price2]]*Tabla22[[#This Row],[Req.2]]</f>
        <v>1034648</v>
      </c>
      <c r="K236" s="73">
        <f>IFERROR(LOOKUP(Tabla22[[#This Row],[Product]],$R$18:$R$23,$T$18:$T$23)*Tabla22[[#This Row],[QualityBonus]]*Tabla22[[#This Row],[Base price1]]*Tabla22[[#This Row],[Req.]],0)</f>
        <v>16008.944000000001</v>
      </c>
      <c r="L236" s="73">
        <f>IF(Tabla22[[#This Row],[Req.2]]&gt;0,LOOKUP(Tabla22[[#This Row],[Product2]],$R$18:$R$23,$T$18:$T$23)*Tabla22[[#This Row],[Base price2]]*Tabla22[[#This Row],[Req.2]]*Tabla22[[#This Row],[QualityBonus]],0)</f>
        <v>72959.543999999994</v>
      </c>
      <c r="M236" s="73">
        <f>IFERROR((Tabla22[[#This Row],[Base price1]]-LOOKUP(Tabla22[[#This Row],[Product]],$R$18:$R$23,$S$18:$S$23))*Tabla22[[#This Row],[Req.]],0)</f>
        <v>7368</v>
      </c>
      <c r="N236" s="73">
        <f>IF(Tabla22[[#This Row],[Req.2]]&gt;0,(Tabla22[[#This Row],[Base price2]]-LOOKUP(Tabla22[[#This Row],[Product2]],$R$18:$R$23,$S$18:$S$23))*Tabla22[[#This Row],[Req.2]],0)</f>
        <v>30280</v>
      </c>
      <c r="O236" s="73">
        <f>SUM(Tabla22[[#This Row],[Bonus1]:[p2]])</f>
        <v>126616.488</v>
      </c>
      <c r="P236" s="73">
        <f>IF(Tabla22[[#This Row],[QualityBonus]]&gt;0,Tabla22[[#This Row],[No wages]]-$C$4,"")</f>
        <v>78754.203761557772</v>
      </c>
    </row>
    <row r="237" spans="1:16" x14ac:dyDescent="0.25">
      <c r="A237" s="13">
        <v>221</v>
      </c>
      <c r="B237" s="13" t="s">
        <v>13</v>
      </c>
      <c r="C237" s="66">
        <v>1.7399999999999999E-2</v>
      </c>
      <c r="D237" s="2" t="s">
        <v>53</v>
      </c>
      <c r="E237" s="73">
        <v>41510</v>
      </c>
      <c r="F237" s="5">
        <v>5</v>
      </c>
      <c r="G237" s="2" t="s">
        <v>57</v>
      </c>
      <c r="H237" s="73">
        <v>83221</v>
      </c>
      <c r="I237" s="5">
        <v>3</v>
      </c>
      <c r="J237" s="74">
        <f>Tabla22[[#This Row],[Base price1]]*Tabla22[[#This Row],[Req.]]+Tabla22[[#This Row],[Base price2]]*Tabla22[[#This Row],[Req.2]]</f>
        <v>457213</v>
      </c>
      <c r="K237" s="73">
        <f>IFERROR(LOOKUP(Tabla22[[#This Row],[Product]],$R$18:$R$23,$T$18:$T$23)*Tabla22[[#This Row],[QualityBonus]]*Tabla22[[#This Row],[Base price1]]*Tabla22[[#This Row],[Req.]],0)</f>
        <v>14445.48</v>
      </c>
      <c r="L237" s="73">
        <f>IF(Tabla22[[#This Row],[Req.2]]&gt;0,LOOKUP(Tabla22[[#This Row],[Product2]],$R$18:$R$23,$T$18:$T$23)*Tabla22[[#This Row],[Base price2]]*Tabla22[[#This Row],[Req.2]]*Tabla22[[#This Row],[QualityBonus]],0)</f>
        <v>17376.5448</v>
      </c>
      <c r="M237" s="73">
        <f>IFERROR((Tabla22[[#This Row],[Base price1]]-LOOKUP(Tabla22[[#This Row],[Product]],$R$18:$R$23,$S$18:$S$23))*Tabla22[[#This Row],[Req.]],0)</f>
        <v>37550</v>
      </c>
      <c r="N237" s="73">
        <f>IF(Tabla22[[#This Row],[Req.2]]&gt;0,(Tabla22[[#This Row],[Base price2]]-LOOKUP(Tabla22[[#This Row],[Product2]],$R$18:$R$23,$S$18:$S$23))*Tabla22[[#This Row],[Req.2]],0)</f>
        <v>18663</v>
      </c>
      <c r="O237" s="73">
        <f>SUM(Tabla22[[#This Row],[Bonus1]:[p2]])</f>
        <v>88035.024799999999</v>
      </c>
      <c r="P237" s="73">
        <f>IF(Tabla22[[#This Row],[QualityBonus]]&gt;0,Tabla22[[#This Row],[No wages]]-$C$4,"")</f>
        <v>40172.740561557774</v>
      </c>
    </row>
    <row r="238" spans="1:16" x14ac:dyDescent="0.25">
      <c r="A238" s="13">
        <v>222</v>
      </c>
      <c r="B238" s="13" t="s">
        <v>13</v>
      </c>
      <c r="C238" s="66">
        <v>2.75E-2</v>
      </c>
      <c r="D238" s="2" t="s">
        <v>54</v>
      </c>
      <c r="E238" s="73">
        <v>62526</v>
      </c>
      <c r="F238" s="5">
        <v>4</v>
      </c>
      <c r="G238" s="2" t="s">
        <v>53</v>
      </c>
      <c r="H238" s="73">
        <v>41857</v>
      </c>
      <c r="I238" s="5">
        <v>5</v>
      </c>
      <c r="J238" s="74">
        <f>Tabla22[[#This Row],[Base price1]]*Tabla22[[#This Row],[Req.]]+Tabla22[[#This Row],[Base price2]]*Tabla22[[#This Row],[Req.2]]</f>
        <v>459389</v>
      </c>
      <c r="K238" s="73">
        <f>IFERROR(LOOKUP(Tabla22[[#This Row],[Product]],$R$18:$R$23,$T$18:$T$23)*Tabla22[[#This Row],[QualityBonus]]*Tabla22[[#This Row],[Base price1]]*Tabla22[[#This Row],[Req.]],0)</f>
        <v>34389.300000000003</v>
      </c>
      <c r="L238" s="73">
        <f>IF(Tabla22[[#This Row],[Req.2]]&gt;0,LOOKUP(Tabla22[[#This Row],[Product2]],$R$18:$R$23,$T$18:$T$23)*Tabla22[[#This Row],[Base price2]]*Tabla22[[#This Row],[Req.2]]*Tabla22[[#This Row],[QualityBonus]],0)</f>
        <v>23021.35</v>
      </c>
      <c r="M238" s="73">
        <f>IFERROR((Tabla22[[#This Row],[Base price1]]-LOOKUP(Tabla22[[#This Row],[Product]],$R$18:$R$23,$S$18:$S$23))*Tabla22[[#This Row],[Req.]],0)</f>
        <v>24104</v>
      </c>
      <c r="N238" s="73">
        <f>IF(Tabla22[[#This Row],[Req.2]]&gt;0,(Tabla22[[#This Row],[Base price2]]-LOOKUP(Tabla22[[#This Row],[Product2]],$R$18:$R$23,$S$18:$S$23))*Tabla22[[#This Row],[Req.2]],0)</f>
        <v>39285</v>
      </c>
      <c r="O238" s="73">
        <f>SUM(Tabla22[[#This Row],[Bonus1]:[p2]])</f>
        <v>120799.65</v>
      </c>
      <c r="P238" s="73">
        <f>IF(Tabla22[[#This Row],[QualityBonus]]&gt;0,Tabla22[[#This Row],[No wages]]-$C$4,"")</f>
        <v>72937.365761557769</v>
      </c>
    </row>
    <row r="239" spans="1:16" x14ac:dyDescent="0.25">
      <c r="A239" s="13">
        <v>223</v>
      </c>
      <c r="B239" s="13" t="s">
        <v>13</v>
      </c>
      <c r="C239" s="66">
        <v>2.9700000000000001E-2</v>
      </c>
      <c r="D239" s="2" t="s">
        <v>54</v>
      </c>
      <c r="E239" s="73">
        <v>59572</v>
      </c>
      <c r="F239" s="5">
        <v>1</v>
      </c>
      <c r="G239" s="2" t="s">
        <v>53</v>
      </c>
      <c r="H239" s="73">
        <v>40167</v>
      </c>
      <c r="I239" s="5">
        <v>4</v>
      </c>
      <c r="J239" s="74">
        <f>Tabla22[[#This Row],[Base price1]]*Tabla22[[#This Row],[Req.]]+Tabla22[[#This Row],[Base price2]]*Tabla22[[#This Row],[Req.2]]</f>
        <v>220240</v>
      </c>
      <c r="K239" s="73">
        <f>IFERROR(LOOKUP(Tabla22[[#This Row],[Product]],$R$18:$R$23,$T$18:$T$23)*Tabla22[[#This Row],[QualityBonus]]*Tabla22[[#This Row],[Base price1]]*Tabla22[[#This Row],[Req.]],0)</f>
        <v>8846.4419999999991</v>
      </c>
      <c r="L239" s="73">
        <f>IF(Tabla22[[#This Row],[Req.2]]&gt;0,LOOKUP(Tabla22[[#This Row],[Product2]],$R$18:$R$23,$T$18:$T$23)*Tabla22[[#This Row],[Base price2]]*Tabla22[[#This Row],[Req.2]]*Tabla22[[#This Row],[QualityBonus]],0)</f>
        <v>19087.358400000001</v>
      </c>
      <c r="M239" s="73">
        <f>IFERROR((Tabla22[[#This Row],[Base price1]]-LOOKUP(Tabla22[[#This Row],[Product]],$R$18:$R$23,$S$18:$S$23))*Tabla22[[#This Row],[Req.]],0)</f>
        <v>3072</v>
      </c>
      <c r="N239" s="73">
        <f>IF(Tabla22[[#This Row],[Req.2]]&gt;0,(Tabla22[[#This Row],[Base price2]]-LOOKUP(Tabla22[[#This Row],[Product2]],$R$18:$R$23,$S$18:$S$23))*Tabla22[[#This Row],[Req.2]],0)</f>
        <v>24668</v>
      </c>
      <c r="O239" s="73">
        <f>SUM(Tabla22[[#This Row],[Bonus1]:[p2]])</f>
        <v>55673.8004</v>
      </c>
      <c r="P239" s="73">
        <f>IF(Tabla22[[#This Row],[QualityBonus]]&gt;0,Tabla22[[#This Row],[No wages]]-$C$4,"")</f>
        <v>7811.5161615577745</v>
      </c>
    </row>
    <row r="240" spans="1:16" x14ac:dyDescent="0.25">
      <c r="A240" s="13">
        <v>224</v>
      </c>
      <c r="B240" s="13" t="s">
        <v>13</v>
      </c>
      <c r="C240" s="66">
        <v>2.1299999999999999E-2</v>
      </c>
      <c r="D240" s="2" t="s">
        <v>55</v>
      </c>
      <c r="E240" s="73">
        <v>82733</v>
      </c>
      <c r="F240" s="5">
        <v>4</v>
      </c>
      <c r="G240" s="2" t="s">
        <v>53</v>
      </c>
      <c r="H240" s="73">
        <v>40865</v>
      </c>
      <c r="I240" s="5">
        <v>5</v>
      </c>
      <c r="J240" s="74">
        <f>Tabla22[[#This Row],[Base price1]]*Tabla22[[#This Row],[Req.]]+Tabla22[[#This Row],[Base price2]]*Tabla22[[#This Row],[Req.2]]</f>
        <v>535257</v>
      </c>
      <c r="K240" s="73">
        <f>IFERROR(LOOKUP(Tabla22[[#This Row],[Product]],$R$18:$R$23,$T$18:$T$23)*Tabla22[[#This Row],[QualityBonus]]*Tabla22[[#This Row],[Base price1]]*Tabla22[[#This Row],[Req.]],0)</f>
        <v>28195.4064</v>
      </c>
      <c r="L240" s="73">
        <f>IF(Tabla22[[#This Row],[Req.2]]&gt;0,LOOKUP(Tabla22[[#This Row],[Product2]],$R$18:$R$23,$T$18:$T$23)*Tabla22[[#This Row],[Base price2]]*Tabla22[[#This Row],[Req.2]]*Tabla22[[#This Row],[QualityBonus]],0)</f>
        <v>17408.489999999998</v>
      </c>
      <c r="M240" s="73">
        <f>IFERROR((Tabla22[[#This Row],[Base price1]]-LOOKUP(Tabla22[[#This Row],[Product]],$R$18:$R$23,$S$18:$S$23))*Tabla22[[#This Row],[Req.]],0)</f>
        <v>22932</v>
      </c>
      <c r="N240" s="73">
        <f>IF(Tabla22[[#This Row],[Req.2]]&gt;0,(Tabla22[[#This Row],[Base price2]]-LOOKUP(Tabla22[[#This Row],[Product2]],$R$18:$R$23,$S$18:$S$23))*Tabla22[[#This Row],[Req.2]],0)</f>
        <v>34325</v>
      </c>
      <c r="O240" s="73">
        <f>SUM(Tabla22[[#This Row],[Bonus1]:[p2]])</f>
        <v>102860.8964</v>
      </c>
      <c r="P240" s="73">
        <f>IF(Tabla22[[#This Row],[QualityBonus]]&gt;0,Tabla22[[#This Row],[No wages]]-$C$4,"")</f>
        <v>54998.612161557772</v>
      </c>
    </row>
    <row r="241" spans="1:16" x14ac:dyDescent="0.25">
      <c r="A241" s="13">
        <v>225</v>
      </c>
      <c r="B241" s="13" t="s">
        <v>13</v>
      </c>
      <c r="C241" s="66">
        <v>1.3899999999999999E-2</v>
      </c>
      <c r="D241" s="2" t="s">
        <v>53</v>
      </c>
      <c r="E241" s="73">
        <v>41276</v>
      </c>
      <c r="F241" s="5">
        <v>4</v>
      </c>
      <c r="G241" s="2" t="s">
        <v>52</v>
      </c>
      <c r="H241" s="73">
        <v>120130</v>
      </c>
      <c r="I241" s="5">
        <v>4</v>
      </c>
      <c r="J241" s="74">
        <f>Tabla22[[#This Row],[Base price1]]*Tabla22[[#This Row],[Req.]]+Tabla22[[#This Row],[Base price2]]*Tabla22[[#This Row],[Req.2]]</f>
        <v>645624</v>
      </c>
      <c r="K241" s="73">
        <f>IFERROR(LOOKUP(Tabla22[[#This Row],[Product]],$R$18:$R$23,$T$18:$T$23)*Tabla22[[#This Row],[QualityBonus]]*Tabla22[[#This Row],[Base price1]]*Tabla22[[#This Row],[Req.]],0)</f>
        <v>9179.7824000000001</v>
      </c>
      <c r="L241" s="73">
        <f>IF(Tabla22[[#This Row],[Req.2]]&gt;0,LOOKUP(Tabla22[[#This Row],[Product2]],$R$18:$R$23,$T$18:$T$23)*Tabla22[[#This Row],[Base price2]]*Tabla22[[#This Row],[Req.2]]*Tabla22[[#This Row],[QualityBonus]],0)</f>
        <v>40075.367999999995</v>
      </c>
      <c r="M241" s="73">
        <f>IFERROR((Tabla22[[#This Row],[Base price1]]-LOOKUP(Tabla22[[#This Row],[Product]],$R$18:$R$23,$S$18:$S$23))*Tabla22[[#This Row],[Req.]],0)</f>
        <v>29104</v>
      </c>
      <c r="N241" s="73">
        <f>IF(Tabla22[[#This Row],[Req.2]]&gt;0,(Tabla22[[#This Row],[Base price2]]-LOOKUP(Tabla22[[#This Row],[Product2]],$R$18:$R$23,$S$18:$S$23))*Tabla22[[#This Row],[Req.2]],0)</f>
        <v>16520</v>
      </c>
      <c r="O241" s="73">
        <f>SUM(Tabla22[[#This Row],[Bonus1]:[p2]])</f>
        <v>94879.150399999999</v>
      </c>
      <c r="P241" s="73">
        <f>IF(Tabla22[[#This Row],[QualityBonus]]&gt;0,Tabla22[[#This Row],[No wages]]-$C$4,"")</f>
        <v>47016.866161557773</v>
      </c>
    </row>
    <row r="242" spans="1:16" x14ac:dyDescent="0.25">
      <c r="A242" s="13">
        <v>226</v>
      </c>
      <c r="B242" s="13" t="s">
        <v>13</v>
      </c>
      <c r="C242" s="66">
        <v>2.0199999999999999E-2</v>
      </c>
      <c r="D242" s="2" t="s">
        <v>54</v>
      </c>
      <c r="E242" s="73">
        <v>59452</v>
      </c>
      <c r="F242" s="5">
        <v>3</v>
      </c>
      <c r="G242" s="2" t="s">
        <v>53</v>
      </c>
      <c r="H242" s="73">
        <v>41574</v>
      </c>
      <c r="I242" s="5">
        <v>5</v>
      </c>
      <c r="J242" s="74">
        <f>Tabla22[[#This Row],[Base price1]]*Tabla22[[#This Row],[Req.]]+Tabla22[[#This Row],[Base price2]]*Tabla22[[#This Row],[Req.2]]</f>
        <v>386226</v>
      </c>
      <c r="K242" s="73">
        <f>IFERROR(LOOKUP(Tabla22[[#This Row],[Product]],$R$18:$R$23,$T$18:$T$23)*Tabla22[[#This Row],[QualityBonus]]*Tabla22[[#This Row],[Base price1]]*Tabla22[[#This Row],[Req.]],0)</f>
        <v>18013.955999999998</v>
      </c>
      <c r="L242" s="73">
        <f>IF(Tabla22[[#This Row],[Req.2]]&gt;0,LOOKUP(Tabla22[[#This Row],[Product2]],$R$18:$R$23,$T$18:$T$23)*Tabla22[[#This Row],[Base price2]]*Tabla22[[#This Row],[Req.2]]*Tabla22[[#This Row],[QualityBonus]],0)</f>
        <v>16795.896000000001</v>
      </c>
      <c r="M242" s="73">
        <f>IFERROR((Tabla22[[#This Row],[Base price1]]-LOOKUP(Tabla22[[#This Row],[Product]],$R$18:$R$23,$S$18:$S$23))*Tabla22[[#This Row],[Req.]],0)</f>
        <v>8856</v>
      </c>
      <c r="N242" s="73">
        <f>IF(Tabla22[[#This Row],[Req.2]]&gt;0,(Tabla22[[#This Row],[Base price2]]-LOOKUP(Tabla22[[#This Row],[Product2]],$R$18:$R$23,$S$18:$S$23))*Tabla22[[#This Row],[Req.2]],0)</f>
        <v>37870</v>
      </c>
      <c r="O242" s="73">
        <f>SUM(Tabla22[[#This Row],[Bonus1]:[p2]])</f>
        <v>81535.851999999999</v>
      </c>
      <c r="P242" s="73">
        <f>IF(Tabla22[[#This Row],[QualityBonus]]&gt;0,Tabla22[[#This Row],[No wages]]-$C$4,"")</f>
        <v>33673.567761557773</v>
      </c>
    </row>
    <row r="243" spans="1:16" x14ac:dyDescent="0.25">
      <c r="A243" s="13">
        <v>227</v>
      </c>
      <c r="B243" s="13" t="s">
        <v>13</v>
      </c>
      <c r="C243" s="66">
        <v>1.66E-2</v>
      </c>
      <c r="D243" s="2" t="s">
        <v>54</v>
      </c>
      <c r="E243" s="73">
        <v>60389</v>
      </c>
      <c r="F243" s="5">
        <v>2</v>
      </c>
      <c r="G243" s="2" t="s">
        <v>53</v>
      </c>
      <c r="H243" s="73">
        <v>40784</v>
      </c>
      <c r="I243" s="5">
        <v>4</v>
      </c>
      <c r="J243" s="74">
        <f>Tabla22[[#This Row],[Base price1]]*Tabla22[[#This Row],[Req.]]+Tabla22[[#This Row],[Base price2]]*Tabla22[[#This Row],[Req.2]]</f>
        <v>283914</v>
      </c>
      <c r="K243" s="73">
        <f>IFERROR(LOOKUP(Tabla22[[#This Row],[Product]],$R$18:$R$23,$T$18:$T$23)*Tabla22[[#This Row],[QualityBonus]]*Tabla22[[#This Row],[Base price1]]*Tabla22[[#This Row],[Req.]],0)</f>
        <v>10024.574000000001</v>
      </c>
      <c r="L243" s="73">
        <f>IF(Tabla22[[#This Row],[Req.2]]&gt;0,LOOKUP(Tabla22[[#This Row],[Product2]],$R$18:$R$23,$T$18:$T$23)*Tabla22[[#This Row],[Base price2]]*Tabla22[[#This Row],[Req.2]]*Tabla22[[#This Row],[QualityBonus]],0)</f>
        <v>10832.2304</v>
      </c>
      <c r="M243" s="73">
        <f>IFERROR((Tabla22[[#This Row],[Base price1]]-LOOKUP(Tabla22[[#This Row],[Product]],$R$18:$R$23,$S$18:$S$23))*Tabla22[[#This Row],[Req.]],0)</f>
        <v>7778</v>
      </c>
      <c r="N243" s="73">
        <f>IF(Tabla22[[#This Row],[Req.2]]&gt;0,(Tabla22[[#This Row],[Base price2]]-LOOKUP(Tabla22[[#This Row],[Product2]],$R$18:$R$23,$S$18:$S$23))*Tabla22[[#This Row],[Req.2]],0)</f>
        <v>27136</v>
      </c>
      <c r="O243" s="73">
        <f>SUM(Tabla22[[#This Row],[Bonus1]:[p2]])</f>
        <v>55770.804400000001</v>
      </c>
      <c r="P243" s="73">
        <f>IF(Tabla22[[#This Row],[QualityBonus]]&gt;0,Tabla22[[#This Row],[No wages]]-$C$4,"")</f>
        <v>7908.5201615577753</v>
      </c>
    </row>
    <row r="244" spans="1:16" x14ac:dyDescent="0.25">
      <c r="A244" s="13">
        <v>228</v>
      </c>
      <c r="B244" s="13" t="s">
        <v>13</v>
      </c>
      <c r="C244" s="66">
        <v>1.5299999999999999E-2</v>
      </c>
      <c r="D244" s="2" t="s">
        <v>53</v>
      </c>
      <c r="E244" s="73">
        <v>40087</v>
      </c>
      <c r="F244" s="5">
        <v>2</v>
      </c>
      <c r="G244" s="2" t="s">
        <v>57</v>
      </c>
      <c r="H244" s="73">
        <v>82753</v>
      </c>
      <c r="I244" s="5">
        <v>1</v>
      </c>
      <c r="J244" s="74">
        <f>Tabla22[[#This Row],[Base price1]]*Tabla22[[#This Row],[Req.]]+Tabla22[[#This Row],[Base price2]]*Tabla22[[#This Row],[Req.2]]</f>
        <v>162927</v>
      </c>
      <c r="K244" s="73">
        <f>IFERROR(LOOKUP(Tabla22[[#This Row],[Product]],$R$18:$R$23,$T$18:$T$23)*Tabla22[[#This Row],[QualityBonus]]*Tabla22[[#This Row],[Base price1]]*Tabla22[[#This Row],[Req.]],0)</f>
        <v>4906.6487999999999</v>
      </c>
      <c r="L244" s="73">
        <f>IF(Tabla22[[#This Row],[Req.2]]&gt;0,LOOKUP(Tabla22[[#This Row],[Product2]],$R$18:$R$23,$T$18:$T$23)*Tabla22[[#This Row],[Base price2]]*Tabla22[[#This Row],[Req.2]]*Tabla22[[#This Row],[QualityBonus]],0)</f>
        <v>5064.4835999999996</v>
      </c>
      <c r="M244" s="73">
        <f>IFERROR((Tabla22[[#This Row],[Base price1]]-LOOKUP(Tabla22[[#This Row],[Product]],$R$18:$R$23,$S$18:$S$23))*Tabla22[[#This Row],[Req.]],0)</f>
        <v>12174</v>
      </c>
      <c r="N244" s="73">
        <f>IF(Tabla22[[#This Row],[Req.2]]&gt;0,(Tabla22[[#This Row],[Base price2]]-LOOKUP(Tabla22[[#This Row],[Product2]],$R$18:$R$23,$S$18:$S$23))*Tabla22[[#This Row],[Req.2]],0)</f>
        <v>5753</v>
      </c>
      <c r="O244" s="73">
        <f>SUM(Tabla22[[#This Row],[Bonus1]:[p2]])</f>
        <v>27898.132399999999</v>
      </c>
      <c r="P244" s="73">
        <f>IF(Tabla22[[#This Row],[QualityBonus]]&gt;0,Tabla22[[#This Row],[No wages]]-$C$4,"")</f>
        <v>-19964.151838442227</v>
      </c>
    </row>
    <row r="245" spans="1:16" x14ac:dyDescent="0.25">
      <c r="A245" s="13">
        <v>229</v>
      </c>
      <c r="B245" s="13" t="s">
        <v>13</v>
      </c>
      <c r="C245" s="66">
        <v>2.9000000000000001E-2</v>
      </c>
      <c r="D245" s="2" t="s">
        <v>53</v>
      </c>
      <c r="E245" s="73">
        <v>42041</v>
      </c>
      <c r="F245" s="5">
        <v>4</v>
      </c>
      <c r="G245" s="2" t="s">
        <v>54</v>
      </c>
      <c r="H245" s="73">
        <v>59840</v>
      </c>
      <c r="I245" s="5">
        <v>4</v>
      </c>
      <c r="J245" s="74">
        <f>Tabla22[[#This Row],[Base price1]]*Tabla22[[#This Row],[Req.]]+Tabla22[[#This Row],[Base price2]]*Tabla22[[#This Row],[Req.2]]</f>
        <v>407524</v>
      </c>
      <c r="K245" s="73">
        <f>IFERROR(LOOKUP(Tabla22[[#This Row],[Product]],$R$18:$R$23,$T$18:$T$23)*Tabla22[[#This Row],[QualityBonus]]*Tabla22[[#This Row],[Base price1]]*Tabla22[[#This Row],[Req.]],0)</f>
        <v>19507.024000000001</v>
      </c>
      <c r="L245" s="73">
        <f>IF(Tabla22[[#This Row],[Req.2]]&gt;0,LOOKUP(Tabla22[[#This Row],[Product2]],$R$18:$R$23,$T$18:$T$23)*Tabla22[[#This Row],[Base price2]]*Tabla22[[#This Row],[Req.2]]*Tabla22[[#This Row],[QualityBonus]],0)</f>
        <v>34707.200000000004</v>
      </c>
      <c r="M245" s="73">
        <f>IFERROR((Tabla22[[#This Row],[Base price1]]-LOOKUP(Tabla22[[#This Row],[Product]],$R$18:$R$23,$S$18:$S$23))*Tabla22[[#This Row],[Req.]],0)</f>
        <v>32164</v>
      </c>
      <c r="N245" s="73">
        <f>IF(Tabla22[[#This Row],[Req.2]]&gt;0,(Tabla22[[#This Row],[Base price2]]-LOOKUP(Tabla22[[#This Row],[Product2]],$R$18:$R$23,$S$18:$S$23))*Tabla22[[#This Row],[Req.2]],0)</f>
        <v>13360</v>
      </c>
      <c r="O245" s="73">
        <f>SUM(Tabla22[[#This Row],[Bonus1]:[p2]])</f>
        <v>99738.224000000002</v>
      </c>
      <c r="P245" s="73">
        <f>IF(Tabla22[[#This Row],[QualityBonus]]&gt;0,Tabla22[[#This Row],[No wages]]-$C$4,"")</f>
        <v>51875.939761557776</v>
      </c>
    </row>
    <row r="246" spans="1:16" x14ac:dyDescent="0.25">
      <c r="A246" s="13">
        <v>230</v>
      </c>
      <c r="B246" s="13" t="s">
        <v>13</v>
      </c>
      <c r="C246" s="66">
        <v>1.14E-2</v>
      </c>
      <c r="D246" s="2" t="s">
        <v>53</v>
      </c>
      <c r="E246" s="73">
        <v>42281</v>
      </c>
      <c r="F246" s="5">
        <v>5</v>
      </c>
      <c r="G246" s="2" t="s">
        <v>56</v>
      </c>
      <c r="H246" s="73">
        <v>231868</v>
      </c>
      <c r="I246" s="5">
        <v>3</v>
      </c>
      <c r="J246" s="74">
        <f>Tabla22[[#This Row],[Base price1]]*Tabla22[[#This Row],[Req.]]+Tabla22[[#This Row],[Base price2]]*Tabla22[[#This Row],[Req.2]]</f>
        <v>907009</v>
      </c>
      <c r="K246" s="73">
        <f>IFERROR(LOOKUP(Tabla22[[#This Row],[Product]],$R$18:$R$23,$T$18:$T$23)*Tabla22[[#This Row],[QualityBonus]]*Tabla22[[#This Row],[Base price1]]*Tabla22[[#This Row],[Req.]],0)</f>
        <v>9640.0679999999993</v>
      </c>
      <c r="L246" s="73">
        <f>IF(Tabla22[[#This Row],[Req.2]]&gt;0,LOOKUP(Tabla22[[#This Row],[Product2]],$R$18:$R$23,$T$18:$T$23)*Tabla22[[#This Row],[Base price2]]*Tabla22[[#This Row],[Req.2]]*Tabla22[[#This Row],[QualityBonus]],0)</f>
        <v>23789.656800000001</v>
      </c>
      <c r="M246" s="73">
        <f>IFERROR((Tabla22[[#This Row],[Base price1]]-LOOKUP(Tabla22[[#This Row],[Product]],$R$18:$R$23,$S$18:$S$23))*Tabla22[[#This Row],[Req.]],0)</f>
        <v>41405</v>
      </c>
      <c r="N246" s="73">
        <f>IF(Tabla22[[#This Row],[Req.2]]&gt;0,(Tabla22[[#This Row],[Base price2]]-LOOKUP(Tabla22[[#This Row],[Product2]],$R$18:$R$23,$S$18:$S$23))*Tabla22[[#This Row],[Req.2]],0)</f>
        <v>32604</v>
      </c>
      <c r="O246" s="73">
        <f>SUM(Tabla22[[#This Row],[Bonus1]:[p2]])</f>
        <v>107438.7248</v>
      </c>
      <c r="P246" s="73">
        <f>IF(Tabla22[[#This Row],[QualityBonus]]&gt;0,Tabla22[[#This Row],[No wages]]-$C$4,"")</f>
        <v>59576.440561557771</v>
      </c>
    </row>
    <row r="247" spans="1:16" x14ac:dyDescent="0.25">
      <c r="A247" s="13">
        <v>231</v>
      </c>
      <c r="B247" s="13" t="s">
        <v>13</v>
      </c>
      <c r="C247" s="66">
        <v>2.0299999999999999E-2</v>
      </c>
      <c r="D247" s="2" t="s">
        <v>55</v>
      </c>
      <c r="E247" s="73">
        <v>86586</v>
      </c>
      <c r="F247" s="5">
        <v>1</v>
      </c>
      <c r="G247" s="2"/>
      <c r="H247" s="73"/>
      <c r="I247" s="5"/>
      <c r="J247" s="74">
        <f>Tabla22[[#This Row],[Base price1]]*Tabla22[[#This Row],[Req.]]+Tabla22[[#This Row],[Base price2]]*Tabla22[[#This Row],[Req.2]]</f>
        <v>86586</v>
      </c>
      <c r="K247" s="73">
        <f>IFERROR(LOOKUP(Tabla22[[#This Row],[Product]],$R$18:$R$23,$T$18:$T$23)*Tabla22[[#This Row],[QualityBonus]]*Tabla22[[#This Row],[Base price1]]*Tabla22[[#This Row],[Req.]],0)</f>
        <v>7030.7831999999999</v>
      </c>
      <c r="L247" s="73">
        <f>IF(Tabla22[[#This Row],[Req.2]]&gt;0,LOOKUP(Tabla22[[#This Row],[Product2]],$R$18:$R$23,$T$18:$T$23)*Tabla22[[#This Row],[Base price2]]*Tabla22[[#This Row],[Req.2]]*Tabla22[[#This Row],[QualityBonus]],0)</f>
        <v>0</v>
      </c>
      <c r="M247" s="73">
        <f>IFERROR((Tabla22[[#This Row],[Base price1]]-LOOKUP(Tabla22[[#This Row],[Product]],$R$18:$R$23,$S$18:$S$23))*Tabla22[[#This Row],[Req.]],0)</f>
        <v>9586</v>
      </c>
      <c r="N247" s="73">
        <f>IF(Tabla22[[#This Row],[Req.2]]&gt;0,(Tabla22[[#This Row],[Base price2]]-LOOKUP(Tabla22[[#This Row],[Product2]],$R$18:$R$23,$S$18:$S$23))*Tabla22[[#This Row],[Req.2]],0)</f>
        <v>0</v>
      </c>
      <c r="O247" s="73">
        <f>SUM(Tabla22[[#This Row],[Bonus1]:[p2]])</f>
        <v>16616.783199999998</v>
      </c>
      <c r="P247" s="73">
        <f>IF(Tabla22[[#This Row],[QualityBonus]]&gt;0,Tabla22[[#This Row],[No wages]]-$C$4,"")</f>
        <v>-31245.501038442228</v>
      </c>
    </row>
    <row r="248" spans="1:16" x14ac:dyDescent="0.25">
      <c r="A248" s="13">
        <v>232</v>
      </c>
      <c r="B248" s="13" t="s">
        <v>13</v>
      </c>
      <c r="C248" s="66">
        <v>2.07E-2</v>
      </c>
      <c r="D248" s="2" t="s">
        <v>54</v>
      </c>
      <c r="E248" s="73">
        <v>62664</v>
      </c>
      <c r="F248" s="5">
        <v>1</v>
      </c>
      <c r="G248" s="2" t="s">
        <v>57</v>
      </c>
      <c r="H248" s="73">
        <v>84005</v>
      </c>
      <c r="I248" s="5">
        <v>2</v>
      </c>
      <c r="J248" s="74">
        <f>Tabla22[[#This Row],[Base price1]]*Tabla22[[#This Row],[Req.]]+Tabla22[[#This Row],[Base price2]]*Tabla22[[#This Row],[Req.2]]</f>
        <v>230674</v>
      </c>
      <c r="K248" s="73">
        <f>IFERROR(LOOKUP(Tabla22[[#This Row],[Product]],$R$18:$R$23,$T$18:$T$23)*Tabla22[[#This Row],[QualityBonus]]*Tabla22[[#This Row],[Base price1]]*Tabla22[[#This Row],[Req.]],0)</f>
        <v>6485.7239999999993</v>
      </c>
      <c r="L248" s="73">
        <f>IF(Tabla22[[#This Row],[Req.2]]&gt;0,LOOKUP(Tabla22[[#This Row],[Product2]],$R$18:$R$23,$T$18:$T$23)*Tabla22[[#This Row],[Base price2]]*Tabla22[[#This Row],[Req.2]]*Tabla22[[#This Row],[QualityBonus]],0)</f>
        <v>13911.227999999999</v>
      </c>
      <c r="M248" s="73">
        <f>IFERROR((Tabla22[[#This Row],[Base price1]]-LOOKUP(Tabla22[[#This Row],[Product]],$R$18:$R$23,$S$18:$S$23))*Tabla22[[#This Row],[Req.]],0)</f>
        <v>6164</v>
      </c>
      <c r="N248" s="73">
        <f>IF(Tabla22[[#This Row],[Req.2]]&gt;0,(Tabla22[[#This Row],[Base price2]]-LOOKUP(Tabla22[[#This Row],[Product2]],$R$18:$R$23,$S$18:$S$23))*Tabla22[[#This Row],[Req.2]],0)</f>
        <v>14010</v>
      </c>
      <c r="O248" s="73">
        <f>SUM(Tabla22[[#This Row],[Bonus1]:[p2]])</f>
        <v>40570.951999999997</v>
      </c>
      <c r="P248" s="73">
        <f>IF(Tabla22[[#This Row],[QualityBonus]]&gt;0,Tabla22[[#This Row],[No wages]]-$C$4,"")</f>
        <v>-7291.3322384422281</v>
      </c>
    </row>
    <row r="249" spans="1:16" x14ac:dyDescent="0.25">
      <c r="A249" s="13">
        <v>233</v>
      </c>
      <c r="B249" s="13" t="s">
        <v>13</v>
      </c>
      <c r="C249" s="66">
        <v>1.23E-2</v>
      </c>
      <c r="D249" s="2" t="s">
        <v>56</v>
      </c>
      <c r="E249" s="73">
        <v>220680</v>
      </c>
      <c r="F249" s="5">
        <v>2</v>
      </c>
      <c r="G249" s="2" t="s">
        <v>57</v>
      </c>
      <c r="H249" s="73">
        <v>85165</v>
      </c>
      <c r="I249" s="5">
        <v>2</v>
      </c>
      <c r="J249" s="74">
        <f>Tabla22[[#This Row],[Base price1]]*Tabla22[[#This Row],[Req.]]+Tabla22[[#This Row],[Base price2]]*Tabla22[[#This Row],[Req.2]]</f>
        <v>611690</v>
      </c>
      <c r="K249" s="73">
        <f>IFERROR(LOOKUP(Tabla22[[#This Row],[Product]],$R$18:$R$23,$T$18:$T$23)*Tabla22[[#This Row],[QualityBonus]]*Tabla22[[#This Row],[Base price1]]*Tabla22[[#This Row],[Req.]],0)</f>
        <v>16286.184000000001</v>
      </c>
      <c r="L249" s="73">
        <f>IF(Tabla22[[#This Row],[Req.2]]&gt;0,LOOKUP(Tabla22[[#This Row],[Product2]],$R$18:$R$23,$T$18:$T$23)*Tabla22[[#This Row],[Base price2]]*Tabla22[[#This Row],[Req.2]]*Tabla22[[#This Row],[QualityBonus]],0)</f>
        <v>8380.2360000000008</v>
      </c>
      <c r="M249" s="73">
        <f>IFERROR((Tabla22[[#This Row],[Base price1]]-LOOKUP(Tabla22[[#This Row],[Product]],$R$18:$R$23,$S$18:$S$23))*Tabla22[[#This Row],[Req.]],0)</f>
        <v>-640</v>
      </c>
      <c r="N249" s="73">
        <f>IF(Tabla22[[#This Row],[Req.2]]&gt;0,(Tabla22[[#This Row],[Base price2]]-LOOKUP(Tabla22[[#This Row],[Product2]],$R$18:$R$23,$S$18:$S$23))*Tabla22[[#This Row],[Req.2]],0)</f>
        <v>16330</v>
      </c>
      <c r="O249" s="73">
        <f>SUM(Tabla22[[#This Row],[Bonus1]:[p2]])</f>
        <v>40356.42</v>
      </c>
      <c r="P249" s="73">
        <f>IF(Tabla22[[#This Row],[QualityBonus]]&gt;0,Tabla22[[#This Row],[No wages]]-$C$4,"")</f>
        <v>-7505.8642384422274</v>
      </c>
    </row>
    <row r="250" spans="1:16" x14ac:dyDescent="0.25">
      <c r="A250" s="13">
        <v>234</v>
      </c>
      <c r="B250" s="13" t="s">
        <v>13</v>
      </c>
      <c r="C250" s="66">
        <v>2.24E-2</v>
      </c>
      <c r="D250" s="2" t="s">
        <v>55</v>
      </c>
      <c r="E250" s="73">
        <v>83641</v>
      </c>
      <c r="F250" s="5">
        <v>1</v>
      </c>
      <c r="G250" s="2"/>
      <c r="H250" s="73"/>
      <c r="I250" s="5"/>
      <c r="J250" s="74">
        <f>Tabla22[[#This Row],[Base price1]]*Tabla22[[#This Row],[Req.]]+Tabla22[[#This Row],[Base price2]]*Tabla22[[#This Row],[Req.2]]</f>
        <v>83641</v>
      </c>
      <c r="K250" s="73">
        <f>IFERROR(LOOKUP(Tabla22[[#This Row],[Product]],$R$18:$R$23,$T$18:$T$23)*Tabla22[[#This Row],[QualityBonus]]*Tabla22[[#This Row],[Base price1]]*Tabla22[[#This Row],[Req.]],0)</f>
        <v>7494.2335999999996</v>
      </c>
      <c r="L250" s="73">
        <f>IF(Tabla22[[#This Row],[Req.2]]&gt;0,LOOKUP(Tabla22[[#This Row],[Product2]],$R$18:$R$23,$T$18:$T$23)*Tabla22[[#This Row],[Base price2]]*Tabla22[[#This Row],[Req.2]]*Tabla22[[#This Row],[QualityBonus]],0)</f>
        <v>0</v>
      </c>
      <c r="M250" s="73">
        <f>IFERROR((Tabla22[[#This Row],[Base price1]]-LOOKUP(Tabla22[[#This Row],[Product]],$R$18:$R$23,$S$18:$S$23))*Tabla22[[#This Row],[Req.]],0)</f>
        <v>6641</v>
      </c>
      <c r="N250" s="73">
        <f>IF(Tabla22[[#This Row],[Req.2]]&gt;0,(Tabla22[[#This Row],[Base price2]]-LOOKUP(Tabla22[[#This Row],[Product2]],$R$18:$R$23,$S$18:$S$23))*Tabla22[[#This Row],[Req.2]],0)</f>
        <v>0</v>
      </c>
      <c r="O250" s="73">
        <f>SUM(Tabla22[[#This Row],[Bonus1]:[p2]])</f>
        <v>14135.2336</v>
      </c>
      <c r="P250" s="73">
        <f>IF(Tabla22[[#This Row],[QualityBonus]]&gt;0,Tabla22[[#This Row],[No wages]]-$C$4,"")</f>
        <v>-33727.050638442226</v>
      </c>
    </row>
    <row r="251" spans="1:16" x14ac:dyDescent="0.25">
      <c r="A251" s="13">
        <v>235</v>
      </c>
      <c r="B251" s="13" t="s">
        <v>13</v>
      </c>
      <c r="C251" s="66">
        <v>2.5399999999999999E-2</v>
      </c>
      <c r="D251" s="2" t="s">
        <v>54</v>
      </c>
      <c r="E251" s="73">
        <v>59847</v>
      </c>
      <c r="F251" s="5">
        <v>1</v>
      </c>
      <c r="G251" s="2" t="s">
        <v>56</v>
      </c>
      <c r="H251" s="73">
        <v>224161</v>
      </c>
      <c r="I251" s="5">
        <v>4</v>
      </c>
      <c r="J251" s="74">
        <f>Tabla22[[#This Row],[Base price1]]*Tabla22[[#This Row],[Req.]]+Tabla22[[#This Row],[Base price2]]*Tabla22[[#This Row],[Req.2]]</f>
        <v>956491</v>
      </c>
      <c r="K251" s="73">
        <f>IFERROR(LOOKUP(Tabla22[[#This Row],[Product]],$R$18:$R$23,$T$18:$T$23)*Tabla22[[#This Row],[QualityBonus]]*Tabla22[[#This Row],[Base price1]]*Tabla22[[#This Row],[Req.]],0)</f>
        <v>7600.5690000000004</v>
      </c>
      <c r="L251" s="73">
        <f>IF(Tabla22[[#This Row],[Req.2]]&gt;0,LOOKUP(Tabla22[[#This Row],[Product2]],$R$18:$R$23,$T$18:$T$23)*Tabla22[[#This Row],[Base price2]]*Tabla22[[#This Row],[Req.2]]*Tabla22[[#This Row],[QualityBonus]],0)</f>
        <v>68324.272799999992</v>
      </c>
      <c r="M251" s="73">
        <f>IFERROR((Tabla22[[#This Row],[Base price1]]-LOOKUP(Tabla22[[#This Row],[Product]],$R$18:$R$23,$S$18:$S$23))*Tabla22[[#This Row],[Req.]],0)</f>
        <v>3347</v>
      </c>
      <c r="N251" s="73">
        <f>IF(Tabla22[[#This Row],[Req.2]]&gt;0,(Tabla22[[#This Row],[Base price2]]-LOOKUP(Tabla22[[#This Row],[Product2]],$R$18:$R$23,$S$18:$S$23))*Tabla22[[#This Row],[Req.2]],0)</f>
        <v>12644</v>
      </c>
      <c r="O251" s="73">
        <f>SUM(Tabla22[[#This Row],[Bonus1]:[p2]])</f>
        <v>91915.841799999995</v>
      </c>
      <c r="P251" s="73">
        <f>IF(Tabla22[[#This Row],[QualityBonus]]&gt;0,Tabla22[[#This Row],[No wages]]-$C$4,"")</f>
        <v>44053.557561557769</v>
      </c>
    </row>
    <row r="252" spans="1:16" x14ac:dyDescent="0.25">
      <c r="A252" s="13">
        <v>236</v>
      </c>
      <c r="B252" s="13" t="s">
        <v>13</v>
      </c>
      <c r="C252" s="66">
        <v>2.8899999999999999E-2</v>
      </c>
      <c r="D252" s="2" t="s">
        <v>27</v>
      </c>
      <c r="E252" s="73">
        <v>819339</v>
      </c>
      <c r="F252" s="5">
        <v>4</v>
      </c>
      <c r="G252" s="2" t="s">
        <v>54</v>
      </c>
      <c r="H252" s="73">
        <v>60856</v>
      </c>
      <c r="I252" s="5">
        <v>1</v>
      </c>
      <c r="J252" s="74">
        <f>Tabla22[[#This Row],[Base price1]]*Tabla22[[#This Row],[Req.]]+Tabla22[[#This Row],[Base price2]]*Tabla22[[#This Row],[Req.2]]</f>
        <v>3338212</v>
      </c>
      <c r="K252" s="73">
        <f>IFERROR(LOOKUP(Tabla22[[#This Row],[Product]],$R$18:$R$23,$T$18:$T$23)*Tabla22[[#This Row],[QualityBonus]]*Tabla22[[#This Row],[Base price1]]*Tabla22[[#This Row],[Req.]],0)</f>
        <v>568293.53040000005</v>
      </c>
      <c r="L252" s="73">
        <f>IF(Tabla22[[#This Row],[Req.2]]&gt;0,LOOKUP(Tabla22[[#This Row],[Product2]],$R$18:$R$23,$T$18:$T$23)*Tabla22[[#This Row],[Base price2]]*Tabla22[[#This Row],[Req.2]]*Tabla22[[#This Row],[QualityBonus]],0)</f>
        <v>8793.6919999999991</v>
      </c>
      <c r="M252" s="73">
        <f>IFERROR((Tabla22[[#This Row],[Base price1]]-LOOKUP(Tabla22[[#This Row],[Product]],$R$18:$R$23,$S$18:$S$23))*Tabla22[[#This Row],[Req.]],0)</f>
        <v>-78644</v>
      </c>
      <c r="N252" s="73">
        <f>IF(Tabla22[[#This Row],[Req.2]]&gt;0,(Tabla22[[#This Row],[Base price2]]-LOOKUP(Tabla22[[#This Row],[Product2]],$R$18:$R$23,$S$18:$S$23))*Tabla22[[#This Row],[Req.2]],0)</f>
        <v>4356</v>
      </c>
      <c r="O252" s="73">
        <f>SUM(Tabla22[[#This Row],[Bonus1]:[p2]])</f>
        <v>502799.22240000009</v>
      </c>
      <c r="P252" s="73">
        <f>IF(Tabla22[[#This Row],[QualityBonus]]&gt;0,Tabla22[[#This Row],[No wages]]-$C$4,"")</f>
        <v>454936.93816155789</v>
      </c>
    </row>
    <row r="253" spans="1:16" x14ac:dyDescent="0.25">
      <c r="A253" s="24">
        <v>237</v>
      </c>
      <c r="B253" s="24" t="s">
        <v>13</v>
      </c>
      <c r="C253" s="44">
        <v>2.5399999999999999E-2</v>
      </c>
      <c r="D253" s="37" t="s">
        <v>52</v>
      </c>
      <c r="E253" s="72">
        <v>121384</v>
      </c>
      <c r="F253" s="39">
        <v>1</v>
      </c>
      <c r="G253" s="37" t="s">
        <v>27</v>
      </c>
      <c r="H253" s="72">
        <v>851258</v>
      </c>
      <c r="I253" s="39">
        <v>4</v>
      </c>
      <c r="J253" s="75">
        <f>Tabla22[[#This Row],[Base price1]]*Tabla22[[#This Row],[Req.]]+Tabla22[[#This Row],[Base price2]]*Tabla22[[#This Row],[Req.2]]</f>
        <v>3526416</v>
      </c>
      <c r="K253" s="72">
        <f>IFERROR(LOOKUP(Tabla22[[#This Row],[Product]],$R$18:$R$23,$T$18:$T$23)*Tabla22[[#This Row],[QualityBonus]]*Tabla22[[#This Row],[Base price1]]*Tabla22[[#This Row],[Req.]],0)</f>
        <v>18498.921599999998</v>
      </c>
      <c r="L253" s="72">
        <f>IF(Tabla22[[#This Row],[Req.2]]&gt;0,LOOKUP(Tabla22[[#This Row],[Product2]],$R$18:$R$23,$T$18:$T$23)*Tabla22[[#This Row],[Base price2]]*Tabla22[[#This Row],[Req.2]]*Tabla22[[#This Row],[QualityBonus]],0)</f>
        <v>518926.87679999997</v>
      </c>
      <c r="M253" s="72">
        <f>IFERROR((Tabla22[[#This Row],[Base price1]]-LOOKUP(Tabla22[[#This Row],[Product]],$R$18:$R$23,$S$18:$S$23))*Tabla22[[#This Row],[Req.]],0)</f>
        <v>5384</v>
      </c>
      <c r="N253" s="72">
        <f>IF(Tabla22[[#This Row],[Req.2]]&gt;0,(Tabla22[[#This Row],[Base price2]]-LOOKUP(Tabla22[[#This Row],[Product2]],$R$18:$R$23,$S$18:$S$23))*Tabla22[[#This Row],[Req.2]],0)</f>
        <v>49032</v>
      </c>
      <c r="O253" s="72">
        <f>SUM(Tabla22[[#This Row],[Bonus1]:[p2]])</f>
        <v>591841.79839999997</v>
      </c>
      <c r="P253" s="72">
        <f>IF(Tabla22[[#This Row],[QualityBonus]]&gt;0,Tabla22[[#This Row],[No wages]]-$C$4,"")</f>
        <v>543979.51416155777</v>
      </c>
    </row>
    <row r="254" spans="1:16" x14ac:dyDescent="0.25">
      <c r="A254" s="13">
        <v>238</v>
      </c>
      <c r="B254" s="13" t="s">
        <v>13</v>
      </c>
      <c r="C254" s="66">
        <v>2.69E-2</v>
      </c>
      <c r="D254" s="2" t="s">
        <v>53</v>
      </c>
      <c r="E254" s="73">
        <v>42160</v>
      </c>
      <c r="F254" s="5">
        <v>4</v>
      </c>
      <c r="G254" s="2" t="s">
        <v>54</v>
      </c>
      <c r="H254" s="73">
        <v>60180</v>
      </c>
      <c r="I254" s="5">
        <v>2</v>
      </c>
      <c r="J254" s="74">
        <f>Tabla22[[#This Row],[Base price1]]*Tabla22[[#This Row],[Req.]]+Tabla22[[#This Row],[Base price2]]*Tabla22[[#This Row],[Req.2]]</f>
        <v>289000</v>
      </c>
      <c r="K254" s="73">
        <f>IFERROR(LOOKUP(Tabla22[[#This Row],[Product]],$R$18:$R$23,$T$18:$T$23)*Tabla22[[#This Row],[QualityBonus]]*Tabla22[[#This Row],[Base price1]]*Tabla22[[#This Row],[Req.]],0)</f>
        <v>18145.664000000001</v>
      </c>
      <c r="L254" s="73">
        <f>IF(Tabla22[[#This Row],[Req.2]]&gt;0,LOOKUP(Tabla22[[#This Row],[Product2]],$R$18:$R$23,$T$18:$T$23)*Tabla22[[#This Row],[Base price2]]*Tabla22[[#This Row],[Req.2]]*Tabla22[[#This Row],[QualityBonus]],0)</f>
        <v>16188.42</v>
      </c>
      <c r="M254" s="73">
        <f>IFERROR((Tabla22[[#This Row],[Base price1]]-LOOKUP(Tabla22[[#This Row],[Product]],$R$18:$R$23,$S$18:$S$23))*Tabla22[[#This Row],[Req.]],0)</f>
        <v>32640</v>
      </c>
      <c r="N254" s="73">
        <f>IF(Tabla22[[#This Row],[Req.2]]&gt;0,(Tabla22[[#This Row],[Base price2]]-LOOKUP(Tabla22[[#This Row],[Product2]],$R$18:$R$23,$S$18:$S$23))*Tabla22[[#This Row],[Req.2]],0)</f>
        <v>7360</v>
      </c>
      <c r="O254" s="73">
        <f>SUM(Tabla22[[#This Row],[Bonus1]:[p2]])</f>
        <v>74334.084000000003</v>
      </c>
      <c r="P254" s="73">
        <f>IF(Tabla22[[#This Row],[QualityBonus]]&gt;0,Tabla22[[#This Row],[No wages]]-$C$4,"")</f>
        <v>26471.799761557777</v>
      </c>
    </row>
    <row r="255" spans="1:16" x14ac:dyDescent="0.25">
      <c r="A255" s="13">
        <v>239</v>
      </c>
      <c r="B255" s="13" t="s">
        <v>13</v>
      </c>
      <c r="C255" s="66">
        <v>1.14E-2</v>
      </c>
      <c r="D255" s="2" t="s">
        <v>53</v>
      </c>
      <c r="E255" s="73">
        <v>41157</v>
      </c>
      <c r="F255" s="5">
        <v>2</v>
      </c>
      <c r="G255" s="2" t="s">
        <v>54</v>
      </c>
      <c r="H255" s="73">
        <v>61303</v>
      </c>
      <c r="I255" s="5">
        <v>3</v>
      </c>
      <c r="J255" s="74">
        <f>Tabla22[[#This Row],[Base price1]]*Tabla22[[#This Row],[Req.]]+Tabla22[[#This Row],[Base price2]]*Tabla22[[#This Row],[Req.2]]</f>
        <v>266223</v>
      </c>
      <c r="K255" s="73">
        <f>IFERROR(LOOKUP(Tabla22[[#This Row],[Product]],$R$18:$R$23,$T$18:$T$23)*Tabla22[[#This Row],[QualityBonus]]*Tabla22[[#This Row],[Base price1]]*Tabla22[[#This Row],[Req.]],0)</f>
        <v>3753.5183999999999</v>
      </c>
      <c r="L255" s="73">
        <f>IF(Tabla22[[#This Row],[Req.2]]&gt;0,LOOKUP(Tabla22[[#This Row],[Product2]],$R$18:$R$23,$T$18:$T$23)*Tabla22[[#This Row],[Base price2]]*Tabla22[[#This Row],[Req.2]]*Tabla22[[#This Row],[QualityBonus]],0)</f>
        <v>10482.813</v>
      </c>
      <c r="M255" s="73">
        <f>IFERROR((Tabla22[[#This Row],[Base price1]]-LOOKUP(Tabla22[[#This Row],[Product]],$R$18:$R$23,$S$18:$S$23))*Tabla22[[#This Row],[Req.]],0)</f>
        <v>14314</v>
      </c>
      <c r="N255" s="73">
        <f>IF(Tabla22[[#This Row],[Req.2]]&gt;0,(Tabla22[[#This Row],[Base price2]]-LOOKUP(Tabla22[[#This Row],[Product2]],$R$18:$R$23,$S$18:$S$23))*Tabla22[[#This Row],[Req.2]],0)</f>
        <v>14409</v>
      </c>
      <c r="O255" s="73">
        <f>SUM(Tabla22[[#This Row],[Bonus1]:[p2]])</f>
        <v>42959.331399999995</v>
      </c>
      <c r="P255" s="73">
        <f>IF(Tabla22[[#This Row],[QualityBonus]]&gt;0,Tabla22[[#This Row],[No wages]]-$C$4,"")</f>
        <v>-4902.9528384422301</v>
      </c>
    </row>
    <row r="256" spans="1:16" x14ac:dyDescent="0.25">
      <c r="A256" s="13">
        <v>240</v>
      </c>
      <c r="B256" s="13" t="s">
        <v>13</v>
      </c>
      <c r="C256" s="66">
        <v>1.11E-2</v>
      </c>
      <c r="D256" s="2" t="s">
        <v>54</v>
      </c>
      <c r="E256" s="73">
        <v>62851</v>
      </c>
      <c r="F256" s="5">
        <v>3</v>
      </c>
      <c r="G256" s="2"/>
      <c r="H256" s="73"/>
      <c r="I256" s="5"/>
      <c r="J256" s="74">
        <f>Tabla22[[#This Row],[Base price1]]*Tabla22[[#This Row],[Req.]]+Tabla22[[#This Row],[Base price2]]*Tabla22[[#This Row],[Req.2]]</f>
        <v>188553</v>
      </c>
      <c r="K256" s="73">
        <f>IFERROR(LOOKUP(Tabla22[[#This Row],[Product]],$R$18:$R$23,$T$18:$T$23)*Tabla22[[#This Row],[QualityBonus]]*Tabla22[[#This Row],[Base price1]]*Tabla22[[#This Row],[Req.]],0)</f>
        <v>10464.691500000001</v>
      </c>
      <c r="L256" s="73">
        <f>IF(Tabla22[[#This Row],[Req.2]]&gt;0,LOOKUP(Tabla22[[#This Row],[Product2]],$R$18:$R$23,$T$18:$T$23)*Tabla22[[#This Row],[Base price2]]*Tabla22[[#This Row],[Req.2]]*Tabla22[[#This Row],[QualityBonus]],0)</f>
        <v>0</v>
      </c>
      <c r="M256" s="73">
        <f>IFERROR((Tabla22[[#This Row],[Base price1]]-LOOKUP(Tabla22[[#This Row],[Product]],$R$18:$R$23,$S$18:$S$23))*Tabla22[[#This Row],[Req.]],0)</f>
        <v>19053</v>
      </c>
      <c r="N256" s="73">
        <f>IF(Tabla22[[#This Row],[Req.2]]&gt;0,(Tabla22[[#This Row],[Base price2]]-LOOKUP(Tabla22[[#This Row],[Product2]],$R$18:$R$23,$S$18:$S$23))*Tabla22[[#This Row],[Req.2]],0)</f>
        <v>0</v>
      </c>
      <c r="O256" s="73">
        <f>SUM(Tabla22[[#This Row],[Bonus1]:[p2]])</f>
        <v>29517.691500000001</v>
      </c>
      <c r="P256" s="73">
        <f>IF(Tabla22[[#This Row],[QualityBonus]]&gt;0,Tabla22[[#This Row],[No wages]]-$C$4,"")</f>
        <v>-18344.592738442225</v>
      </c>
    </row>
    <row r="257" spans="1:16" x14ac:dyDescent="0.25">
      <c r="A257" s="13">
        <v>241</v>
      </c>
      <c r="B257" s="13" t="s">
        <v>13</v>
      </c>
      <c r="C257" s="66">
        <v>2.1000000000000001E-2</v>
      </c>
      <c r="D257" s="2" t="s">
        <v>55</v>
      </c>
      <c r="E257" s="73">
        <v>82590</v>
      </c>
      <c r="F257" s="5">
        <v>2</v>
      </c>
      <c r="G257" s="2" t="s">
        <v>52</v>
      </c>
      <c r="H257" s="73">
        <v>118067</v>
      </c>
      <c r="I257" s="5">
        <v>4</v>
      </c>
      <c r="J257" s="74">
        <f>Tabla22[[#This Row],[Base price1]]*Tabla22[[#This Row],[Req.]]+Tabla22[[#This Row],[Base price2]]*Tabla22[[#This Row],[Req.2]]</f>
        <v>637448</v>
      </c>
      <c r="K257" s="73">
        <f>IFERROR(LOOKUP(Tabla22[[#This Row],[Product]],$R$18:$R$23,$T$18:$T$23)*Tabla22[[#This Row],[QualityBonus]]*Tabla22[[#This Row],[Base price1]]*Tabla22[[#This Row],[Req.]],0)</f>
        <v>13875.12</v>
      </c>
      <c r="L257" s="73">
        <f>IF(Tabla22[[#This Row],[Req.2]]&gt;0,LOOKUP(Tabla22[[#This Row],[Product2]],$R$18:$R$23,$T$18:$T$23)*Tabla22[[#This Row],[Base price2]]*Tabla22[[#This Row],[Req.2]]*Tabla22[[#This Row],[QualityBonus]],0)</f>
        <v>59505.768000000004</v>
      </c>
      <c r="M257" s="73">
        <f>IFERROR((Tabla22[[#This Row],[Base price1]]-LOOKUP(Tabla22[[#This Row],[Product]],$R$18:$R$23,$S$18:$S$23))*Tabla22[[#This Row],[Req.]],0)</f>
        <v>11180</v>
      </c>
      <c r="N257" s="73">
        <f>IF(Tabla22[[#This Row],[Req.2]]&gt;0,(Tabla22[[#This Row],[Base price2]]-LOOKUP(Tabla22[[#This Row],[Product2]],$R$18:$R$23,$S$18:$S$23))*Tabla22[[#This Row],[Req.2]],0)</f>
        <v>8268</v>
      </c>
      <c r="O257" s="73">
        <f>SUM(Tabla22[[#This Row],[Bonus1]:[p2]])</f>
        <v>92828.888000000006</v>
      </c>
      <c r="P257" s="73">
        <f>IF(Tabla22[[#This Row],[QualityBonus]]&gt;0,Tabla22[[#This Row],[No wages]]-$C$4,"")</f>
        <v>44966.603761557781</v>
      </c>
    </row>
    <row r="258" spans="1:16" x14ac:dyDescent="0.25">
      <c r="A258" s="13">
        <v>242</v>
      </c>
      <c r="B258" s="13" t="s">
        <v>13</v>
      </c>
      <c r="C258" s="66">
        <v>2.87E-2</v>
      </c>
      <c r="D258" s="2" t="s">
        <v>53</v>
      </c>
      <c r="E258" s="73">
        <v>41174</v>
      </c>
      <c r="F258" s="5">
        <v>4</v>
      </c>
      <c r="G258" s="2" t="s">
        <v>52</v>
      </c>
      <c r="H258" s="73">
        <v>119540</v>
      </c>
      <c r="I258" s="5">
        <v>2</v>
      </c>
      <c r="J258" s="74">
        <f>Tabla22[[#This Row],[Base price1]]*Tabla22[[#This Row],[Req.]]+Tabla22[[#This Row],[Base price2]]*Tabla22[[#This Row],[Req.2]]</f>
        <v>403776</v>
      </c>
      <c r="K258" s="73">
        <f>IFERROR(LOOKUP(Tabla22[[#This Row],[Product]],$R$18:$R$23,$T$18:$T$23)*Tabla22[[#This Row],[QualityBonus]]*Tabla22[[#This Row],[Base price1]]*Tabla22[[#This Row],[Req.]],0)</f>
        <v>18907.1008</v>
      </c>
      <c r="L258" s="73">
        <f>IF(Tabla22[[#This Row],[Req.2]]&gt;0,LOOKUP(Tabla22[[#This Row],[Product2]],$R$18:$R$23,$T$18:$T$23)*Tabla22[[#This Row],[Base price2]]*Tabla22[[#This Row],[Req.2]]*Tabla22[[#This Row],[QualityBonus]],0)</f>
        <v>41169.576000000001</v>
      </c>
      <c r="M258" s="73">
        <f>IFERROR((Tabla22[[#This Row],[Base price1]]-LOOKUP(Tabla22[[#This Row],[Product]],$R$18:$R$23,$S$18:$S$23))*Tabla22[[#This Row],[Req.]],0)</f>
        <v>28696</v>
      </c>
      <c r="N258" s="73">
        <f>IF(Tabla22[[#This Row],[Req.2]]&gt;0,(Tabla22[[#This Row],[Base price2]]-LOOKUP(Tabla22[[#This Row],[Product2]],$R$18:$R$23,$S$18:$S$23))*Tabla22[[#This Row],[Req.2]],0)</f>
        <v>7080</v>
      </c>
      <c r="O258" s="73">
        <f>SUM(Tabla22[[#This Row],[Bonus1]:[p2]])</f>
        <v>95852.676800000001</v>
      </c>
      <c r="P258" s="73">
        <f>IF(Tabla22[[#This Row],[QualityBonus]]&gt;0,Tabla22[[#This Row],[No wages]]-$C$4,"")</f>
        <v>47990.392561557775</v>
      </c>
    </row>
    <row r="259" spans="1:16" x14ac:dyDescent="0.25">
      <c r="A259" s="13">
        <v>243</v>
      </c>
      <c r="B259" s="13" t="s">
        <v>13</v>
      </c>
      <c r="C259" s="66">
        <v>2.1000000000000001E-2</v>
      </c>
      <c r="D259" s="2" t="s">
        <v>52</v>
      </c>
      <c r="E259" s="73">
        <v>117019</v>
      </c>
      <c r="F259" s="5">
        <v>4</v>
      </c>
      <c r="G259" s="2" t="s">
        <v>54</v>
      </c>
      <c r="H259" s="73">
        <v>60879</v>
      </c>
      <c r="I259" s="5">
        <v>3</v>
      </c>
      <c r="J259" s="74">
        <f>Tabla22[[#This Row],[Base price1]]*Tabla22[[#This Row],[Req.]]+Tabla22[[#This Row],[Base price2]]*Tabla22[[#This Row],[Req.2]]</f>
        <v>650713</v>
      </c>
      <c r="K259" s="73">
        <f>IFERROR(LOOKUP(Tabla22[[#This Row],[Product]],$R$18:$R$23,$T$18:$T$23)*Tabla22[[#This Row],[QualityBonus]]*Tabla22[[#This Row],[Base price1]]*Tabla22[[#This Row],[Req.]],0)</f>
        <v>58977.576000000001</v>
      </c>
      <c r="L259" s="73">
        <f>IF(Tabla22[[#This Row],[Req.2]]&gt;0,LOOKUP(Tabla22[[#This Row],[Product2]],$R$18:$R$23,$T$18:$T$23)*Tabla22[[#This Row],[Base price2]]*Tabla22[[#This Row],[Req.2]]*Tabla22[[#This Row],[QualityBonus]],0)</f>
        <v>19176.885000000002</v>
      </c>
      <c r="M259" s="73">
        <f>IFERROR((Tabla22[[#This Row],[Base price1]]-LOOKUP(Tabla22[[#This Row],[Product]],$R$18:$R$23,$S$18:$S$23))*Tabla22[[#This Row],[Req.]],0)</f>
        <v>4076</v>
      </c>
      <c r="N259" s="73">
        <f>IF(Tabla22[[#This Row],[Req.2]]&gt;0,(Tabla22[[#This Row],[Base price2]]-LOOKUP(Tabla22[[#This Row],[Product2]],$R$18:$R$23,$S$18:$S$23))*Tabla22[[#This Row],[Req.2]],0)</f>
        <v>13137</v>
      </c>
      <c r="O259" s="73">
        <f>SUM(Tabla22[[#This Row],[Bonus1]:[p2]])</f>
        <v>95367.46100000001</v>
      </c>
      <c r="P259" s="73">
        <f>IF(Tabla22[[#This Row],[QualityBonus]]&gt;0,Tabla22[[#This Row],[No wages]]-$C$4,"")</f>
        <v>47505.176761557785</v>
      </c>
    </row>
    <row r="260" spans="1:16" x14ac:dyDescent="0.25">
      <c r="A260" s="13">
        <v>244</v>
      </c>
      <c r="B260" s="13" t="s">
        <v>13</v>
      </c>
      <c r="C260" s="66">
        <v>1.72E-2</v>
      </c>
      <c r="D260" s="2" t="s">
        <v>53</v>
      </c>
      <c r="E260" s="73">
        <v>40146</v>
      </c>
      <c r="F260" s="5">
        <v>5</v>
      </c>
      <c r="G260" s="2"/>
      <c r="H260" s="73"/>
      <c r="I260" s="5"/>
      <c r="J260" s="74">
        <f>Tabla22[[#This Row],[Base price1]]*Tabla22[[#This Row],[Req.]]+Tabla22[[#This Row],[Base price2]]*Tabla22[[#This Row],[Req.2]]</f>
        <v>200730</v>
      </c>
      <c r="K260" s="73">
        <f>IFERROR(LOOKUP(Tabla22[[#This Row],[Product]],$R$18:$R$23,$T$18:$T$23)*Tabla22[[#This Row],[QualityBonus]]*Tabla22[[#This Row],[Base price1]]*Tabla22[[#This Row],[Req.]],0)</f>
        <v>13810.224</v>
      </c>
      <c r="L260" s="73">
        <f>IF(Tabla22[[#This Row],[Req.2]]&gt;0,LOOKUP(Tabla22[[#This Row],[Product2]],$R$18:$R$23,$T$18:$T$23)*Tabla22[[#This Row],[Base price2]]*Tabla22[[#This Row],[Req.2]]*Tabla22[[#This Row],[QualityBonus]],0)</f>
        <v>0</v>
      </c>
      <c r="M260" s="73">
        <f>IFERROR((Tabla22[[#This Row],[Base price1]]-LOOKUP(Tabla22[[#This Row],[Product]],$R$18:$R$23,$S$18:$S$23))*Tabla22[[#This Row],[Req.]],0)</f>
        <v>30730</v>
      </c>
      <c r="N260" s="73">
        <f>IF(Tabla22[[#This Row],[Req.2]]&gt;0,(Tabla22[[#This Row],[Base price2]]-LOOKUP(Tabla22[[#This Row],[Product2]],$R$18:$R$23,$S$18:$S$23))*Tabla22[[#This Row],[Req.2]],0)</f>
        <v>0</v>
      </c>
      <c r="O260" s="73">
        <f>SUM(Tabla22[[#This Row],[Bonus1]:[p2]])</f>
        <v>44540.224000000002</v>
      </c>
      <c r="P260" s="73">
        <f>IF(Tabla22[[#This Row],[QualityBonus]]&gt;0,Tabla22[[#This Row],[No wages]]-$C$4,"")</f>
        <v>-3322.0602384422236</v>
      </c>
    </row>
    <row r="261" spans="1:16" x14ac:dyDescent="0.25">
      <c r="A261" s="13">
        <v>245</v>
      </c>
      <c r="B261" s="13" t="s">
        <v>13</v>
      </c>
      <c r="C261" s="66">
        <v>2.6599999999999999E-2</v>
      </c>
      <c r="D261" s="2" t="s">
        <v>52</v>
      </c>
      <c r="E261" s="73">
        <v>118429</v>
      </c>
      <c r="F261" s="5">
        <v>4</v>
      </c>
      <c r="G261" s="2"/>
      <c r="H261" s="73"/>
      <c r="I261" s="5"/>
      <c r="J261" s="74">
        <f>Tabla22[[#This Row],[Base price1]]*Tabla22[[#This Row],[Req.]]+Tabla22[[#This Row],[Base price2]]*Tabla22[[#This Row],[Req.2]]</f>
        <v>473716</v>
      </c>
      <c r="K261" s="73">
        <f>IFERROR(LOOKUP(Tabla22[[#This Row],[Product]],$R$18:$R$23,$T$18:$T$23)*Tabla22[[#This Row],[QualityBonus]]*Tabla22[[#This Row],[Base price1]]*Tabla22[[#This Row],[Req.]],0)</f>
        <v>75605.073600000003</v>
      </c>
      <c r="L261" s="73">
        <f>IF(Tabla22[[#This Row],[Req.2]]&gt;0,LOOKUP(Tabla22[[#This Row],[Product2]],$R$18:$R$23,$T$18:$T$23)*Tabla22[[#This Row],[Base price2]]*Tabla22[[#This Row],[Req.2]]*Tabla22[[#This Row],[QualityBonus]],0)</f>
        <v>0</v>
      </c>
      <c r="M261" s="73">
        <f>IFERROR((Tabla22[[#This Row],[Base price1]]-LOOKUP(Tabla22[[#This Row],[Product]],$R$18:$R$23,$S$18:$S$23))*Tabla22[[#This Row],[Req.]],0)</f>
        <v>9716</v>
      </c>
      <c r="N261" s="73">
        <f>IF(Tabla22[[#This Row],[Req.2]]&gt;0,(Tabla22[[#This Row],[Base price2]]-LOOKUP(Tabla22[[#This Row],[Product2]],$R$18:$R$23,$S$18:$S$23))*Tabla22[[#This Row],[Req.2]],0)</f>
        <v>0</v>
      </c>
      <c r="O261" s="73">
        <f>SUM(Tabla22[[#This Row],[Bonus1]:[p2]])</f>
        <v>85321.073600000003</v>
      </c>
      <c r="P261" s="73">
        <f>IF(Tabla22[[#This Row],[QualityBonus]]&gt;0,Tabla22[[#This Row],[No wages]]-$C$4,"")</f>
        <v>37458.789361557778</v>
      </c>
    </row>
    <row r="262" spans="1:16" x14ac:dyDescent="0.25">
      <c r="A262" s="13">
        <v>246</v>
      </c>
      <c r="B262" s="13" t="s">
        <v>13</v>
      </c>
      <c r="C262" s="66">
        <v>1.7000000000000001E-2</v>
      </c>
      <c r="D262" s="2" t="s">
        <v>54</v>
      </c>
      <c r="E262" s="73">
        <v>61631</v>
      </c>
      <c r="F262" s="5">
        <v>3</v>
      </c>
      <c r="G262" s="2"/>
      <c r="H262" s="73"/>
      <c r="I262" s="5"/>
      <c r="J262" s="74">
        <f>Tabla22[[#This Row],[Base price1]]*Tabla22[[#This Row],[Req.]]+Tabla22[[#This Row],[Base price2]]*Tabla22[[#This Row],[Req.2]]</f>
        <v>184893</v>
      </c>
      <c r="K262" s="73">
        <f>IFERROR(LOOKUP(Tabla22[[#This Row],[Product]],$R$18:$R$23,$T$18:$T$23)*Tabla22[[#This Row],[QualityBonus]]*Tabla22[[#This Row],[Base price1]]*Tabla22[[#This Row],[Req.]],0)</f>
        <v>15715.905000000001</v>
      </c>
      <c r="L262" s="73">
        <f>IF(Tabla22[[#This Row],[Req.2]]&gt;0,LOOKUP(Tabla22[[#This Row],[Product2]],$R$18:$R$23,$T$18:$T$23)*Tabla22[[#This Row],[Base price2]]*Tabla22[[#This Row],[Req.2]]*Tabla22[[#This Row],[QualityBonus]],0)</f>
        <v>0</v>
      </c>
      <c r="M262" s="73">
        <f>IFERROR((Tabla22[[#This Row],[Base price1]]-LOOKUP(Tabla22[[#This Row],[Product]],$R$18:$R$23,$S$18:$S$23))*Tabla22[[#This Row],[Req.]],0)</f>
        <v>15393</v>
      </c>
      <c r="N262" s="73">
        <f>IF(Tabla22[[#This Row],[Req.2]]&gt;0,(Tabla22[[#This Row],[Base price2]]-LOOKUP(Tabla22[[#This Row],[Product2]],$R$18:$R$23,$S$18:$S$23))*Tabla22[[#This Row],[Req.2]],0)</f>
        <v>0</v>
      </c>
      <c r="O262" s="73">
        <f>SUM(Tabla22[[#This Row],[Bonus1]:[p2]])</f>
        <v>31108.904999999999</v>
      </c>
      <c r="P262" s="73">
        <f>IF(Tabla22[[#This Row],[QualityBonus]]&gt;0,Tabla22[[#This Row],[No wages]]-$C$4,"")</f>
        <v>-16753.379238442227</v>
      </c>
    </row>
    <row r="263" spans="1:16" x14ac:dyDescent="0.25">
      <c r="A263" s="13">
        <v>247</v>
      </c>
      <c r="B263" s="13" t="s">
        <v>13</v>
      </c>
      <c r="C263" s="66">
        <v>1.1599999999999999E-2</v>
      </c>
      <c r="D263" s="2" t="s">
        <v>52</v>
      </c>
      <c r="E263" s="73">
        <v>120176</v>
      </c>
      <c r="F263" s="5">
        <v>4</v>
      </c>
      <c r="G263" s="2" t="s">
        <v>54</v>
      </c>
      <c r="H263" s="73">
        <v>60947</v>
      </c>
      <c r="I263" s="5">
        <v>1</v>
      </c>
      <c r="J263" s="74">
        <f>Tabla22[[#This Row],[Base price1]]*Tabla22[[#This Row],[Req.]]+Tabla22[[#This Row],[Base price2]]*Tabla22[[#This Row],[Req.2]]</f>
        <v>541651</v>
      </c>
      <c r="K263" s="73">
        <f>IFERROR(LOOKUP(Tabla22[[#This Row],[Product]],$R$18:$R$23,$T$18:$T$23)*Tabla22[[#This Row],[QualityBonus]]*Tabla22[[#This Row],[Base price1]]*Tabla22[[#This Row],[Req.]],0)</f>
        <v>33456.998399999997</v>
      </c>
      <c r="L263" s="73">
        <f>IF(Tabla22[[#This Row],[Req.2]]&gt;0,LOOKUP(Tabla22[[#This Row],[Product2]],$R$18:$R$23,$T$18:$T$23)*Tabla22[[#This Row],[Base price2]]*Tabla22[[#This Row],[Req.2]]*Tabla22[[#This Row],[QualityBonus]],0)</f>
        <v>3534.9259999999999</v>
      </c>
      <c r="M263" s="73">
        <f>IFERROR((Tabla22[[#This Row],[Base price1]]-LOOKUP(Tabla22[[#This Row],[Product]],$R$18:$R$23,$S$18:$S$23))*Tabla22[[#This Row],[Req.]],0)</f>
        <v>16704</v>
      </c>
      <c r="N263" s="73">
        <f>IF(Tabla22[[#This Row],[Req.2]]&gt;0,(Tabla22[[#This Row],[Base price2]]-LOOKUP(Tabla22[[#This Row],[Product2]],$R$18:$R$23,$S$18:$S$23))*Tabla22[[#This Row],[Req.2]],0)</f>
        <v>4447</v>
      </c>
      <c r="O263" s="73">
        <f>SUM(Tabla22[[#This Row],[Bonus1]:[p2]])</f>
        <v>58142.924399999996</v>
      </c>
      <c r="P263" s="73">
        <f>IF(Tabla22[[#This Row],[QualityBonus]]&gt;0,Tabla22[[#This Row],[No wages]]-$C$4,"")</f>
        <v>10280.640161557771</v>
      </c>
    </row>
    <row r="264" spans="1:16" x14ac:dyDescent="0.25">
      <c r="A264" s="13">
        <v>248</v>
      </c>
      <c r="B264" s="13" t="s">
        <v>13</v>
      </c>
      <c r="C264" s="66">
        <v>2.7400000000000001E-2</v>
      </c>
      <c r="D264" s="2" t="s">
        <v>54</v>
      </c>
      <c r="E264" s="73">
        <v>60210</v>
      </c>
      <c r="F264" s="5">
        <v>4</v>
      </c>
      <c r="G264" s="2" t="s">
        <v>53</v>
      </c>
      <c r="H264" s="73">
        <v>42016</v>
      </c>
      <c r="I264" s="5">
        <v>4</v>
      </c>
      <c r="J264" s="74">
        <f>Tabla22[[#This Row],[Base price1]]*Tabla22[[#This Row],[Req.]]+Tabla22[[#This Row],[Base price2]]*Tabla22[[#This Row],[Req.2]]</f>
        <v>408904</v>
      </c>
      <c r="K264" s="73">
        <f>IFERROR(LOOKUP(Tabla22[[#This Row],[Product]],$R$18:$R$23,$T$18:$T$23)*Tabla22[[#This Row],[QualityBonus]]*Tabla22[[#This Row],[Base price1]]*Tabla22[[#This Row],[Req.]],0)</f>
        <v>32995.08</v>
      </c>
      <c r="L264" s="73">
        <f>IF(Tabla22[[#This Row],[Req.2]]&gt;0,LOOKUP(Tabla22[[#This Row],[Product2]],$R$18:$R$23,$T$18:$T$23)*Tabla22[[#This Row],[Base price2]]*Tabla22[[#This Row],[Req.2]]*Tabla22[[#This Row],[QualityBonus]],0)</f>
        <v>18419.814399999999</v>
      </c>
      <c r="M264" s="73">
        <f>IFERROR((Tabla22[[#This Row],[Base price1]]-LOOKUP(Tabla22[[#This Row],[Product]],$R$18:$R$23,$S$18:$S$23))*Tabla22[[#This Row],[Req.]],0)</f>
        <v>14840</v>
      </c>
      <c r="N264" s="73">
        <f>IF(Tabla22[[#This Row],[Req.2]]&gt;0,(Tabla22[[#This Row],[Base price2]]-LOOKUP(Tabla22[[#This Row],[Product2]],$R$18:$R$23,$S$18:$S$23))*Tabla22[[#This Row],[Req.2]],0)</f>
        <v>32064</v>
      </c>
      <c r="O264" s="73">
        <f>SUM(Tabla22[[#This Row],[Bonus1]:[p2]])</f>
        <v>98318.894400000005</v>
      </c>
      <c r="P264" s="73">
        <f>IF(Tabla22[[#This Row],[QualityBonus]]&gt;0,Tabla22[[#This Row],[No wages]]-$C$4,"")</f>
        <v>50456.610161557779</v>
      </c>
    </row>
    <row r="265" spans="1:16" x14ac:dyDescent="0.25">
      <c r="A265" s="13">
        <v>249</v>
      </c>
      <c r="B265" s="13" t="s">
        <v>13</v>
      </c>
      <c r="C265" s="66">
        <v>2.6200000000000001E-2</v>
      </c>
      <c r="D265" s="2" t="s">
        <v>53</v>
      </c>
      <c r="E265" s="73">
        <v>42136</v>
      </c>
      <c r="F265" s="5">
        <v>3</v>
      </c>
      <c r="G265" s="2" t="s">
        <v>54</v>
      </c>
      <c r="H265" s="73">
        <v>60146</v>
      </c>
      <c r="I265" s="5">
        <v>3</v>
      </c>
      <c r="J265" s="74">
        <f>Tabla22[[#This Row],[Base price1]]*Tabla22[[#This Row],[Req.]]+Tabla22[[#This Row],[Base price2]]*Tabla22[[#This Row],[Req.2]]</f>
        <v>306846</v>
      </c>
      <c r="K265" s="73">
        <f>IFERROR(LOOKUP(Tabla22[[#This Row],[Product]],$R$18:$R$23,$T$18:$T$23)*Tabla22[[#This Row],[QualityBonus]]*Tabla22[[#This Row],[Base price1]]*Tabla22[[#This Row],[Req.]],0)</f>
        <v>13247.558400000002</v>
      </c>
      <c r="L265" s="73">
        <f>IF(Tabla22[[#This Row],[Req.2]]&gt;0,LOOKUP(Tabla22[[#This Row],[Product2]],$R$18:$R$23,$T$18:$T$23)*Tabla22[[#This Row],[Base price2]]*Tabla22[[#This Row],[Req.2]]*Tabla22[[#This Row],[QualityBonus]],0)</f>
        <v>23637.378000000001</v>
      </c>
      <c r="M265" s="73">
        <f>IFERROR((Tabla22[[#This Row],[Base price1]]-LOOKUP(Tabla22[[#This Row],[Product]],$R$18:$R$23,$S$18:$S$23))*Tabla22[[#This Row],[Req.]],0)</f>
        <v>24408</v>
      </c>
      <c r="N265" s="73">
        <f>IF(Tabla22[[#This Row],[Req.2]]&gt;0,(Tabla22[[#This Row],[Base price2]]-LOOKUP(Tabla22[[#This Row],[Product2]],$R$18:$R$23,$S$18:$S$23))*Tabla22[[#This Row],[Req.2]],0)</f>
        <v>10938</v>
      </c>
      <c r="O265" s="73">
        <f>SUM(Tabla22[[#This Row],[Bonus1]:[p2]])</f>
        <v>72230.936400000006</v>
      </c>
      <c r="P265" s="73">
        <f>IF(Tabla22[[#This Row],[QualityBonus]]&gt;0,Tabla22[[#This Row],[No wages]]-$C$4,"")</f>
        <v>24368.65216155778</v>
      </c>
    </row>
    <row r="266" spans="1:16" x14ac:dyDescent="0.25">
      <c r="A266" s="13">
        <v>250</v>
      </c>
      <c r="B266" s="13" t="s">
        <v>13</v>
      </c>
      <c r="C266" s="66">
        <v>2.29E-2</v>
      </c>
      <c r="D266" s="2" t="s">
        <v>54</v>
      </c>
      <c r="E266" s="73">
        <v>60871</v>
      </c>
      <c r="F266" s="5">
        <v>1</v>
      </c>
      <c r="G266" s="2"/>
      <c r="H266" s="73"/>
      <c r="I266" s="5"/>
      <c r="J266" s="74">
        <f>Tabla22[[#This Row],[Base price1]]*Tabla22[[#This Row],[Req.]]+Tabla22[[#This Row],[Base price2]]*Tabla22[[#This Row],[Req.2]]</f>
        <v>60871</v>
      </c>
      <c r="K266" s="73">
        <f>IFERROR(LOOKUP(Tabla22[[#This Row],[Product]],$R$18:$R$23,$T$18:$T$23)*Tabla22[[#This Row],[QualityBonus]]*Tabla22[[#This Row],[Base price1]]*Tabla22[[#This Row],[Req.]],0)</f>
        <v>6969.7295000000004</v>
      </c>
      <c r="L266" s="73">
        <f>IF(Tabla22[[#This Row],[Req.2]]&gt;0,LOOKUP(Tabla22[[#This Row],[Product2]],$R$18:$R$23,$T$18:$T$23)*Tabla22[[#This Row],[Base price2]]*Tabla22[[#This Row],[Req.2]]*Tabla22[[#This Row],[QualityBonus]],0)</f>
        <v>0</v>
      </c>
      <c r="M266" s="73">
        <f>IFERROR((Tabla22[[#This Row],[Base price1]]-LOOKUP(Tabla22[[#This Row],[Product]],$R$18:$R$23,$S$18:$S$23))*Tabla22[[#This Row],[Req.]],0)</f>
        <v>4371</v>
      </c>
      <c r="N266" s="73">
        <f>IF(Tabla22[[#This Row],[Req.2]]&gt;0,(Tabla22[[#This Row],[Base price2]]-LOOKUP(Tabla22[[#This Row],[Product2]],$R$18:$R$23,$S$18:$S$23))*Tabla22[[#This Row],[Req.2]],0)</f>
        <v>0</v>
      </c>
      <c r="O266" s="73">
        <f>SUM(Tabla22[[#This Row],[Bonus1]:[p2]])</f>
        <v>11340.729500000001</v>
      </c>
      <c r="P266" s="73">
        <f>IF(Tabla22[[#This Row],[QualityBonus]]&gt;0,Tabla22[[#This Row],[No wages]]-$C$4,"")</f>
        <v>-36521.554738442224</v>
      </c>
    </row>
    <row r="267" spans="1:16" x14ac:dyDescent="0.25">
      <c r="A267" s="13">
        <v>251</v>
      </c>
      <c r="B267" s="13" t="s">
        <v>13</v>
      </c>
      <c r="C267" s="66">
        <v>1.47E-2</v>
      </c>
      <c r="D267" s="2" t="s">
        <v>53</v>
      </c>
      <c r="E267" s="73">
        <v>41570</v>
      </c>
      <c r="F267" s="5">
        <v>4</v>
      </c>
      <c r="G267" s="2" t="s">
        <v>54</v>
      </c>
      <c r="H267" s="73">
        <v>60971</v>
      </c>
      <c r="I267" s="5">
        <v>4</v>
      </c>
      <c r="J267" s="74">
        <f>Tabla22[[#This Row],[Base price1]]*Tabla22[[#This Row],[Req.]]+Tabla22[[#This Row],[Base price2]]*Tabla22[[#This Row],[Req.2]]</f>
        <v>410164</v>
      </c>
      <c r="K267" s="73">
        <f>IFERROR(LOOKUP(Tabla22[[#This Row],[Product]],$R$18:$R$23,$T$18:$T$23)*Tabla22[[#This Row],[QualityBonus]]*Tabla22[[#This Row],[Base price1]]*Tabla22[[#This Row],[Req.]],0)</f>
        <v>9777.2639999999992</v>
      </c>
      <c r="L267" s="73">
        <f>IF(Tabla22[[#This Row],[Req.2]]&gt;0,LOOKUP(Tabla22[[#This Row],[Product2]],$R$18:$R$23,$T$18:$T$23)*Tabla22[[#This Row],[Base price2]]*Tabla22[[#This Row],[Req.2]]*Tabla22[[#This Row],[QualityBonus]],0)</f>
        <v>17925.473999999998</v>
      </c>
      <c r="M267" s="73">
        <f>IFERROR((Tabla22[[#This Row],[Base price1]]-LOOKUP(Tabla22[[#This Row],[Product]],$R$18:$R$23,$S$18:$S$23))*Tabla22[[#This Row],[Req.]],0)</f>
        <v>30280</v>
      </c>
      <c r="N267" s="73">
        <f>IF(Tabla22[[#This Row],[Req.2]]&gt;0,(Tabla22[[#This Row],[Base price2]]-LOOKUP(Tabla22[[#This Row],[Product2]],$R$18:$R$23,$S$18:$S$23))*Tabla22[[#This Row],[Req.2]],0)</f>
        <v>17884</v>
      </c>
      <c r="O267" s="73">
        <f>SUM(Tabla22[[#This Row],[Bonus1]:[p2]])</f>
        <v>75866.737999999998</v>
      </c>
      <c r="P267" s="73">
        <f>IF(Tabla22[[#This Row],[QualityBonus]]&gt;0,Tabla22[[#This Row],[No wages]]-$C$4,"")</f>
        <v>28004.453761557772</v>
      </c>
    </row>
    <row r="268" spans="1:16" x14ac:dyDescent="0.25">
      <c r="A268" s="13">
        <v>252</v>
      </c>
      <c r="B268" s="13" t="s">
        <v>13</v>
      </c>
      <c r="C268" s="66">
        <v>1.1599999999999999E-2</v>
      </c>
      <c r="D268" s="2" t="s">
        <v>52</v>
      </c>
      <c r="E268" s="73">
        <v>120175</v>
      </c>
      <c r="F268" s="5">
        <v>4</v>
      </c>
      <c r="G268" s="2" t="s">
        <v>54</v>
      </c>
      <c r="H268" s="73">
        <v>60947</v>
      </c>
      <c r="I268" s="5">
        <v>1</v>
      </c>
      <c r="J268" s="74">
        <f>Tabla22[[#This Row],[Base price1]]*Tabla22[[#This Row],[Req.]]+Tabla22[[#This Row],[Base price2]]*Tabla22[[#This Row],[Req.2]]</f>
        <v>541647</v>
      </c>
      <c r="K268" s="73">
        <f>IFERROR(LOOKUP(Tabla22[[#This Row],[Product]],$R$18:$R$23,$T$18:$T$23)*Tabla22[[#This Row],[QualityBonus]]*Tabla22[[#This Row],[Base price1]]*Tabla22[[#This Row],[Req.]],0)</f>
        <v>33456.720000000001</v>
      </c>
      <c r="L268" s="73">
        <f>IF(Tabla22[[#This Row],[Req.2]]&gt;0,LOOKUP(Tabla22[[#This Row],[Product2]],$R$18:$R$23,$T$18:$T$23)*Tabla22[[#This Row],[Base price2]]*Tabla22[[#This Row],[Req.2]]*Tabla22[[#This Row],[QualityBonus]],0)</f>
        <v>3534.9259999999999</v>
      </c>
      <c r="M268" s="73">
        <f>IFERROR((Tabla22[[#This Row],[Base price1]]-LOOKUP(Tabla22[[#This Row],[Product]],$R$18:$R$23,$S$18:$S$23))*Tabla22[[#This Row],[Req.]],0)</f>
        <v>16700</v>
      </c>
      <c r="N268" s="73">
        <f>IF(Tabla22[[#This Row],[Req.2]]&gt;0,(Tabla22[[#This Row],[Base price2]]-LOOKUP(Tabla22[[#This Row],[Product2]],$R$18:$R$23,$S$18:$S$23))*Tabla22[[#This Row],[Req.2]],0)</f>
        <v>4447</v>
      </c>
      <c r="O268" s="73">
        <f>SUM(Tabla22[[#This Row],[Bonus1]:[p2]])</f>
        <v>58138.646000000001</v>
      </c>
      <c r="P268" s="73">
        <f>IF(Tabla22[[#This Row],[QualityBonus]]&gt;0,Tabla22[[#This Row],[No wages]]-$C$4,"")</f>
        <v>10276.361761557775</v>
      </c>
    </row>
    <row r="269" spans="1:16" x14ac:dyDescent="0.25">
      <c r="A269" s="13">
        <v>253</v>
      </c>
      <c r="B269" s="13" t="s">
        <v>13</v>
      </c>
      <c r="C269" s="66">
        <v>1.1299999999999999E-2</v>
      </c>
      <c r="D269" s="2" t="s">
        <v>54</v>
      </c>
      <c r="E269" s="73">
        <v>60622</v>
      </c>
      <c r="F269" s="5">
        <v>2</v>
      </c>
      <c r="G269" s="2" t="s">
        <v>53</v>
      </c>
      <c r="H269" s="73">
        <v>41253</v>
      </c>
      <c r="I269" s="5">
        <v>3</v>
      </c>
      <c r="J269" s="74">
        <f>Tabla22[[#This Row],[Base price1]]*Tabla22[[#This Row],[Req.]]+Tabla22[[#This Row],[Base price2]]*Tabla22[[#This Row],[Req.2]]</f>
        <v>245003</v>
      </c>
      <c r="K269" s="73">
        <f>IFERROR(LOOKUP(Tabla22[[#This Row],[Product]],$R$18:$R$23,$T$18:$T$23)*Tabla22[[#This Row],[QualityBonus]]*Tabla22[[#This Row],[Base price1]]*Tabla22[[#This Row],[Req.]],0)</f>
        <v>6850.2859999999991</v>
      </c>
      <c r="L269" s="73">
        <f>IF(Tabla22[[#This Row],[Req.2]]&gt;0,LOOKUP(Tabla22[[#This Row],[Product2]],$R$18:$R$23,$T$18:$T$23)*Tabla22[[#This Row],[Base price2]]*Tabla22[[#This Row],[Req.2]]*Tabla22[[#This Row],[QualityBonus]],0)</f>
        <v>5593.9067999999997</v>
      </c>
      <c r="M269" s="73">
        <f>IFERROR((Tabla22[[#This Row],[Base price1]]-LOOKUP(Tabla22[[#This Row],[Product]],$R$18:$R$23,$S$18:$S$23))*Tabla22[[#This Row],[Req.]],0)</f>
        <v>8244</v>
      </c>
      <c r="N269" s="73">
        <f>IF(Tabla22[[#This Row],[Req.2]]&gt;0,(Tabla22[[#This Row],[Base price2]]-LOOKUP(Tabla22[[#This Row],[Product2]],$R$18:$R$23,$S$18:$S$23))*Tabla22[[#This Row],[Req.2]],0)</f>
        <v>21759</v>
      </c>
      <c r="O269" s="73">
        <f>SUM(Tabla22[[#This Row],[Bonus1]:[p2]])</f>
        <v>42447.192799999997</v>
      </c>
      <c r="P269" s="73">
        <f>IF(Tabla22[[#This Row],[QualityBonus]]&gt;0,Tabla22[[#This Row],[No wages]]-$C$4,"")</f>
        <v>-5415.0914384422285</v>
      </c>
    </row>
    <row r="270" spans="1:16" x14ac:dyDescent="0.25">
      <c r="A270" s="13">
        <v>254</v>
      </c>
      <c r="B270" s="13" t="s">
        <v>13</v>
      </c>
      <c r="C270" s="66">
        <v>1.83E-2</v>
      </c>
      <c r="D270" s="2" t="s">
        <v>54</v>
      </c>
      <c r="E270" s="73">
        <v>62392</v>
      </c>
      <c r="F270" s="5">
        <v>1</v>
      </c>
      <c r="G270" s="2" t="s">
        <v>57</v>
      </c>
      <c r="H270" s="73">
        <v>83538</v>
      </c>
      <c r="I270" s="5">
        <v>3</v>
      </c>
      <c r="J270" s="74">
        <f>Tabla22[[#This Row],[Base price1]]*Tabla22[[#This Row],[Req.]]+Tabla22[[#This Row],[Base price2]]*Tabla22[[#This Row],[Req.2]]</f>
        <v>313006</v>
      </c>
      <c r="K270" s="73">
        <f>IFERROR(LOOKUP(Tabla22[[#This Row],[Product]],$R$18:$R$23,$T$18:$T$23)*Tabla22[[#This Row],[QualityBonus]]*Tabla22[[#This Row],[Base price1]]*Tabla22[[#This Row],[Req.]],0)</f>
        <v>5708.8679999999995</v>
      </c>
      <c r="L270" s="73">
        <f>IF(Tabla22[[#This Row],[Req.2]]&gt;0,LOOKUP(Tabla22[[#This Row],[Product2]],$R$18:$R$23,$T$18:$T$23)*Tabla22[[#This Row],[Base price2]]*Tabla22[[#This Row],[Req.2]]*Tabla22[[#This Row],[QualityBonus]],0)</f>
        <v>18344.944800000001</v>
      </c>
      <c r="M270" s="73">
        <f>IFERROR((Tabla22[[#This Row],[Base price1]]-LOOKUP(Tabla22[[#This Row],[Product]],$R$18:$R$23,$S$18:$S$23))*Tabla22[[#This Row],[Req.]],0)</f>
        <v>5892</v>
      </c>
      <c r="N270" s="73">
        <f>IF(Tabla22[[#This Row],[Req.2]]&gt;0,(Tabla22[[#This Row],[Base price2]]-LOOKUP(Tabla22[[#This Row],[Product2]],$R$18:$R$23,$S$18:$S$23))*Tabla22[[#This Row],[Req.2]],0)</f>
        <v>19614</v>
      </c>
      <c r="O270" s="73">
        <f>SUM(Tabla22[[#This Row],[Bonus1]:[p2]])</f>
        <v>49559.8128</v>
      </c>
      <c r="P270" s="73">
        <f>IF(Tabla22[[#This Row],[QualityBonus]]&gt;0,Tabla22[[#This Row],[No wages]]-$C$4,"")</f>
        <v>1697.5285615577741</v>
      </c>
    </row>
    <row r="271" spans="1:16" x14ac:dyDescent="0.25">
      <c r="A271" s="13">
        <v>255</v>
      </c>
      <c r="B271" s="13" t="s">
        <v>13</v>
      </c>
      <c r="C271" s="66">
        <v>2.5499999999999998E-2</v>
      </c>
      <c r="D271" s="2" t="s">
        <v>53</v>
      </c>
      <c r="E271" s="73">
        <v>41012</v>
      </c>
      <c r="F271" s="5">
        <v>5</v>
      </c>
      <c r="G271" s="2" t="s">
        <v>52</v>
      </c>
      <c r="H271" s="73">
        <v>123106</v>
      </c>
      <c r="I271" s="5">
        <v>3</v>
      </c>
      <c r="J271" s="74">
        <f>Tabla22[[#This Row],[Base price1]]*Tabla22[[#This Row],[Req.]]+Tabla22[[#This Row],[Base price2]]*Tabla22[[#This Row],[Req.2]]</f>
        <v>574378</v>
      </c>
      <c r="K271" s="73">
        <f>IFERROR(LOOKUP(Tabla22[[#This Row],[Product]],$R$18:$R$23,$T$18:$T$23)*Tabla22[[#This Row],[QualityBonus]]*Tabla22[[#This Row],[Base price1]]*Tabla22[[#This Row],[Req.]],0)</f>
        <v>20916.120000000003</v>
      </c>
      <c r="L271" s="73">
        <f>IF(Tabla22[[#This Row],[Req.2]]&gt;0,LOOKUP(Tabla22[[#This Row],[Product2]],$R$18:$R$23,$T$18:$T$23)*Tabla22[[#This Row],[Base price2]]*Tabla22[[#This Row],[Req.2]]*Tabla22[[#This Row],[QualityBonus]],0)</f>
        <v>56505.653999999995</v>
      </c>
      <c r="M271" s="73">
        <f>IFERROR((Tabla22[[#This Row],[Base price1]]-LOOKUP(Tabla22[[#This Row],[Product]],$R$18:$R$23,$S$18:$S$23))*Tabla22[[#This Row],[Req.]],0)</f>
        <v>35060</v>
      </c>
      <c r="N271" s="73">
        <f>IF(Tabla22[[#This Row],[Req.2]]&gt;0,(Tabla22[[#This Row],[Base price2]]-LOOKUP(Tabla22[[#This Row],[Product2]],$R$18:$R$23,$S$18:$S$23))*Tabla22[[#This Row],[Req.2]],0)</f>
        <v>21318</v>
      </c>
      <c r="O271" s="73">
        <f>SUM(Tabla22[[#This Row],[Bonus1]:[p2]])</f>
        <v>133799.774</v>
      </c>
      <c r="P271" s="73">
        <f>IF(Tabla22[[#This Row],[QualityBonus]]&gt;0,Tabla22[[#This Row],[No wages]]-$C$4,"")</f>
        <v>85937.489761557779</v>
      </c>
    </row>
    <row r="272" spans="1:16" x14ac:dyDescent="0.25">
      <c r="A272" s="13">
        <v>256</v>
      </c>
      <c r="B272" s="13" t="s">
        <v>13</v>
      </c>
      <c r="C272" s="66">
        <v>2.2700000000000001E-2</v>
      </c>
      <c r="D272" s="2" t="s">
        <v>55</v>
      </c>
      <c r="E272" s="73">
        <v>84310</v>
      </c>
      <c r="F272" s="5">
        <v>2</v>
      </c>
      <c r="G272" s="2"/>
      <c r="H272" s="73"/>
      <c r="I272" s="5"/>
      <c r="J272" s="74">
        <f>Tabla22[[#This Row],[Base price1]]*Tabla22[[#This Row],[Req.]]+Tabla22[[#This Row],[Base price2]]*Tabla22[[#This Row],[Req.2]]</f>
        <v>168620</v>
      </c>
      <c r="K272" s="73">
        <f>IFERROR(LOOKUP(Tabla22[[#This Row],[Product]],$R$18:$R$23,$T$18:$T$23)*Tabla22[[#This Row],[QualityBonus]]*Tabla22[[#This Row],[Base price1]]*Tabla22[[#This Row],[Req.]],0)</f>
        <v>15310.696000000002</v>
      </c>
      <c r="L272" s="73">
        <f>IF(Tabla22[[#This Row],[Req.2]]&gt;0,LOOKUP(Tabla22[[#This Row],[Product2]],$R$18:$R$23,$T$18:$T$23)*Tabla22[[#This Row],[Base price2]]*Tabla22[[#This Row],[Req.2]]*Tabla22[[#This Row],[QualityBonus]],0)</f>
        <v>0</v>
      </c>
      <c r="M272" s="73">
        <f>IFERROR((Tabla22[[#This Row],[Base price1]]-LOOKUP(Tabla22[[#This Row],[Product]],$R$18:$R$23,$S$18:$S$23))*Tabla22[[#This Row],[Req.]],0)</f>
        <v>14620</v>
      </c>
      <c r="N272" s="73">
        <f>IF(Tabla22[[#This Row],[Req.2]]&gt;0,(Tabla22[[#This Row],[Base price2]]-LOOKUP(Tabla22[[#This Row],[Product2]],$R$18:$R$23,$S$18:$S$23))*Tabla22[[#This Row],[Req.2]],0)</f>
        <v>0</v>
      </c>
      <c r="O272" s="73">
        <f>SUM(Tabla22[[#This Row],[Bonus1]:[p2]])</f>
        <v>29930.696000000004</v>
      </c>
      <c r="P272" s="73">
        <f>IF(Tabla22[[#This Row],[QualityBonus]]&gt;0,Tabla22[[#This Row],[No wages]]-$C$4,"")</f>
        <v>-17931.588238442222</v>
      </c>
    </row>
    <row r="273" spans="1:16" x14ac:dyDescent="0.25">
      <c r="A273" s="13">
        <v>257</v>
      </c>
      <c r="B273" s="13" t="s">
        <v>13</v>
      </c>
      <c r="C273" s="66">
        <v>1.83E-2</v>
      </c>
      <c r="D273" s="2" t="s">
        <v>55</v>
      </c>
      <c r="E273" s="73">
        <v>85838</v>
      </c>
      <c r="F273" s="5">
        <v>2</v>
      </c>
      <c r="G273" s="2" t="s">
        <v>56</v>
      </c>
      <c r="H273" s="73">
        <v>224537</v>
      </c>
      <c r="I273" s="5">
        <v>2</v>
      </c>
      <c r="J273" s="74">
        <f>Tabla22[[#This Row],[Base price1]]*Tabla22[[#This Row],[Req.]]+Tabla22[[#This Row],[Base price2]]*Tabla22[[#This Row],[Req.2]]</f>
        <v>620750</v>
      </c>
      <c r="K273" s="73">
        <f>IFERROR(LOOKUP(Tabla22[[#This Row],[Product]],$R$18:$R$23,$T$18:$T$23)*Tabla22[[#This Row],[QualityBonus]]*Tabla22[[#This Row],[Base price1]]*Tabla22[[#This Row],[Req.]],0)</f>
        <v>12566.683199999999</v>
      </c>
      <c r="L273" s="73">
        <f>IF(Tabla22[[#This Row],[Req.2]]&gt;0,LOOKUP(Tabla22[[#This Row],[Product2]],$R$18:$R$23,$T$18:$T$23)*Tabla22[[#This Row],[Base price2]]*Tabla22[[#This Row],[Req.2]]*Tabla22[[#This Row],[QualityBonus]],0)</f>
        <v>24654.1626</v>
      </c>
      <c r="M273" s="73">
        <f>IFERROR((Tabla22[[#This Row],[Base price1]]-LOOKUP(Tabla22[[#This Row],[Product]],$R$18:$R$23,$S$18:$S$23))*Tabla22[[#This Row],[Req.]],0)</f>
        <v>17676</v>
      </c>
      <c r="N273" s="73">
        <f>IF(Tabla22[[#This Row],[Req.2]]&gt;0,(Tabla22[[#This Row],[Base price2]]-LOOKUP(Tabla22[[#This Row],[Product2]],$R$18:$R$23,$S$18:$S$23))*Tabla22[[#This Row],[Req.2]],0)</f>
        <v>7074</v>
      </c>
      <c r="O273" s="73">
        <f>SUM(Tabla22[[#This Row],[Bonus1]:[p2]])</f>
        <v>61970.845799999996</v>
      </c>
      <c r="P273" s="73">
        <f>IF(Tabla22[[#This Row],[QualityBonus]]&gt;0,Tabla22[[#This Row],[No wages]]-$C$4,"")</f>
        <v>14108.56156155777</v>
      </c>
    </row>
    <row r="274" spans="1:16" x14ac:dyDescent="0.25">
      <c r="A274" s="13">
        <v>258</v>
      </c>
      <c r="B274" s="13" t="s">
        <v>13</v>
      </c>
      <c r="C274" s="66">
        <v>1.52E-2</v>
      </c>
      <c r="D274" s="2" t="s">
        <v>54</v>
      </c>
      <c r="E274" s="73">
        <v>59851</v>
      </c>
      <c r="F274" s="5">
        <v>2</v>
      </c>
      <c r="G274" s="2" t="s">
        <v>56</v>
      </c>
      <c r="H274" s="73">
        <v>232124</v>
      </c>
      <c r="I274" s="5">
        <v>2</v>
      </c>
      <c r="J274" s="74">
        <f>Tabla22[[#This Row],[Base price1]]*Tabla22[[#This Row],[Req.]]+Tabla22[[#This Row],[Base price2]]*Tabla22[[#This Row],[Req.2]]</f>
        <v>583950</v>
      </c>
      <c r="K274" s="73">
        <f>IFERROR(LOOKUP(Tabla22[[#This Row],[Product]],$R$18:$R$23,$T$18:$T$23)*Tabla22[[#This Row],[QualityBonus]]*Tabla22[[#This Row],[Base price1]]*Tabla22[[#This Row],[Req.]],0)</f>
        <v>9097.351999999999</v>
      </c>
      <c r="L274" s="73">
        <f>IF(Tabla22[[#This Row],[Req.2]]&gt;0,LOOKUP(Tabla22[[#This Row],[Product2]],$R$18:$R$23,$T$18:$T$23)*Tabla22[[#This Row],[Base price2]]*Tabla22[[#This Row],[Req.2]]*Tabla22[[#This Row],[QualityBonus]],0)</f>
        <v>21169.7088</v>
      </c>
      <c r="M274" s="73">
        <f>IFERROR((Tabla22[[#This Row],[Base price1]]-LOOKUP(Tabla22[[#This Row],[Product]],$R$18:$R$23,$S$18:$S$23))*Tabla22[[#This Row],[Req.]],0)</f>
        <v>6702</v>
      </c>
      <c r="N274" s="73">
        <f>IF(Tabla22[[#This Row],[Req.2]]&gt;0,(Tabla22[[#This Row],[Base price2]]-LOOKUP(Tabla22[[#This Row],[Product2]],$R$18:$R$23,$S$18:$S$23))*Tabla22[[#This Row],[Req.2]],0)</f>
        <v>22248</v>
      </c>
      <c r="O274" s="73">
        <f>SUM(Tabla22[[#This Row],[Bonus1]:[p2]])</f>
        <v>59217.060799999999</v>
      </c>
      <c r="P274" s="73">
        <f>IF(Tabla22[[#This Row],[QualityBonus]]&gt;0,Tabla22[[#This Row],[No wages]]-$C$4,"")</f>
        <v>11354.776561557774</v>
      </c>
    </row>
    <row r="275" spans="1:16" x14ac:dyDescent="0.25">
      <c r="A275" s="13">
        <v>259</v>
      </c>
      <c r="B275" s="13" t="s">
        <v>13</v>
      </c>
      <c r="C275" s="66">
        <v>1.4E-2</v>
      </c>
      <c r="D275" s="2" t="s">
        <v>53</v>
      </c>
      <c r="E275" s="73">
        <v>41297</v>
      </c>
      <c r="F275" s="5">
        <v>3</v>
      </c>
      <c r="G275" s="2" t="s">
        <v>57</v>
      </c>
      <c r="H275" s="73">
        <v>84679</v>
      </c>
      <c r="I275" s="5">
        <v>2</v>
      </c>
      <c r="J275" s="74">
        <f>Tabla22[[#This Row],[Base price1]]*Tabla22[[#This Row],[Req.]]+Tabla22[[#This Row],[Base price2]]*Tabla22[[#This Row],[Req.2]]</f>
        <v>293249</v>
      </c>
      <c r="K275" s="73">
        <f>IFERROR(LOOKUP(Tabla22[[#This Row],[Product]],$R$18:$R$23,$T$18:$T$23)*Tabla22[[#This Row],[QualityBonus]]*Tabla22[[#This Row],[Base price1]]*Tabla22[[#This Row],[Req.]],0)</f>
        <v>6937.8960000000006</v>
      </c>
      <c r="L275" s="73">
        <f>IF(Tabla22[[#This Row],[Req.2]]&gt;0,LOOKUP(Tabla22[[#This Row],[Product2]],$R$18:$R$23,$T$18:$T$23)*Tabla22[[#This Row],[Base price2]]*Tabla22[[#This Row],[Req.2]]*Tabla22[[#This Row],[QualityBonus]],0)</f>
        <v>9484.0480000000007</v>
      </c>
      <c r="M275" s="73">
        <f>IFERROR((Tabla22[[#This Row],[Base price1]]-LOOKUP(Tabla22[[#This Row],[Product]],$R$18:$R$23,$S$18:$S$23))*Tabla22[[#This Row],[Req.]],0)</f>
        <v>21891</v>
      </c>
      <c r="N275" s="73">
        <f>IF(Tabla22[[#This Row],[Req.2]]&gt;0,(Tabla22[[#This Row],[Base price2]]-LOOKUP(Tabla22[[#This Row],[Product2]],$R$18:$R$23,$S$18:$S$23))*Tabla22[[#This Row],[Req.2]],0)</f>
        <v>15358</v>
      </c>
      <c r="O275" s="73">
        <f>SUM(Tabla22[[#This Row],[Bonus1]:[p2]])</f>
        <v>53670.944000000003</v>
      </c>
      <c r="P275" s="73">
        <f>IF(Tabla22[[#This Row],[QualityBonus]]&gt;0,Tabla22[[#This Row],[No wages]]-$C$4,"")</f>
        <v>5808.6597615577775</v>
      </c>
    </row>
    <row r="276" spans="1:16" x14ac:dyDescent="0.25">
      <c r="A276" s="13">
        <v>260</v>
      </c>
      <c r="B276" s="13" t="s">
        <v>13</v>
      </c>
      <c r="C276" s="66">
        <v>2.4899999999999999E-2</v>
      </c>
      <c r="D276" s="2" t="s">
        <v>54</v>
      </c>
      <c r="E276" s="73">
        <v>61807</v>
      </c>
      <c r="F276" s="5">
        <v>1</v>
      </c>
      <c r="G276" s="2" t="s">
        <v>53</v>
      </c>
      <c r="H276" s="73">
        <v>41566</v>
      </c>
      <c r="I276" s="5">
        <v>3</v>
      </c>
      <c r="J276" s="74">
        <f>Tabla22[[#This Row],[Base price1]]*Tabla22[[#This Row],[Req.]]+Tabla22[[#This Row],[Base price2]]*Tabla22[[#This Row],[Req.2]]</f>
        <v>186505</v>
      </c>
      <c r="K276" s="73">
        <f>IFERROR(LOOKUP(Tabla22[[#This Row],[Product]],$R$18:$R$23,$T$18:$T$23)*Tabla22[[#This Row],[QualityBonus]]*Tabla22[[#This Row],[Base price1]]*Tabla22[[#This Row],[Req.]],0)</f>
        <v>7694.9714999999997</v>
      </c>
      <c r="L276" s="73">
        <f>IF(Tabla22[[#This Row],[Req.2]]&gt;0,LOOKUP(Tabla22[[#This Row],[Product2]],$R$18:$R$23,$T$18:$T$23)*Tabla22[[#This Row],[Base price2]]*Tabla22[[#This Row],[Req.2]]*Tabla22[[#This Row],[QualityBonus]],0)</f>
        <v>12419.9208</v>
      </c>
      <c r="M276" s="73">
        <f>IFERROR((Tabla22[[#This Row],[Base price1]]-LOOKUP(Tabla22[[#This Row],[Product]],$R$18:$R$23,$S$18:$S$23))*Tabla22[[#This Row],[Req.]],0)</f>
        <v>5307</v>
      </c>
      <c r="N276" s="73">
        <f>IF(Tabla22[[#This Row],[Req.2]]&gt;0,(Tabla22[[#This Row],[Base price2]]-LOOKUP(Tabla22[[#This Row],[Product2]],$R$18:$R$23,$S$18:$S$23))*Tabla22[[#This Row],[Req.2]],0)</f>
        <v>22698</v>
      </c>
      <c r="O276" s="73">
        <f>SUM(Tabla22[[#This Row],[Bonus1]:[p2]])</f>
        <v>48119.8923</v>
      </c>
      <c r="P276" s="73">
        <f>IF(Tabla22[[#This Row],[QualityBonus]]&gt;0,Tabla22[[#This Row],[No wages]]-$C$4,"")</f>
        <v>257.60806155777391</v>
      </c>
    </row>
    <row r="277" spans="1:16" x14ac:dyDescent="0.25">
      <c r="A277" s="13">
        <v>261</v>
      </c>
      <c r="B277" s="13" t="s">
        <v>13</v>
      </c>
      <c r="C277" s="66">
        <v>1.17E-2</v>
      </c>
      <c r="D277" s="2" t="s">
        <v>53</v>
      </c>
      <c r="E277" s="73">
        <v>40011</v>
      </c>
      <c r="F277" s="5">
        <v>2</v>
      </c>
      <c r="G277" s="2" t="s">
        <v>57</v>
      </c>
      <c r="H277" s="73">
        <v>84902</v>
      </c>
      <c r="I277" s="5">
        <v>2</v>
      </c>
      <c r="J277" s="74">
        <f>Tabla22[[#This Row],[Base price1]]*Tabla22[[#This Row],[Req.]]+Tabla22[[#This Row],[Base price2]]*Tabla22[[#This Row],[Req.2]]</f>
        <v>249826</v>
      </c>
      <c r="K277" s="73">
        <f>IFERROR(LOOKUP(Tabla22[[#This Row],[Product]],$R$18:$R$23,$T$18:$T$23)*Tabla22[[#This Row],[QualityBonus]]*Tabla22[[#This Row],[Base price1]]*Tabla22[[#This Row],[Req.]],0)</f>
        <v>3745.0296000000003</v>
      </c>
      <c r="L277" s="73">
        <f>IF(Tabla22[[#This Row],[Req.2]]&gt;0,LOOKUP(Tabla22[[#This Row],[Product2]],$R$18:$R$23,$T$18:$T$23)*Tabla22[[#This Row],[Base price2]]*Tabla22[[#This Row],[Req.2]]*Tabla22[[#This Row],[QualityBonus]],0)</f>
        <v>7946.8272000000006</v>
      </c>
      <c r="M277" s="73">
        <f>IFERROR((Tabla22[[#This Row],[Base price1]]-LOOKUP(Tabla22[[#This Row],[Product]],$R$18:$R$23,$S$18:$S$23))*Tabla22[[#This Row],[Req.]],0)</f>
        <v>12022</v>
      </c>
      <c r="N277" s="73">
        <f>IF(Tabla22[[#This Row],[Req.2]]&gt;0,(Tabla22[[#This Row],[Base price2]]-LOOKUP(Tabla22[[#This Row],[Product2]],$R$18:$R$23,$S$18:$S$23))*Tabla22[[#This Row],[Req.2]],0)</f>
        <v>15804</v>
      </c>
      <c r="O277" s="73">
        <f>SUM(Tabla22[[#This Row],[Bonus1]:[p2]])</f>
        <v>39517.856800000001</v>
      </c>
      <c r="P277" s="73">
        <f>IF(Tabla22[[#This Row],[QualityBonus]]&gt;0,Tabla22[[#This Row],[No wages]]-$C$4,"")</f>
        <v>-8344.4274384422242</v>
      </c>
    </row>
    <row r="278" spans="1:16" x14ac:dyDescent="0.25">
      <c r="A278" s="13">
        <v>262</v>
      </c>
      <c r="B278" s="13" t="s">
        <v>13</v>
      </c>
      <c r="C278" s="66">
        <v>2.98E-2</v>
      </c>
      <c r="D278" s="2" t="s">
        <v>53</v>
      </c>
      <c r="E278" s="73">
        <v>42486</v>
      </c>
      <c r="F278" s="5">
        <v>3</v>
      </c>
      <c r="G278" s="2" t="s">
        <v>54</v>
      </c>
      <c r="H278" s="73">
        <v>61997</v>
      </c>
      <c r="I278" s="5">
        <v>1</v>
      </c>
      <c r="J278" s="74">
        <f>Tabla22[[#This Row],[Base price1]]*Tabla22[[#This Row],[Req.]]+Tabla22[[#This Row],[Base price2]]*Tabla22[[#This Row],[Req.2]]</f>
        <v>189455</v>
      </c>
      <c r="K278" s="73">
        <f>IFERROR(LOOKUP(Tabla22[[#This Row],[Product]],$R$18:$R$23,$T$18:$T$23)*Tabla22[[#This Row],[QualityBonus]]*Tabla22[[#This Row],[Base price1]]*Tabla22[[#This Row],[Req.]],0)</f>
        <v>15192.993599999998</v>
      </c>
      <c r="L278" s="73">
        <f>IF(Tabla22[[#This Row],[Req.2]]&gt;0,LOOKUP(Tabla22[[#This Row],[Product2]],$R$18:$R$23,$T$18:$T$23)*Tabla22[[#This Row],[Base price2]]*Tabla22[[#This Row],[Req.2]]*Tabla22[[#This Row],[QualityBonus]],0)</f>
        <v>9237.5529999999999</v>
      </c>
      <c r="M278" s="73">
        <f>IFERROR((Tabla22[[#This Row],[Base price1]]-LOOKUP(Tabla22[[#This Row],[Product]],$R$18:$R$23,$S$18:$S$23))*Tabla22[[#This Row],[Req.]],0)</f>
        <v>25458</v>
      </c>
      <c r="N278" s="73">
        <f>IF(Tabla22[[#This Row],[Req.2]]&gt;0,(Tabla22[[#This Row],[Base price2]]-LOOKUP(Tabla22[[#This Row],[Product2]],$R$18:$R$23,$S$18:$S$23))*Tabla22[[#This Row],[Req.2]],0)</f>
        <v>5497</v>
      </c>
      <c r="O278" s="73">
        <f>SUM(Tabla22[[#This Row],[Bonus1]:[p2]])</f>
        <v>55385.546600000001</v>
      </c>
      <c r="P278" s="73">
        <f>IF(Tabla22[[#This Row],[QualityBonus]]&gt;0,Tabla22[[#This Row],[No wages]]-$C$4,"")</f>
        <v>7523.2623615577759</v>
      </c>
    </row>
    <row r="279" spans="1:16" x14ac:dyDescent="0.25">
      <c r="A279" s="13">
        <v>263</v>
      </c>
      <c r="B279" s="13" t="s">
        <v>13</v>
      </c>
      <c r="C279" s="66">
        <v>2.1600000000000001E-2</v>
      </c>
      <c r="D279" s="2" t="s">
        <v>54</v>
      </c>
      <c r="E279" s="73">
        <v>62497</v>
      </c>
      <c r="F279" s="5">
        <v>1</v>
      </c>
      <c r="G279" s="2" t="s">
        <v>53</v>
      </c>
      <c r="H279" s="73">
        <v>40229</v>
      </c>
      <c r="I279" s="5">
        <v>2</v>
      </c>
      <c r="J279" s="74">
        <f>Tabla22[[#This Row],[Base price1]]*Tabla22[[#This Row],[Req.]]+Tabla22[[#This Row],[Base price2]]*Tabla22[[#This Row],[Req.2]]</f>
        <v>142955</v>
      </c>
      <c r="K279" s="73">
        <f>IFERROR(LOOKUP(Tabla22[[#This Row],[Product]],$R$18:$R$23,$T$18:$T$23)*Tabla22[[#This Row],[QualityBonus]]*Tabla22[[#This Row],[Base price1]]*Tabla22[[#This Row],[Req.]],0)</f>
        <v>6749.6760000000004</v>
      </c>
      <c r="L279" s="73">
        <f>IF(Tabla22[[#This Row],[Req.2]]&gt;0,LOOKUP(Tabla22[[#This Row],[Product2]],$R$18:$R$23,$T$18:$T$23)*Tabla22[[#This Row],[Base price2]]*Tabla22[[#This Row],[Req.2]]*Tabla22[[#This Row],[QualityBonus]],0)</f>
        <v>6951.5712000000003</v>
      </c>
      <c r="M279" s="73">
        <f>IFERROR((Tabla22[[#This Row],[Base price1]]-LOOKUP(Tabla22[[#This Row],[Product]],$R$18:$R$23,$S$18:$S$23))*Tabla22[[#This Row],[Req.]],0)</f>
        <v>5997</v>
      </c>
      <c r="N279" s="73">
        <f>IF(Tabla22[[#This Row],[Req.2]]&gt;0,(Tabla22[[#This Row],[Base price2]]-LOOKUP(Tabla22[[#This Row],[Product2]],$R$18:$R$23,$S$18:$S$23))*Tabla22[[#This Row],[Req.2]],0)</f>
        <v>12458</v>
      </c>
      <c r="O279" s="73">
        <f>SUM(Tabla22[[#This Row],[Bonus1]:[p2]])</f>
        <v>32156.247200000002</v>
      </c>
      <c r="P279" s="73">
        <f>IF(Tabla22[[#This Row],[QualityBonus]]&gt;0,Tabla22[[#This Row],[No wages]]-$C$4,"")</f>
        <v>-15706.037038442224</v>
      </c>
    </row>
    <row r="280" spans="1:16" x14ac:dyDescent="0.25">
      <c r="A280" s="13">
        <v>264</v>
      </c>
      <c r="B280" s="13" t="s">
        <v>13</v>
      </c>
      <c r="C280" s="66">
        <v>2.52E-2</v>
      </c>
      <c r="D280" s="2" t="s">
        <v>53</v>
      </c>
      <c r="E280" s="73">
        <v>40309</v>
      </c>
      <c r="F280" s="5">
        <v>3</v>
      </c>
      <c r="G280" s="2"/>
      <c r="H280" s="73"/>
      <c r="I280" s="5"/>
      <c r="J280" s="74">
        <f>Tabla22[[#This Row],[Base price1]]*Tabla22[[#This Row],[Req.]]+Tabla22[[#This Row],[Base price2]]*Tabla22[[#This Row],[Req.2]]</f>
        <v>120927</v>
      </c>
      <c r="K280" s="73">
        <f>IFERROR(LOOKUP(Tabla22[[#This Row],[Product]],$R$18:$R$23,$T$18:$T$23)*Tabla22[[#This Row],[QualityBonus]]*Tabla22[[#This Row],[Base price1]]*Tabla22[[#This Row],[Req.]],0)</f>
        <v>12189.4416</v>
      </c>
      <c r="L280" s="73">
        <f>IF(Tabla22[[#This Row],[Req.2]]&gt;0,LOOKUP(Tabla22[[#This Row],[Product2]],$R$18:$R$23,$T$18:$T$23)*Tabla22[[#This Row],[Base price2]]*Tabla22[[#This Row],[Req.2]]*Tabla22[[#This Row],[QualityBonus]],0)</f>
        <v>0</v>
      </c>
      <c r="M280" s="73">
        <f>IFERROR((Tabla22[[#This Row],[Base price1]]-LOOKUP(Tabla22[[#This Row],[Product]],$R$18:$R$23,$S$18:$S$23))*Tabla22[[#This Row],[Req.]],0)</f>
        <v>18927</v>
      </c>
      <c r="N280" s="73">
        <f>IF(Tabla22[[#This Row],[Req.2]]&gt;0,(Tabla22[[#This Row],[Base price2]]-LOOKUP(Tabla22[[#This Row],[Product2]],$R$18:$R$23,$S$18:$S$23))*Tabla22[[#This Row],[Req.2]],0)</f>
        <v>0</v>
      </c>
      <c r="O280" s="73">
        <f>SUM(Tabla22[[#This Row],[Bonus1]:[p2]])</f>
        <v>31116.441599999998</v>
      </c>
      <c r="P280" s="73">
        <f>IF(Tabla22[[#This Row],[QualityBonus]]&gt;0,Tabla22[[#This Row],[No wages]]-$C$4,"")</f>
        <v>-16745.842638442227</v>
      </c>
    </row>
    <row r="281" spans="1:16" x14ac:dyDescent="0.25">
      <c r="A281" s="13">
        <v>265</v>
      </c>
      <c r="B281" s="13" t="s">
        <v>13</v>
      </c>
      <c r="C281" s="66">
        <v>1.4999999999999999E-2</v>
      </c>
      <c r="D281" s="2" t="s">
        <v>53</v>
      </c>
      <c r="E281" s="73">
        <v>40283</v>
      </c>
      <c r="F281" s="5">
        <v>4</v>
      </c>
      <c r="G281" s="2" t="s">
        <v>57</v>
      </c>
      <c r="H281" s="73">
        <v>86122</v>
      </c>
      <c r="I281" s="5">
        <v>1</v>
      </c>
      <c r="J281" s="74">
        <f>Tabla22[[#This Row],[Base price1]]*Tabla22[[#This Row],[Req.]]+Tabla22[[#This Row],[Base price2]]*Tabla22[[#This Row],[Req.2]]</f>
        <v>247254</v>
      </c>
      <c r="K281" s="73">
        <f>IFERROR(LOOKUP(Tabla22[[#This Row],[Product]],$R$18:$R$23,$T$18:$T$23)*Tabla22[[#This Row],[QualityBonus]]*Tabla22[[#This Row],[Base price1]]*Tabla22[[#This Row],[Req.]],0)</f>
        <v>9667.92</v>
      </c>
      <c r="L281" s="73">
        <f>IF(Tabla22[[#This Row],[Req.2]]&gt;0,LOOKUP(Tabla22[[#This Row],[Product2]],$R$18:$R$23,$T$18:$T$23)*Tabla22[[#This Row],[Base price2]]*Tabla22[[#This Row],[Req.2]]*Tabla22[[#This Row],[QualityBonus]],0)</f>
        <v>5167.32</v>
      </c>
      <c r="M281" s="73">
        <f>IFERROR((Tabla22[[#This Row],[Base price1]]-LOOKUP(Tabla22[[#This Row],[Product]],$R$18:$R$23,$S$18:$S$23))*Tabla22[[#This Row],[Req.]],0)</f>
        <v>25132</v>
      </c>
      <c r="N281" s="73">
        <f>IF(Tabla22[[#This Row],[Req.2]]&gt;0,(Tabla22[[#This Row],[Base price2]]-LOOKUP(Tabla22[[#This Row],[Product2]],$R$18:$R$23,$S$18:$S$23))*Tabla22[[#This Row],[Req.2]],0)</f>
        <v>9122</v>
      </c>
      <c r="O281" s="73">
        <f>SUM(Tabla22[[#This Row],[Bonus1]:[p2]])</f>
        <v>49089.24</v>
      </c>
      <c r="P281" s="73">
        <f>IF(Tabla22[[#This Row],[QualityBonus]]&gt;0,Tabla22[[#This Row],[No wages]]-$C$4,"")</f>
        <v>1226.9557615577723</v>
      </c>
    </row>
    <row r="282" spans="1:16" x14ac:dyDescent="0.25">
      <c r="A282" s="13">
        <v>266</v>
      </c>
      <c r="B282" s="13" t="s">
        <v>13</v>
      </c>
      <c r="C282" s="66">
        <v>2.1299999999999999E-2</v>
      </c>
      <c r="D282" s="2" t="s">
        <v>54</v>
      </c>
      <c r="E282" s="73">
        <v>61480</v>
      </c>
      <c r="F282" s="5">
        <v>3</v>
      </c>
      <c r="G282" s="2" t="s">
        <v>52</v>
      </c>
      <c r="H282" s="73">
        <v>118181</v>
      </c>
      <c r="I282" s="5">
        <v>1</v>
      </c>
      <c r="J282" s="74">
        <f>Tabla22[[#This Row],[Base price1]]*Tabla22[[#This Row],[Req.]]+Tabla22[[#This Row],[Base price2]]*Tabla22[[#This Row],[Req.2]]</f>
        <v>302621</v>
      </c>
      <c r="K282" s="73">
        <f>IFERROR(LOOKUP(Tabla22[[#This Row],[Product]],$R$18:$R$23,$T$18:$T$23)*Tabla22[[#This Row],[QualityBonus]]*Tabla22[[#This Row],[Base price1]]*Tabla22[[#This Row],[Req.]],0)</f>
        <v>19642.86</v>
      </c>
      <c r="L282" s="73">
        <f>IF(Tabla22[[#This Row],[Req.2]]&gt;0,LOOKUP(Tabla22[[#This Row],[Product2]],$R$18:$R$23,$T$18:$T$23)*Tabla22[[#This Row],[Base price2]]*Tabla22[[#This Row],[Req.2]]*Tabla22[[#This Row],[QualityBonus]],0)</f>
        <v>15103.531799999999</v>
      </c>
      <c r="M282" s="73">
        <f>IFERROR((Tabla22[[#This Row],[Base price1]]-LOOKUP(Tabla22[[#This Row],[Product]],$R$18:$R$23,$S$18:$S$23))*Tabla22[[#This Row],[Req.]],0)</f>
        <v>14940</v>
      </c>
      <c r="N282" s="73">
        <f>IF(Tabla22[[#This Row],[Req.2]]&gt;0,(Tabla22[[#This Row],[Base price2]]-LOOKUP(Tabla22[[#This Row],[Product2]],$R$18:$R$23,$S$18:$S$23))*Tabla22[[#This Row],[Req.2]],0)</f>
        <v>2181</v>
      </c>
      <c r="O282" s="73">
        <f>SUM(Tabla22[[#This Row],[Bonus1]:[p2]])</f>
        <v>51867.391799999998</v>
      </c>
      <c r="P282" s="73">
        <f>IF(Tabla22[[#This Row],[QualityBonus]]&gt;0,Tabla22[[#This Row],[No wages]]-$C$4,"")</f>
        <v>4005.107561557772</v>
      </c>
    </row>
    <row r="283" spans="1:16" x14ac:dyDescent="0.25">
      <c r="A283" s="13">
        <v>267</v>
      </c>
      <c r="B283" s="13" t="s">
        <v>13</v>
      </c>
      <c r="C283" s="66">
        <v>2.0199999999999999E-2</v>
      </c>
      <c r="D283" s="2" t="s">
        <v>54</v>
      </c>
      <c r="E283" s="73">
        <v>59592</v>
      </c>
      <c r="F283" s="5">
        <v>4</v>
      </c>
      <c r="G283" s="2" t="s">
        <v>57</v>
      </c>
      <c r="H283" s="73">
        <v>85524</v>
      </c>
      <c r="I283" s="5">
        <v>4</v>
      </c>
      <c r="J283" s="74">
        <f>Tabla22[[#This Row],[Base price1]]*Tabla22[[#This Row],[Req.]]+Tabla22[[#This Row],[Base price2]]*Tabla22[[#This Row],[Req.2]]</f>
        <v>580464</v>
      </c>
      <c r="K283" s="73">
        <f>IFERROR(LOOKUP(Tabla22[[#This Row],[Product]],$R$18:$R$23,$T$18:$T$23)*Tabla22[[#This Row],[QualityBonus]]*Tabla22[[#This Row],[Base price1]]*Tabla22[[#This Row],[Req.]],0)</f>
        <v>24075.167999999998</v>
      </c>
      <c r="L283" s="73">
        <f>IF(Tabla22[[#This Row],[Req.2]]&gt;0,LOOKUP(Tabla22[[#This Row],[Product2]],$R$18:$R$23,$T$18:$T$23)*Tabla22[[#This Row],[Base price2]]*Tabla22[[#This Row],[Req.2]]*Tabla22[[#This Row],[QualityBonus]],0)</f>
        <v>27641.356799999998</v>
      </c>
      <c r="M283" s="73">
        <f>IFERROR((Tabla22[[#This Row],[Base price1]]-LOOKUP(Tabla22[[#This Row],[Product]],$R$18:$R$23,$S$18:$S$23))*Tabla22[[#This Row],[Req.]],0)</f>
        <v>12368</v>
      </c>
      <c r="N283" s="73">
        <f>IF(Tabla22[[#This Row],[Req.2]]&gt;0,(Tabla22[[#This Row],[Base price2]]-LOOKUP(Tabla22[[#This Row],[Product2]],$R$18:$R$23,$S$18:$S$23))*Tabla22[[#This Row],[Req.2]],0)</f>
        <v>34096</v>
      </c>
      <c r="O283" s="73">
        <f>SUM(Tabla22[[#This Row],[Bonus1]:[p2]])</f>
        <v>98180.524799999999</v>
      </c>
      <c r="P283" s="73">
        <f>IF(Tabla22[[#This Row],[QualityBonus]]&gt;0,Tabla22[[#This Row],[No wages]]-$C$4,"")</f>
        <v>50318.240561557774</v>
      </c>
    </row>
    <row r="284" spans="1:16" x14ac:dyDescent="0.25">
      <c r="A284" s="13">
        <v>268</v>
      </c>
      <c r="B284" s="13" t="s">
        <v>13</v>
      </c>
      <c r="C284" s="66">
        <v>1.0500000000000001E-2</v>
      </c>
      <c r="D284" s="2" t="s">
        <v>52</v>
      </c>
      <c r="E284" s="73">
        <v>118464</v>
      </c>
      <c r="F284" s="5">
        <v>3</v>
      </c>
      <c r="G284" s="2" t="s">
        <v>53</v>
      </c>
      <c r="H284" s="73">
        <v>40288</v>
      </c>
      <c r="I284" s="5">
        <v>3</v>
      </c>
      <c r="J284" s="74">
        <f>Tabla22[[#This Row],[Base price1]]*Tabla22[[#This Row],[Req.]]+Tabla22[[#This Row],[Base price2]]*Tabla22[[#This Row],[Req.2]]</f>
        <v>476256</v>
      </c>
      <c r="K284" s="73">
        <f>IFERROR(LOOKUP(Tabla22[[#This Row],[Product]],$R$18:$R$23,$T$18:$T$23)*Tabla22[[#This Row],[QualityBonus]]*Tabla22[[#This Row],[Base price1]]*Tabla22[[#This Row],[Req.]],0)</f>
        <v>22389.696</v>
      </c>
      <c r="L284" s="73">
        <f>IF(Tabla22[[#This Row],[Req.2]]&gt;0,LOOKUP(Tabla22[[#This Row],[Product2]],$R$18:$R$23,$T$18:$T$23)*Tabla22[[#This Row],[Base price2]]*Tabla22[[#This Row],[Req.2]]*Tabla22[[#This Row],[QualityBonus]],0)</f>
        <v>5076.2880000000005</v>
      </c>
      <c r="M284" s="73">
        <f>IFERROR((Tabla22[[#This Row],[Base price1]]-LOOKUP(Tabla22[[#This Row],[Product]],$R$18:$R$23,$S$18:$S$23))*Tabla22[[#This Row],[Req.]],0)</f>
        <v>7392</v>
      </c>
      <c r="N284" s="73">
        <f>IF(Tabla22[[#This Row],[Req.2]]&gt;0,(Tabla22[[#This Row],[Base price2]]-LOOKUP(Tabla22[[#This Row],[Product2]],$R$18:$R$23,$S$18:$S$23))*Tabla22[[#This Row],[Req.2]],0)</f>
        <v>18864</v>
      </c>
      <c r="O284" s="73">
        <f>SUM(Tabla22[[#This Row],[Bonus1]:[p2]])</f>
        <v>53721.983999999997</v>
      </c>
      <c r="P284" s="73">
        <f>IF(Tabla22[[#This Row],[QualityBonus]]&gt;0,Tabla22[[#This Row],[No wages]]-$C$4,"")</f>
        <v>5859.6997615577711</v>
      </c>
    </row>
    <row r="285" spans="1:16" x14ac:dyDescent="0.25">
      <c r="A285" s="13">
        <v>269</v>
      </c>
      <c r="B285" s="13" t="s">
        <v>13</v>
      </c>
      <c r="C285" s="66">
        <v>2.53E-2</v>
      </c>
      <c r="D285" s="2" t="s">
        <v>54</v>
      </c>
      <c r="E285" s="73">
        <v>61999</v>
      </c>
      <c r="F285" s="5">
        <v>4</v>
      </c>
      <c r="G285" s="2" t="s">
        <v>53</v>
      </c>
      <c r="H285" s="73">
        <v>40270</v>
      </c>
      <c r="I285" s="5">
        <v>2</v>
      </c>
      <c r="J285" s="74">
        <f>Tabla22[[#This Row],[Base price1]]*Tabla22[[#This Row],[Req.]]+Tabla22[[#This Row],[Base price2]]*Tabla22[[#This Row],[Req.2]]</f>
        <v>328536</v>
      </c>
      <c r="K285" s="73">
        <f>IFERROR(LOOKUP(Tabla22[[#This Row],[Product]],$R$18:$R$23,$T$18:$T$23)*Tabla22[[#This Row],[QualityBonus]]*Tabla22[[#This Row],[Base price1]]*Tabla22[[#This Row],[Req.]],0)</f>
        <v>31371.493999999999</v>
      </c>
      <c r="L285" s="73">
        <f>IF(Tabla22[[#This Row],[Req.2]]&gt;0,LOOKUP(Tabla22[[#This Row],[Product2]],$R$18:$R$23,$T$18:$T$23)*Tabla22[[#This Row],[Base price2]]*Tabla22[[#This Row],[Req.2]]*Tabla22[[#This Row],[QualityBonus]],0)</f>
        <v>8150.6480000000001</v>
      </c>
      <c r="M285" s="73">
        <f>IFERROR((Tabla22[[#This Row],[Base price1]]-LOOKUP(Tabla22[[#This Row],[Product]],$R$18:$R$23,$S$18:$S$23))*Tabla22[[#This Row],[Req.]],0)</f>
        <v>21996</v>
      </c>
      <c r="N285" s="73">
        <f>IF(Tabla22[[#This Row],[Req.2]]&gt;0,(Tabla22[[#This Row],[Base price2]]-LOOKUP(Tabla22[[#This Row],[Product2]],$R$18:$R$23,$S$18:$S$23))*Tabla22[[#This Row],[Req.2]],0)</f>
        <v>12540</v>
      </c>
      <c r="O285" s="73">
        <f>SUM(Tabla22[[#This Row],[Bonus1]:[p2]])</f>
        <v>74058.141999999993</v>
      </c>
      <c r="P285" s="73">
        <f>IF(Tabla22[[#This Row],[QualityBonus]]&gt;0,Tabla22[[#This Row],[No wages]]-$C$4,"")</f>
        <v>26195.857761557767</v>
      </c>
    </row>
    <row r="286" spans="1:16" x14ac:dyDescent="0.25">
      <c r="A286" s="13">
        <v>270</v>
      </c>
      <c r="B286" s="13" t="s">
        <v>13</v>
      </c>
      <c r="C286" s="66">
        <v>1.8800000000000001E-2</v>
      </c>
      <c r="D286" s="2" t="s">
        <v>53</v>
      </c>
      <c r="E286" s="73">
        <v>41891</v>
      </c>
      <c r="F286" s="5">
        <v>3</v>
      </c>
      <c r="G286" s="2"/>
      <c r="H286" s="73"/>
      <c r="I286" s="5"/>
      <c r="J286" s="74">
        <f>Tabla22[[#This Row],[Base price1]]*Tabla22[[#This Row],[Req.]]+Tabla22[[#This Row],[Base price2]]*Tabla22[[#This Row],[Req.2]]</f>
        <v>125673</v>
      </c>
      <c r="K286" s="73">
        <f>IFERROR(LOOKUP(Tabla22[[#This Row],[Product]],$R$18:$R$23,$T$18:$T$23)*Tabla22[[#This Row],[QualityBonus]]*Tabla22[[#This Row],[Base price1]]*Tabla22[[#This Row],[Req.]],0)</f>
        <v>9450.6095999999998</v>
      </c>
      <c r="L286" s="73">
        <f>IF(Tabla22[[#This Row],[Req.2]]&gt;0,LOOKUP(Tabla22[[#This Row],[Product2]],$R$18:$R$23,$T$18:$T$23)*Tabla22[[#This Row],[Base price2]]*Tabla22[[#This Row],[Req.2]]*Tabla22[[#This Row],[QualityBonus]],0)</f>
        <v>0</v>
      </c>
      <c r="M286" s="73">
        <f>IFERROR((Tabla22[[#This Row],[Base price1]]-LOOKUP(Tabla22[[#This Row],[Product]],$R$18:$R$23,$S$18:$S$23))*Tabla22[[#This Row],[Req.]],0)</f>
        <v>23673</v>
      </c>
      <c r="N286" s="73">
        <f>IF(Tabla22[[#This Row],[Req.2]]&gt;0,(Tabla22[[#This Row],[Base price2]]-LOOKUP(Tabla22[[#This Row],[Product2]],$R$18:$R$23,$S$18:$S$23))*Tabla22[[#This Row],[Req.2]],0)</f>
        <v>0</v>
      </c>
      <c r="O286" s="73">
        <f>SUM(Tabla22[[#This Row],[Bonus1]:[p2]])</f>
        <v>33123.609599999996</v>
      </c>
      <c r="P286" s="73">
        <f>IF(Tabla22[[#This Row],[QualityBonus]]&gt;0,Tabla22[[#This Row],[No wages]]-$C$4,"")</f>
        <v>-14738.674638442229</v>
      </c>
    </row>
    <row r="287" spans="1:16" x14ac:dyDescent="0.25">
      <c r="A287" s="13">
        <v>271</v>
      </c>
      <c r="B287" s="13" t="s">
        <v>13</v>
      </c>
      <c r="C287" s="66">
        <v>1.9E-2</v>
      </c>
      <c r="D287" s="2" t="s">
        <v>55</v>
      </c>
      <c r="E287" s="73">
        <v>84990</v>
      </c>
      <c r="F287" s="5">
        <v>2</v>
      </c>
      <c r="G287" s="2" t="s">
        <v>53</v>
      </c>
      <c r="H287" s="73">
        <v>41350</v>
      </c>
      <c r="I287" s="5">
        <v>4</v>
      </c>
      <c r="J287" s="74">
        <f>Tabla22[[#This Row],[Base price1]]*Tabla22[[#This Row],[Req.]]+Tabla22[[#This Row],[Base price2]]*Tabla22[[#This Row],[Req.2]]</f>
        <v>335380</v>
      </c>
      <c r="K287" s="73">
        <f>IFERROR(LOOKUP(Tabla22[[#This Row],[Product]],$R$18:$R$23,$T$18:$T$23)*Tabla22[[#This Row],[QualityBonus]]*Tabla22[[#This Row],[Base price1]]*Tabla22[[#This Row],[Req.]],0)</f>
        <v>12918.48</v>
      </c>
      <c r="L287" s="73">
        <f>IF(Tabla22[[#This Row],[Req.2]]&gt;0,LOOKUP(Tabla22[[#This Row],[Product2]],$R$18:$R$23,$T$18:$T$23)*Tabla22[[#This Row],[Base price2]]*Tabla22[[#This Row],[Req.2]]*Tabla22[[#This Row],[QualityBonus]],0)</f>
        <v>12570.4</v>
      </c>
      <c r="M287" s="73">
        <f>IFERROR((Tabla22[[#This Row],[Base price1]]-LOOKUP(Tabla22[[#This Row],[Product]],$R$18:$R$23,$S$18:$S$23))*Tabla22[[#This Row],[Req.]],0)</f>
        <v>15980</v>
      </c>
      <c r="N287" s="73">
        <f>IF(Tabla22[[#This Row],[Req.2]]&gt;0,(Tabla22[[#This Row],[Base price2]]-LOOKUP(Tabla22[[#This Row],[Product2]],$R$18:$R$23,$S$18:$S$23))*Tabla22[[#This Row],[Req.2]],0)</f>
        <v>29400</v>
      </c>
      <c r="O287" s="73">
        <f>SUM(Tabla22[[#This Row],[Bonus1]:[p2]])</f>
        <v>70868.88</v>
      </c>
      <c r="P287" s="73">
        <f>IF(Tabla22[[#This Row],[QualityBonus]]&gt;0,Tabla22[[#This Row],[No wages]]-$C$4,"")</f>
        <v>23006.595761557779</v>
      </c>
    </row>
    <row r="288" spans="1:16" x14ac:dyDescent="0.25">
      <c r="A288" s="13">
        <v>272</v>
      </c>
      <c r="B288" s="13" t="s">
        <v>13</v>
      </c>
      <c r="C288" s="66">
        <v>2.6200000000000001E-2</v>
      </c>
      <c r="D288" s="2" t="s">
        <v>52</v>
      </c>
      <c r="E288" s="73">
        <v>118796</v>
      </c>
      <c r="F288" s="5">
        <v>2</v>
      </c>
      <c r="G288" s="2" t="s">
        <v>57</v>
      </c>
      <c r="H288" s="73">
        <v>85228</v>
      </c>
      <c r="I288" s="5">
        <v>4</v>
      </c>
      <c r="J288" s="74">
        <f>Tabla22[[#This Row],[Base price1]]*Tabla22[[#This Row],[Req.]]+Tabla22[[#This Row],[Base price2]]*Tabla22[[#This Row],[Req.2]]</f>
        <v>578504</v>
      </c>
      <c r="K288" s="73">
        <f>IFERROR(LOOKUP(Tabla22[[#This Row],[Product]],$R$18:$R$23,$T$18:$T$23)*Tabla22[[#This Row],[QualityBonus]]*Tabla22[[#This Row],[Base price1]]*Tabla22[[#This Row],[Req.]],0)</f>
        <v>37349.462400000004</v>
      </c>
      <c r="L288" s="73">
        <f>IF(Tabla22[[#This Row],[Req.2]]&gt;0,LOOKUP(Tabla22[[#This Row],[Product2]],$R$18:$R$23,$T$18:$T$23)*Tabla22[[#This Row],[Base price2]]*Tabla22[[#This Row],[Req.2]]*Tabla22[[#This Row],[QualityBonus]],0)</f>
        <v>35727.577600000004</v>
      </c>
      <c r="M288" s="73">
        <f>IFERROR((Tabla22[[#This Row],[Base price1]]-LOOKUP(Tabla22[[#This Row],[Product]],$R$18:$R$23,$S$18:$S$23))*Tabla22[[#This Row],[Req.]],0)</f>
        <v>5592</v>
      </c>
      <c r="N288" s="73">
        <f>IF(Tabla22[[#This Row],[Req.2]]&gt;0,(Tabla22[[#This Row],[Base price2]]-LOOKUP(Tabla22[[#This Row],[Product2]],$R$18:$R$23,$S$18:$S$23))*Tabla22[[#This Row],[Req.2]],0)</f>
        <v>32912</v>
      </c>
      <c r="O288" s="73">
        <f>SUM(Tabla22[[#This Row],[Bonus1]:[p2]])</f>
        <v>111581.04000000001</v>
      </c>
      <c r="P288" s="73">
        <f>IF(Tabla22[[#This Row],[QualityBonus]]&gt;0,Tabla22[[#This Row],[No wages]]-$C$4,"")</f>
        <v>63718.755761557783</v>
      </c>
    </row>
    <row r="289" spans="1:16" x14ac:dyDescent="0.25">
      <c r="A289" s="13">
        <v>273</v>
      </c>
      <c r="B289" s="13" t="s">
        <v>13</v>
      </c>
      <c r="C289" s="66">
        <v>1.9400000000000001E-2</v>
      </c>
      <c r="D289" s="2" t="s">
        <v>54</v>
      </c>
      <c r="E289" s="73">
        <v>59512</v>
      </c>
      <c r="F289" s="5">
        <v>3</v>
      </c>
      <c r="G289" s="2" t="s">
        <v>52</v>
      </c>
      <c r="H289" s="73">
        <v>116576</v>
      </c>
      <c r="I289" s="5">
        <v>4</v>
      </c>
      <c r="J289" s="74">
        <f>Tabla22[[#This Row],[Base price1]]*Tabla22[[#This Row],[Req.]]+Tabla22[[#This Row],[Base price2]]*Tabla22[[#This Row],[Req.2]]</f>
        <v>644840</v>
      </c>
      <c r="K289" s="73">
        <f>IFERROR(LOOKUP(Tabla22[[#This Row],[Product]],$R$18:$R$23,$T$18:$T$23)*Tabla22[[#This Row],[QualityBonus]]*Tabla22[[#This Row],[Base price1]]*Tabla22[[#This Row],[Req.]],0)</f>
        <v>17317.991999999998</v>
      </c>
      <c r="L289" s="73">
        <f>IF(Tabla22[[#This Row],[Req.2]]&gt;0,LOOKUP(Tabla22[[#This Row],[Product2]],$R$18:$R$23,$T$18:$T$23)*Tabla22[[#This Row],[Base price2]]*Tabla22[[#This Row],[Req.2]]*Tabla22[[#This Row],[QualityBonus]],0)</f>
        <v>54277.785600000003</v>
      </c>
      <c r="M289" s="73">
        <f>IFERROR((Tabla22[[#This Row],[Base price1]]-LOOKUP(Tabla22[[#This Row],[Product]],$R$18:$R$23,$S$18:$S$23))*Tabla22[[#This Row],[Req.]],0)</f>
        <v>9036</v>
      </c>
      <c r="N289" s="73">
        <f>IF(Tabla22[[#This Row],[Req.2]]&gt;0,(Tabla22[[#This Row],[Base price2]]-LOOKUP(Tabla22[[#This Row],[Product2]],$R$18:$R$23,$S$18:$S$23))*Tabla22[[#This Row],[Req.2]],0)</f>
        <v>2304</v>
      </c>
      <c r="O289" s="73">
        <f>SUM(Tabla22[[#This Row],[Bonus1]:[p2]])</f>
        <v>82935.777600000001</v>
      </c>
      <c r="P289" s="73">
        <f>IF(Tabla22[[#This Row],[QualityBonus]]&gt;0,Tabla22[[#This Row],[No wages]]-$C$4,"")</f>
        <v>35073.493361557776</v>
      </c>
    </row>
    <row r="290" spans="1:16" x14ac:dyDescent="0.25">
      <c r="A290" s="13">
        <v>274</v>
      </c>
      <c r="B290" s="13" t="s">
        <v>13</v>
      </c>
      <c r="C290" s="66">
        <v>1.29E-2</v>
      </c>
      <c r="D290" s="2" t="s">
        <v>53</v>
      </c>
      <c r="E290" s="73">
        <v>40770</v>
      </c>
      <c r="F290" s="5">
        <v>2</v>
      </c>
      <c r="G290" s="2" t="s">
        <v>52</v>
      </c>
      <c r="H290" s="73">
        <v>120840</v>
      </c>
      <c r="I290" s="5">
        <v>2</v>
      </c>
      <c r="J290" s="74">
        <f>Tabla22[[#This Row],[Base price1]]*Tabla22[[#This Row],[Req.]]+Tabla22[[#This Row],[Base price2]]*Tabla22[[#This Row],[Req.2]]</f>
        <v>323220</v>
      </c>
      <c r="K290" s="73">
        <f>IFERROR(LOOKUP(Tabla22[[#This Row],[Product]],$R$18:$R$23,$T$18:$T$23)*Tabla22[[#This Row],[QualityBonus]]*Tabla22[[#This Row],[Base price1]]*Tabla22[[#This Row],[Req.]],0)</f>
        <v>4207.4639999999999</v>
      </c>
      <c r="L290" s="73">
        <f>IF(Tabla22[[#This Row],[Req.2]]&gt;0,LOOKUP(Tabla22[[#This Row],[Product2]],$R$18:$R$23,$T$18:$T$23)*Tabla22[[#This Row],[Base price2]]*Tabla22[[#This Row],[Req.2]]*Tabla22[[#This Row],[QualityBonus]],0)</f>
        <v>18706.031999999999</v>
      </c>
      <c r="M290" s="73">
        <f>IFERROR((Tabla22[[#This Row],[Base price1]]-LOOKUP(Tabla22[[#This Row],[Product]],$R$18:$R$23,$S$18:$S$23))*Tabla22[[#This Row],[Req.]],0)</f>
        <v>13540</v>
      </c>
      <c r="N290" s="73">
        <f>IF(Tabla22[[#This Row],[Req.2]]&gt;0,(Tabla22[[#This Row],[Base price2]]-LOOKUP(Tabla22[[#This Row],[Product2]],$R$18:$R$23,$S$18:$S$23))*Tabla22[[#This Row],[Req.2]],0)</f>
        <v>9680</v>
      </c>
      <c r="O290" s="73">
        <f>SUM(Tabla22[[#This Row],[Bonus1]:[p2]])</f>
        <v>46133.495999999999</v>
      </c>
      <c r="P290" s="73">
        <f>IF(Tabla22[[#This Row],[QualityBonus]]&gt;0,Tabla22[[#This Row],[No wages]]-$C$4,"")</f>
        <v>-1728.7882384422264</v>
      </c>
    </row>
    <row r="291" spans="1:16" x14ac:dyDescent="0.25">
      <c r="A291" s="13">
        <v>275</v>
      </c>
      <c r="B291" s="13" t="s">
        <v>13</v>
      </c>
      <c r="C291" s="66">
        <v>1.49E-2</v>
      </c>
      <c r="D291" s="2" t="s">
        <v>54</v>
      </c>
      <c r="E291" s="73">
        <v>59669</v>
      </c>
      <c r="F291" s="5">
        <v>1</v>
      </c>
      <c r="G291" s="2" t="s">
        <v>53</v>
      </c>
      <c r="H291" s="73">
        <v>42021</v>
      </c>
      <c r="I291" s="5">
        <v>4</v>
      </c>
      <c r="J291" s="74">
        <f>Tabla22[[#This Row],[Base price1]]*Tabla22[[#This Row],[Req.]]+Tabla22[[#This Row],[Base price2]]*Tabla22[[#This Row],[Req.2]]</f>
        <v>227753</v>
      </c>
      <c r="K291" s="73">
        <f>IFERROR(LOOKUP(Tabla22[[#This Row],[Product]],$R$18:$R$23,$T$18:$T$23)*Tabla22[[#This Row],[QualityBonus]]*Tabla22[[#This Row],[Base price1]]*Tabla22[[#This Row],[Req.]],0)</f>
        <v>4445.3405000000002</v>
      </c>
      <c r="L291" s="73">
        <f>IF(Tabla22[[#This Row],[Req.2]]&gt;0,LOOKUP(Tabla22[[#This Row],[Product2]],$R$18:$R$23,$T$18:$T$23)*Tabla22[[#This Row],[Base price2]]*Tabla22[[#This Row],[Req.2]]*Tabla22[[#This Row],[QualityBonus]],0)</f>
        <v>10017.806399999999</v>
      </c>
      <c r="M291" s="73">
        <f>IFERROR((Tabla22[[#This Row],[Base price1]]-LOOKUP(Tabla22[[#This Row],[Product]],$R$18:$R$23,$S$18:$S$23))*Tabla22[[#This Row],[Req.]],0)</f>
        <v>3169</v>
      </c>
      <c r="N291" s="73">
        <f>IF(Tabla22[[#This Row],[Req.2]]&gt;0,(Tabla22[[#This Row],[Base price2]]-LOOKUP(Tabla22[[#This Row],[Product2]],$R$18:$R$23,$S$18:$S$23))*Tabla22[[#This Row],[Req.2]],0)</f>
        <v>32084</v>
      </c>
      <c r="O291" s="73">
        <f>SUM(Tabla22[[#This Row],[Bonus1]:[p2]])</f>
        <v>49716.1469</v>
      </c>
      <c r="P291" s="73">
        <f>IF(Tabla22[[#This Row],[QualityBonus]]&gt;0,Tabla22[[#This Row],[No wages]]-$C$4,"")</f>
        <v>1853.8626615577741</v>
      </c>
    </row>
    <row r="292" spans="1:16" x14ac:dyDescent="0.25">
      <c r="A292" s="13">
        <v>276</v>
      </c>
      <c r="B292" s="13" t="s">
        <v>13</v>
      </c>
      <c r="C292" s="66">
        <v>2.8199999999999999E-2</v>
      </c>
      <c r="D292" s="2" t="s">
        <v>53</v>
      </c>
      <c r="E292" s="73">
        <v>42004</v>
      </c>
      <c r="F292" s="5">
        <v>2</v>
      </c>
      <c r="G292" s="2"/>
      <c r="H292" s="73"/>
      <c r="I292" s="5"/>
      <c r="J292" s="74">
        <f>Tabla22[[#This Row],[Base price1]]*Tabla22[[#This Row],[Req.]]+Tabla22[[#This Row],[Base price2]]*Tabla22[[#This Row],[Req.2]]</f>
        <v>84008</v>
      </c>
      <c r="K292" s="73">
        <f>IFERROR(LOOKUP(Tabla22[[#This Row],[Product]],$R$18:$R$23,$T$18:$T$23)*Tabla22[[#This Row],[QualityBonus]]*Tabla22[[#This Row],[Base price1]]*Tabla22[[#This Row],[Req.]],0)</f>
        <v>9476.1023999999998</v>
      </c>
      <c r="L292" s="73">
        <f>IF(Tabla22[[#This Row],[Req.2]]&gt;0,LOOKUP(Tabla22[[#This Row],[Product2]],$R$18:$R$23,$T$18:$T$23)*Tabla22[[#This Row],[Base price2]]*Tabla22[[#This Row],[Req.2]]*Tabla22[[#This Row],[QualityBonus]],0)</f>
        <v>0</v>
      </c>
      <c r="M292" s="73">
        <f>IFERROR((Tabla22[[#This Row],[Base price1]]-LOOKUP(Tabla22[[#This Row],[Product]],$R$18:$R$23,$S$18:$S$23))*Tabla22[[#This Row],[Req.]],0)</f>
        <v>16008</v>
      </c>
      <c r="N292" s="73">
        <f>IF(Tabla22[[#This Row],[Req.2]]&gt;0,(Tabla22[[#This Row],[Base price2]]-LOOKUP(Tabla22[[#This Row],[Product2]],$R$18:$R$23,$S$18:$S$23))*Tabla22[[#This Row],[Req.2]],0)</f>
        <v>0</v>
      </c>
      <c r="O292" s="73">
        <f>SUM(Tabla22[[#This Row],[Bonus1]:[p2]])</f>
        <v>25484.1024</v>
      </c>
      <c r="P292" s="73">
        <f>IF(Tabla22[[#This Row],[QualityBonus]]&gt;0,Tabla22[[#This Row],[No wages]]-$C$4,"")</f>
        <v>-22378.181838442226</v>
      </c>
    </row>
    <row r="293" spans="1:16" x14ac:dyDescent="0.25">
      <c r="A293" s="13">
        <v>277</v>
      </c>
      <c r="B293" s="13" t="s">
        <v>13</v>
      </c>
      <c r="C293" s="66">
        <v>1.7999999999999999E-2</v>
      </c>
      <c r="D293" s="2" t="s">
        <v>52</v>
      </c>
      <c r="E293" s="73">
        <v>118566</v>
      </c>
      <c r="F293" s="5">
        <v>3</v>
      </c>
      <c r="G293" s="2" t="s">
        <v>53</v>
      </c>
      <c r="H293" s="73">
        <v>42023</v>
      </c>
      <c r="I293" s="5">
        <v>4</v>
      </c>
      <c r="J293" s="74">
        <f>Tabla22[[#This Row],[Base price1]]*Tabla22[[#This Row],[Req.]]+Tabla22[[#This Row],[Base price2]]*Tabla22[[#This Row],[Req.2]]</f>
        <v>523790</v>
      </c>
      <c r="K293" s="73">
        <f>IFERROR(LOOKUP(Tabla22[[#This Row],[Product]],$R$18:$R$23,$T$18:$T$23)*Tabla22[[#This Row],[QualityBonus]]*Tabla22[[#This Row],[Base price1]]*Tabla22[[#This Row],[Req.]],0)</f>
        <v>38415.383999999998</v>
      </c>
      <c r="L293" s="73">
        <f>IF(Tabla22[[#This Row],[Req.2]]&gt;0,LOOKUP(Tabla22[[#This Row],[Product2]],$R$18:$R$23,$T$18:$T$23)*Tabla22[[#This Row],[Base price2]]*Tabla22[[#This Row],[Req.2]]*Tabla22[[#This Row],[QualityBonus]],0)</f>
        <v>12102.624</v>
      </c>
      <c r="M293" s="73">
        <f>IFERROR((Tabla22[[#This Row],[Base price1]]-LOOKUP(Tabla22[[#This Row],[Product]],$R$18:$R$23,$S$18:$S$23))*Tabla22[[#This Row],[Req.]],0)</f>
        <v>7698</v>
      </c>
      <c r="N293" s="73">
        <f>IF(Tabla22[[#This Row],[Req.2]]&gt;0,(Tabla22[[#This Row],[Base price2]]-LOOKUP(Tabla22[[#This Row],[Product2]],$R$18:$R$23,$S$18:$S$23))*Tabla22[[#This Row],[Req.2]],0)</f>
        <v>32092</v>
      </c>
      <c r="O293" s="73">
        <f>SUM(Tabla22[[#This Row],[Bonus1]:[p2]])</f>
        <v>90308.008000000002</v>
      </c>
      <c r="P293" s="73">
        <f>IF(Tabla22[[#This Row],[QualityBonus]]&gt;0,Tabla22[[#This Row],[No wages]]-$C$4,"")</f>
        <v>42445.723761557776</v>
      </c>
    </row>
    <row r="294" spans="1:16" x14ac:dyDescent="0.25">
      <c r="A294" s="13">
        <v>278</v>
      </c>
      <c r="B294" s="13" t="s">
        <v>13</v>
      </c>
      <c r="C294" s="66">
        <v>1.6400000000000001E-2</v>
      </c>
      <c r="D294" s="2" t="s">
        <v>54</v>
      </c>
      <c r="E294" s="73">
        <v>59460</v>
      </c>
      <c r="F294" s="5">
        <v>2</v>
      </c>
      <c r="G294" s="2" t="s">
        <v>52</v>
      </c>
      <c r="H294" s="73">
        <v>121829</v>
      </c>
      <c r="I294" s="5">
        <v>4</v>
      </c>
      <c r="J294" s="74">
        <f>Tabla22[[#This Row],[Base price1]]*Tabla22[[#This Row],[Req.]]+Tabla22[[#This Row],[Base price2]]*Tabla22[[#This Row],[Req.2]]</f>
        <v>606236</v>
      </c>
      <c r="K294" s="73">
        <f>IFERROR(LOOKUP(Tabla22[[#This Row],[Product]],$R$18:$R$23,$T$18:$T$23)*Tabla22[[#This Row],[QualityBonus]]*Tabla22[[#This Row],[Base price1]]*Tabla22[[#This Row],[Req.]],0)</f>
        <v>9751.44</v>
      </c>
      <c r="L294" s="73">
        <f>IF(Tabla22[[#This Row],[Req.2]]&gt;0,LOOKUP(Tabla22[[#This Row],[Product2]],$R$18:$R$23,$T$18:$T$23)*Tabla22[[#This Row],[Base price2]]*Tabla22[[#This Row],[Req.2]]*Tabla22[[#This Row],[QualityBonus]],0)</f>
        <v>47951.894400000005</v>
      </c>
      <c r="M294" s="73">
        <f>IFERROR((Tabla22[[#This Row],[Base price1]]-LOOKUP(Tabla22[[#This Row],[Product]],$R$18:$R$23,$S$18:$S$23))*Tabla22[[#This Row],[Req.]],0)</f>
        <v>5920</v>
      </c>
      <c r="N294" s="73">
        <f>IF(Tabla22[[#This Row],[Req.2]]&gt;0,(Tabla22[[#This Row],[Base price2]]-LOOKUP(Tabla22[[#This Row],[Product2]],$R$18:$R$23,$S$18:$S$23))*Tabla22[[#This Row],[Req.2]],0)</f>
        <v>23316</v>
      </c>
      <c r="O294" s="73">
        <f>SUM(Tabla22[[#This Row],[Bonus1]:[p2]])</f>
        <v>86939.334400000007</v>
      </c>
      <c r="P294" s="73">
        <f>IF(Tabla22[[#This Row],[QualityBonus]]&gt;0,Tabla22[[#This Row],[No wages]]-$C$4,"")</f>
        <v>39077.050161557781</v>
      </c>
    </row>
    <row r="295" spans="1:16" x14ac:dyDescent="0.25">
      <c r="A295" s="13">
        <v>279</v>
      </c>
      <c r="B295" s="13" t="s">
        <v>13</v>
      </c>
      <c r="C295" s="66">
        <v>1.3100000000000001E-2</v>
      </c>
      <c r="D295" s="2" t="s">
        <v>27</v>
      </c>
      <c r="E295" s="73">
        <v>827144</v>
      </c>
      <c r="F295" s="5">
        <v>2</v>
      </c>
      <c r="G295" s="2" t="s">
        <v>57</v>
      </c>
      <c r="H295" s="73">
        <v>84517</v>
      </c>
      <c r="I295" s="5">
        <v>2</v>
      </c>
      <c r="J295" s="74">
        <f>Tabla22[[#This Row],[Base price1]]*Tabla22[[#This Row],[Req.]]+Tabla22[[#This Row],[Base price2]]*Tabla22[[#This Row],[Req.2]]</f>
        <v>1823322</v>
      </c>
      <c r="K295" s="73">
        <f>IFERROR(LOOKUP(Tabla22[[#This Row],[Product]],$R$18:$R$23,$T$18:$T$23)*Tabla22[[#This Row],[QualityBonus]]*Tabla22[[#This Row],[Base price1]]*Tabla22[[#This Row],[Req.]],0)</f>
        <v>130027.0368</v>
      </c>
      <c r="L295" s="73">
        <f>IF(Tabla22[[#This Row],[Req.2]]&gt;0,LOOKUP(Tabla22[[#This Row],[Product2]],$R$18:$R$23,$T$18:$T$23)*Tabla22[[#This Row],[Base price2]]*Tabla22[[#This Row],[Req.2]]*Tabla22[[#This Row],[QualityBonus]],0)</f>
        <v>8857.3816000000006</v>
      </c>
      <c r="M295" s="73">
        <f>IFERROR((Tabla22[[#This Row],[Base price1]]-LOOKUP(Tabla22[[#This Row],[Product]],$R$18:$R$23,$S$18:$S$23))*Tabla22[[#This Row],[Req.]],0)</f>
        <v>-23712</v>
      </c>
      <c r="N295" s="73">
        <f>IF(Tabla22[[#This Row],[Req.2]]&gt;0,(Tabla22[[#This Row],[Base price2]]-LOOKUP(Tabla22[[#This Row],[Product2]],$R$18:$R$23,$S$18:$S$23))*Tabla22[[#This Row],[Req.2]],0)</f>
        <v>15034</v>
      </c>
      <c r="O295" s="73">
        <f>SUM(Tabla22[[#This Row],[Bonus1]:[p2]])</f>
        <v>130206.4184</v>
      </c>
      <c r="P295" s="73">
        <f>IF(Tabla22[[#This Row],[QualityBonus]]&gt;0,Tabla22[[#This Row],[No wages]]-$C$4,"")</f>
        <v>82344.134161557769</v>
      </c>
    </row>
    <row r="296" spans="1:16" x14ac:dyDescent="0.25">
      <c r="A296" s="13">
        <v>280</v>
      </c>
      <c r="B296" s="13" t="s">
        <v>13</v>
      </c>
      <c r="C296" s="66">
        <v>1.7000000000000001E-2</v>
      </c>
      <c r="D296" s="2" t="s">
        <v>133</v>
      </c>
      <c r="E296" s="73">
        <v>855757</v>
      </c>
      <c r="F296" s="5">
        <v>1</v>
      </c>
      <c r="G296" s="2" t="s">
        <v>57</v>
      </c>
      <c r="H296" s="73">
        <v>86831</v>
      </c>
      <c r="I296" s="5">
        <v>4</v>
      </c>
      <c r="J296" s="74">
        <f>Tabla22[[#This Row],[Base price1]]*Tabla22[[#This Row],[Req.]]+Tabla22[[#This Row],[Base price2]]*Tabla22[[#This Row],[Req.2]]</f>
        <v>1203081</v>
      </c>
      <c r="K296" s="73">
        <f>IFERROR(LOOKUP(Tabla22[[#This Row],[Product]],$R$18:$R$23,$T$18:$T$23)*Tabla22[[#This Row],[QualityBonus]]*Tabla22[[#This Row],[Base price1]]*Tabla22[[#This Row],[Req.]],0)</f>
        <v>87287.214000000007</v>
      </c>
      <c r="L296" s="73">
        <f>IF(Tabla22[[#This Row],[Req.2]]&gt;0,LOOKUP(Tabla22[[#This Row],[Product2]],$R$18:$R$23,$T$18:$T$23)*Tabla22[[#This Row],[Base price2]]*Tabla22[[#This Row],[Req.2]]*Tabla22[[#This Row],[QualityBonus]],0)</f>
        <v>23618.032000000003</v>
      </c>
      <c r="M296" s="73">
        <f>IFERROR((Tabla22[[#This Row],[Base price1]]-LOOKUP(Tabla22[[#This Row],[Product]],$R$18:$R$23,$S$18:$S$23))*Tabla22[[#This Row],[Req.]],0)</f>
        <v>16757</v>
      </c>
      <c r="N296" s="73">
        <f>IF(Tabla22[[#This Row],[Req.2]]&gt;0,(Tabla22[[#This Row],[Base price2]]-LOOKUP(Tabla22[[#This Row],[Product2]],$R$18:$R$23,$S$18:$S$23))*Tabla22[[#This Row],[Req.2]],0)</f>
        <v>39324</v>
      </c>
      <c r="O296" s="73">
        <f>SUM(Tabla22[[#This Row],[Bonus1]:[p2]])</f>
        <v>166986.24600000001</v>
      </c>
      <c r="P296" s="73">
        <f>IF(Tabla22[[#This Row],[QualityBonus]]&gt;0,Tabla22[[#This Row],[No wages]]-$C$4,"")</f>
        <v>119123.96176155779</v>
      </c>
    </row>
    <row r="297" spans="1:16" x14ac:dyDescent="0.25">
      <c r="A297" s="13">
        <v>281</v>
      </c>
      <c r="B297" s="13" t="s">
        <v>13</v>
      </c>
      <c r="C297" s="66">
        <v>2.2100000000000002E-2</v>
      </c>
      <c r="D297" s="2" t="s">
        <v>53</v>
      </c>
      <c r="E297" s="73">
        <v>40836</v>
      </c>
      <c r="F297" s="5">
        <v>3</v>
      </c>
      <c r="G297" s="2" t="s">
        <v>54</v>
      </c>
      <c r="H297" s="73">
        <v>61805</v>
      </c>
      <c r="I297" s="5">
        <v>1</v>
      </c>
      <c r="J297" s="74">
        <f>Tabla22[[#This Row],[Base price1]]*Tabla22[[#This Row],[Req.]]+Tabla22[[#This Row],[Base price2]]*Tabla22[[#This Row],[Req.2]]</f>
        <v>184313</v>
      </c>
      <c r="K297" s="73">
        <f>IFERROR(LOOKUP(Tabla22[[#This Row],[Product]],$R$18:$R$23,$T$18:$T$23)*Tabla22[[#This Row],[QualityBonus]]*Tabla22[[#This Row],[Base price1]]*Tabla22[[#This Row],[Req.]],0)</f>
        <v>10829.707200000001</v>
      </c>
      <c r="L297" s="73">
        <f>IF(Tabla22[[#This Row],[Req.2]]&gt;0,LOOKUP(Tabla22[[#This Row],[Product2]],$R$18:$R$23,$T$18:$T$23)*Tabla22[[#This Row],[Base price2]]*Tabla22[[#This Row],[Req.2]]*Tabla22[[#This Row],[QualityBonus]],0)</f>
        <v>6829.4525000000003</v>
      </c>
      <c r="M297" s="73">
        <f>IFERROR((Tabla22[[#This Row],[Base price1]]-LOOKUP(Tabla22[[#This Row],[Product]],$R$18:$R$23,$S$18:$S$23))*Tabla22[[#This Row],[Req.]],0)</f>
        <v>20508</v>
      </c>
      <c r="N297" s="73">
        <f>IF(Tabla22[[#This Row],[Req.2]]&gt;0,(Tabla22[[#This Row],[Base price2]]-LOOKUP(Tabla22[[#This Row],[Product2]],$R$18:$R$23,$S$18:$S$23))*Tabla22[[#This Row],[Req.2]],0)</f>
        <v>5305</v>
      </c>
      <c r="O297" s="73">
        <f>SUM(Tabla22[[#This Row],[Bonus1]:[p2]])</f>
        <v>43472.159700000004</v>
      </c>
      <c r="P297" s="73">
        <f>IF(Tabla22[[#This Row],[QualityBonus]]&gt;0,Tabla22[[#This Row],[No wages]]-$C$4,"")</f>
        <v>-4390.1245384422218</v>
      </c>
    </row>
    <row r="298" spans="1:16" x14ac:dyDescent="0.25">
      <c r="A298" s="13">
        <v>282</v>
      </c>
      <c r="B298" s="13" t="s">
        <v>13</v>
      </c>
      <c r="C298" s="66">
        <v>2.92E-2</v>
      </c>
      <c r="D298" s="2" t="s">
        <v>53</v>
      </c>
      <c r="E298" s="73">
        <v>40842</v>
      </c>
      <c r="F298" s="5">
        <v>3</v>
      </c>
      <c r="G298" s="2"/>
      <c r="H298" s="73"/>
      <c r="I298" s="5"/>
      <c r="J298" s="74">
        <f>Tabla22[[#This Row],[Base price1]]*Tabla22[[#This Row],[Req.]]+Tabla22[[#This Row],[Base price2]]*Tabla22[[#This Row],[Req.2]]</f>
        <v>122526</v>
      </c>
      <c r="K298" s="73">
        <f>IFERROR(LOOKUP(Tabla22[[#This Row],[Product]],$R$18:$R$23,$T$18:$T$23)*Tabla22[[#This Row],[QualityBonus]]*Tabla22[[#This Row],[Base price1]]*Tabla22[[#This Row],[Req.]],0)</f>
        <v>14311.036799999998</v>
      </c>
      <c r="L298" s="73">
        <f>IF(Tabla22[[#This Row],[Req.2]]&gt;0,LOOKUP(Tabla22[[#This Row],[Product2]],$R$18:$R$23,$T$18:$T$23)*Tabla22[[#This Row],[Base price2]]*Tabla22[[#This Row],[Req.2]]*Tabla22[[#This Row],[QualityBonus]],0)</f>
        <v>0</v>
      </c>
      <c r="M298" s="73">
        <f>IFERROR((Tabla22[[#This Row],[Base price1]]-LOOKUP(Tabla22[[#This Row],[Product]],$R$18:$R$23,$S$18:$S$23))*Tabla22[[#This Row],[Req.]],0)</f>
        <v>20526</v>
      </c>
      <c r="N298" s="73">
        <f>IF(Tabla22[[#This Row],[Req.2]]&gt;0,(Tabla22[[#This Row],[Base price2]]-LOOKUP(Tabla22[[#This Row],[Product2]],$R$18:$R$23,$S$18:$S$23))*Tabla22[[#This Row],[Req.2]],0)</f>
        <v>0</v>
      </c>
      <c r="O298" s="73">
        <f>SUM(Tabla22[[#This Row],[Bonus1]:[p2]])</f>
        <v>34837.036800000002</v>
      </c>
      <c r="P298" s="73">
        <f>IF(Tabla22[[#This Row],[QualityBonus]]&gt;0,Tabla22[[#This Row],[No wages]]-$C$4,"")</f>
        <v>-13025.247438442224</v>
      </c>
    </row>
    <row r="299" spans="1:16" x14ac:dyDescent="0.25">
      <c r="A299" s="13">
        <v>283</v>
      </c>
      <c r="B299" s="13" t="s">
        <v>13</v>
      </c>
      <c r="C299" s="66">
        <v>1.77E-2</v>
      </c>
      <c r="D299" s="2" t="s">
        <v>53</v>
      </c>
      <c r="E299" s="73">
        <v>41585</v>
      </c>
      <c r="F299" s="5">
        <v>3</v>
      </c>
      <c r="G299" s="2" t="s">
        <v>54</v>
      </c>
      <c r="H299" s="73">
        <v>61755</v>
      </c>
      <c r="I299" s="5">
        <v>2</v>
      </c>
      <c r="J299" s="74">
        <f>Tabla22[[#This Row],[Base price1]]*Tabla22[[#This Row],[Req.]]+Tabla22[[#This Row],[Base price2]]*Tabla22[[#This Row],[Req.2]]</f>
        <v>248265</v>
      </c>
      <c r="K299" s="73">
        <f>IFERROR(LOOKUP(Tabla22[[#This Row],[Product]],$R$18:$R$23,$T$18:$T$23)*Tabla22[[#This Row],[QualityBonus]]*Tabla22[[#This Row],[Base price1]]*Tabla22[[#This Row],[Req.]],0)</f>
        <v>8832.6540000000005</v>
      </c>
      <c r="L299" s="73">
        <f>IF(Tabla22[[#This Row],[Req.2]]&gt;0,LOOKUP(Tabla22[[#This Row],[Product2]],$R$18:$R$23,$T$18:$T$23)*Tabla22[[#This Row],[Base price2]]*Tabla22[[#This Row],[Req.2]]*Tabla22[[#This Row],[QualityBonus]],0)</f>
        <v>10930.635</v>
      </c>
      <c r="M299" s="73">
        <f>IFERROR((Tabla22[[#This Row],[Base price1]]-LOOKUP(Tabla22[[#This Row],[Product]],$R$18:$R$23,$S$18:$S$23))*Tabla22[[#This Row],[Req.]],0)</f>
        <v>22755</v>
      </c>
      <c r="N299" s="73">
        <f>IF(Tabla22[[#This Row],[Req.2]]&gt;0,(Tabla22[[#This Row],[Base price2]]-LOOKUP(Tabla22[[#This Row],[Product2]],$R$18:$R$23,$S$18:$S$23))*Tabla22[[#This Row],[Req.2]],0)</f>
        <v>10510</v>
      </c>
      <c r="O299" s="73">
        <f>SUM(Tabla22[[#This Row],[Bonus1]:[p2]])</f>
        <v>53028.289000000004</v>
      </c>
      <c r="P299" s="73">
        <f>IF(Tabla22[[#This Row],[QualityBonus]]&gt;0,Tabla22[[#This Row],[No wages]]-$C$4,"")</f>
        <v>5166.0047615577787</v>
      </c>
    </row>
    <row r="300" spans="1:16" x14ac:dyDescent="0.25">
      <c r="A300" s="13">
        <v>284</v>
      </c>
      <c r="B300" s="13" t="s">
        <v>13</v>
      </c>
      <c r="C300" s="66">
        <v>1.35E-2</v>
      </c>
      <c r="D300" s="2" t="s">
        <v>53</v>
      </c>
      <c r="E300" s="73">
        <v>41732</v>
      </c>
      <c r="F300" s="5">
        <v>5</v>
      </c>
      <c r="G300" s="2" t="s">
        <v>54</v>
      </c>
      <c r="H300" s="73">
        <v>62409</v>
      </c>
      <c r="I300" s="5">
        <v>2</v>
      </c>
      <c r="J300" s="74">
        <f>Tabla22[[#This Row],[Base price1]]*Tabla22[[#This Row],[Req.]]+Tabla22[[#This Row],[Base price2]]*Tabla22[[#This Row],[Req.2]]</f>
        <v>333478</v>
      </c>
      <c r="K300" s="73">
        <f>IFERROR(LOOKUP(Tabla22[[#This Row],[Product]],$R$18:$R$23,$T$18:$T$23)*Tabla22[[#This Row],[QualityBonus]]*Tabla22[[#This Row],[Base price1]]*Tabla22[[#This Row],[Req.]],0)</f>
        <v>11267.64</v>
      </c>
      <c r="L300" s="73">
        <f>IF(Tabla22[[#This Row],[Req.2]]&gt;0,LOOKUP(Tabla22[[#This Row],[Product2]],$R$18:$R$23,$T$18:$T$23)*Tabla22[[#This Row],[Base price2]]*Tabla22[[#This Row],[Req.2]]*Tabla22[[#This Row],[QualityBonus]],0)</f>
        <v>8425.2150000000001</v>
      </c>
      <c r="M300" s="73">
        <f>IFERROR((Tabla22[[#This Row],[Base price1]]-LOOKUP(Tabla22[[#This Row],[Product]],$R$18:$R$23,$S$18:$S$23))*Tabla22[[#This Row],[Req.]],0)</f>
        <v>38660</v>
      </c>
      <c r="N300" s="73">
        <f>IF(Tabla22[[#This Row],[Req.2]]&gt;0,(Tabla22[[#This Row],[Base price2]]-LOOKUP(Tabla22[[#This Row],[Product2]],$R$18:$R$23,$S$18:$S$23))*Tabla22[[#This Row],[Req.2]],0)</f>
        <v>11818</v>
      </c>
      <c r="O300" s="73">
        <f>SUM(Tabla22[[#This Row],[Bonus1]:[p2]])</f>
        <v>70170.854999999996</v>
      </c>
      <c r="P300" s="73">
        <f>IF(Tabla22[[#This Row],[QualityBonus]]&gt;0,Tabla22[[#This Row],[No wages]]-$C$4,"")</f>
        <v>22308.57076155777</v>
      </c>
    </row>
    <row r="301" spans="1:16" x14ac:dyDescent="0.25">
      <c r="A301" s="13">
        <v>285</v>
      </c>
      <c r="B301" s="13" t="s">
        <v>13</v>
      </c>
      <c r="C301" s="66">
        <v>1.9099999999999999E-2</v>
      </c>
      <c r="D301" s="2" t="s">
        <v>56</v>
      </c>
      <c r="E301" s="73">
        <v>227997</v>
      </c>
      <c r="F301" s="5">
        <v>3</v>
      </c>
      <c r="G301" s="2" t="s">
        <v>27</v>
      </c>
      <c r="H301" s="73">
        <v>860356</v>
      </c>
      <c r="I301" s="5">
        <v>1</v>
      </c>
      <c r="J301" s="74">
        <f>Tabla22[[#This Row],[Base price1]]*Tabla22[[#This Row],[Req.]]+Tabla22[[#This Row],[Base price2]]*Tabla22[[#This Row],[Req.2]]</f>
        <v>1544347</v>
      </c>
      <c r="K301" s="73">
        <f>IFERROR(LOOKUP(Tabla22[[#This Row],[Product]],$R$18:$R$23,$T$18:$T$23)*Tabla22[[#This Row],[QualityBonus]]*Tabla22[[#This Row],[Base price1]]*Tabla22[[#This Row],[Req.]],0)</f>
        <v>39192.684299999994</v>
      </c>
      <c r="L301" s="73">
        <f>IF(Tabla22[[#This Row],[Req.2]]&gt;0,LOOKUP(Tabla22[[#This Row],[Product2]],$R$18:$R$23,$T$18:$T$23)*Tabla22[[#This Row],[Base price2]]*Tabla22[[#This Row],[Req.2]]*Tabla22[[#This Row],[QualityBonus]],0)</f>
        <v>98596.797599999991</v>
      </c>
      <c r="M301" s="73">
        <f>IFERROR((Tabla22[[#This Row],[Base price1]]-LOOKUP(Tabla22[[#This Row],[Product]],$R$18:$R$23,$S$18:$S$23))*Tabla22[[#This Row],[Req.]],0)</f>
        <v>20991</v>
      </c>
      <c r="N301" s="73">
        <f>IF(Tabla22[[#This Row],[Req.2]]&gt;0,(Tabla22[[#This Row],[Base price2]]-LOOKUP(Tabla22[[#This Row],[Product2]],$R$18:$R$23,$S$18:$S$23))*Tabla22[[#This Row],[Req.2]],0)</f>
        <v>21356</v>
      </c>
      <c r="O301" s="73">
        <f>SUM(Tabla22[[#This Row],[Bonus1]:[p2]])</f>
        <v>180136.48189999998</v>
      </c>
      <c r="P301" s="73">
        <f>IF(Tabla22[[#This Row],[QualityBonus]]&gt;0,Tabla22[[#This Row],[No wages]]-$C$4,"")</f>
        <v>132274.19766155776</v>
      </c>
    </row>
    <row r="302" spans="1:16" x14ac:dyDescent="0.25">
      <c r="A302" s="13">
        <v>286</v>
      </c>
      <c r="B302" s="13" t="s">
        <v>13</v>
      </c>
      <c r="C302" s="66">
        <v>2.7199999999999998E-2</v>
      </c>
      <c r="D302" s="2" t="s">
        <v>54</v>
      </c>
      <c r="E302" s="73">
        <v>59638</v>
      </c>
      <c r="F302" s="5">
        <v>4</v>
      </c>
      <c r="G302" s="2" t="s">
        <v>133</v>
      </c>
      <c r="H302" s="73">
        <v>852618</v>
      </c>
      <c r="I302" s="5">
        <v>2</v>
      </c>
      <c r="J302" s="74">
        <f>Tabla22[[#This Row],[Base price1]]*Tabla22[[#This Row],[Req.]]+Tabla22[[#This Row],[Base price2]]*Tabla22[[#This Row],[Req.2]]</f>
        <v>1943788</v>
      </c>
      <c r="K302" s="73">
        <f>IFERROR(LOOKUP(Tabla22[[#This Row],[Product]],$R$18:$R$23,$T$18:$T$23)*Tabla22[[#This Row],[QualityBonus]]*Tabla22[[#This Row],[Base price1]]*Tabla22[[#This Row],[Req.]],0)</f>
        <v>32443.071999999996</v>
      </c>
      <c r="L302" s="73">
        <f>IF(Tabla22[[#This Row],[Req.2]]&gt;0,LOOKUP(Tabla22[[#This Row],[Product2]],$R$18:$R$23,$T$18:$T$23)*Tabla22[[#This Row],[Base price2]]*Tabla22[[#This Row],[Req.2]]*Tabla22[[#This Row],[QualityBonus]],0)</f>
        <v>278294.51519999997</v>
      </c>
      <c r="M302" s="73">
        <f>IFERROR((Tabla22[[#This Row],[Base price1]]-LOOKUP(Tabla22[[#This Row],[Product]],$R$18:$R$23,$S$18:$S$23))*Tabla22[[#This Row],[Req.]],0)</f>
        <v>12552</v>
      </c>
      <c r="N302" s="73">
        <f>IF(Tabla22[[#This Row],[Req.2]]&gt;0,(Tabla22[[#This Row],[Base price2]]-LOOKUP(Tabla22[[#This Row],[Product2]],$R$18:$R$23,$S$18:$S$23))*Tabla22[[#This Row],[Req.2]],0)</f>
        <v>27236</v>
      </c>
      <c r="O302" s="73">
        <f>SUM(Tabla22[[#This Row],[Bonus1]:[p2]])</f>
        <v>350525.58719999995</v>
      </c>
      <c r="P302" s="73">
        <f>IF(Tabla22[[#This Row],[QualityBonus]]&gt;0,Tabla22[[#This Row],[No wages]]-$C$4,"")</f>
        <v>302663.30296155775</v>
      </c>
    </row>
    <row r="303" spans="1:16" x14ac:dyDescent="0.25">
      <c r="A303" s="13">
        <v>287</v>
      </c>
      <c r="B303" s="13" t="s">
        <v>13</v>
      </c>
      <c r="C303" s="66">
        <v>1.7600000000000001E-2</v>
      </c>
      <c r="D303" s="2" t="s">
        <v>55</v>
      </c>
      <c r="E303" s="73">
        <v>84774</v>
      </c>
      <c r="F303" s="5">
        <v>1</v>
      </c>
      <c r="G303" s="2" t="s">
        <v>27</v>
      </c>
      <c r="H303" s="73">
        <v>821684</v>
      </c>
      <c r="I303" s="5">
        <v>4</v>
      </c>
      <c r="J303" s="74">
        <f>Tabla22[[#This Row],[Base price1]]*Tabla22[[#This Row],[Req.]]+Tabla22[[#This Row],[Base price2]]*Tabla22[[#This Row],[Req.2]]</f>
        <v>3371510</v>
      </c>
      <c r="K303" s="73">
        <f>IFERROR(LOOKUP(Tabla22[[#This Row],[Product]],$R$18:$R$23,$T$18:$T$23)*Tabla22[[#This Row],[QualityBonus]]*Tabla22[[#This Row],[Base price1]]*Tabla22[[#This Row],[Req.]],0)</f>
        <v>5968.0896000000002</v>
      </c>
      <c r="L303" s="73">
        <f>IF(Tabla22[[#This Row],[Req.2]]&gt;0,LOOKUP(Tabla22[[#This Row],[Product2]],$R$18:$R$23,$T$18:$T$23)*Tabla22[[#This Row],[Base price2]]*Tabla22[[#This Row],[Req.2]]*Tabla22[[#This Row],[QualityBonus]],0)</f>
        <v>347079.32160000002</v>
      </c>
      <c r="M303" s="73">
        <f>IFERROR((Tabla22[[#This Row],[Base price1]]-LOOKUP(Tabla22[[#This Row],[Product]],$R$18:$R$23,$S$18:$S$23))*Tabla22[[#This Row],[Req.]],0)</f>
        <v>7774</v>
      </c>
      <c r="N303" s="73">
        <f>IF(Tabla22[[#This Row],[Req.2]]&gt;0,(Tabla22[[#This Row],[Base price2]]-LOOKUP(Tabla22[[#This Row],[Product2]],$R$18:$R$23,$S$18:$S$23))*Tabla22[[#This Row],[Req.2]],0)</f>
        <v>-69264</v>
      </c>
      <c r="O303" s="73">
        <f>SUM(Tabla22[[#This Row],[Bonus1]:[p2]])</f>
        <v>291557.41120000003</v>
      </c>
      <c r="P303" s="73">
        <f>IF(Tabla22[[#This Row],[QualityBonus]]&gt;0,Tabla22[[#This Row],[No wages]]-$C$4,"")</f>
        <v>243695.12696155781</v>
      </c>
    </row>
    <row r="304" spans="1:16" x14ac:dyDescent="0.25">
      <c r="A304" s="13">
        <v>288</v>
      </c>
      <c r="B304" s="13" t="s">
        <v>13</v>
      </c>
      <c r="C304" s="66">
        <v>2.01E-2</v>
      </c>
      <c r="D304" s="2" t="s">
        <v>53</v>
      </c>
      <c r="E304" s="73">
        <v>41063</v>
      </c>
      <c r="F304" s="5">
        <v>2</v>
      </c>
      <c r="G304" s="2"/>
      <c r="H304" s="73"/>
      <c r="I304" s="5"/>
      <c r="J304" s="74">
        <f>Tabla22[[#This Row],[Base price1]]*Tabla22[[#This Row],[Req.]]+Tabla22[[#This Row],[Base price2]]*Tabla22[[#This Row],[Req.2]]</f>
        <v>82126</v>
      </c>
      <c r="K304" s="73">
        <f>IFERROR(LOOKUP(Tabla22[[#This Row],[Product]],$R$18:$R$23,$T$18:$T$23)*Tabla22[[#This Row],[QualityBonus]]*Tabla22[[#This Row],[Base price1]]*Tabla22[[#This Row],[Req.]],0)</f>
        <v>6602.9304000000002</v>
      </c>
      <c r="L304" s="73">
        <f>IF(Tabla22[[#This Row],[Req.2]]&gt;0,LOOKUP(Tabla22[[#This Row],[Product2]],$R$18:$R$23,$T$18:$T$23)*Tabla22[[#This Row],[Base price2]]*Tabla22[[#This Row],[Req.2]]*Tabla22[[#This Row],[QualityBonus]],0)</f>
        <v>0</v>
      </c>
      <c r="M304" s="73">
        <f>IFERROR((Tabla22[[#This Row],[Base price1]]-LOOKUP(Tabla22[[#This Row],[Product]],$R$18:$R$23,$S$18:$S$23))*Tabla22[[#This Row],[Req.]],0)</f>
        <v>14126</v>
      </c>
      <c r="N304" s="73">
        <f>IF(Tabla22[[#This Row],[Req.2]]&gt;0,(Tabla22[[#This Row],[Base price2]]-LOOKUP(Tabla22[[#This Row],[Product2]],$R$18:$R$23,$S$18:$S$23))*Tabla22[[#This Row],[Req.2]],0)</f>
        <v>0</v>
      </c>
      <c r="O304" s="73">
        <f>SUM(Tabla22[[#This Row],[Bonus1]:[p2]])</f>
        <v>20728.930400000001</v>
      </c>
      <c r="P304" s="73">
        <f>IF(Tabla22[[#This Row],[QualityBonus]]&gt;0,Tabla22[[#This Row],[No wages]]-$C$4,"")</f>
        <v>-27133.353838442225</v>
      </c>
    </row>
    <row r="305" spans="1:16" x14ac:dyDescent="0.25">
      <c r="A305" s="13">
        <v>289</v>
      </c>
      <c r="B305" s="13" t="s">
        <v>13</v>
      </c>
      <c r="C305" s="66">
        <v>1.43E-2</v>
      </c>
      <c r="D305" s="2" t="s">
        <v>52</v>
      </c>
      <c r="E305" s="73">
        <v>121624</v>
      </c>
      <c r="F305" s="5">
        <v>2</v>
      </c>
      <c r="G305" s="2" t="s">
        <v>57</v>
      </c>
      <c r="H305" s="73">
        <v>83019</v>
      </c>
      <c r="I305" s="5">
        <v>2</v>
      </c>
      <c r="J305" s="74">
        <f>Tabla22[[#This Row],[Base price1]]*Tabla22[[#This Row],[Req.]]+Tabla22[[#This Row],[Base price2]]*Tabla22[[#This Row],[Req.2]]</f>
        <v>409286</v>
      </c>
      <c r="K305" s="73">
        <f>IFERROR(LOOKUP(Tabla22[[#This Row],[Product]],$R$18:$R$23,$T$18:$T$23)*Tabla22[[#This Row],[QualityBonus]]*Tabla22[[#This Row],[Base price1]]*Tabla22[[#This Row],[Req.]],0)</f>
        <v>20870.678400000001</v>
      </c>
      <c r="L305" s="73">
        <f>IF(Tabla22[[#This Row],[Req.2]]&gt;0,LOOKUP(Tabla22[[#This Row],[Product2]],$R$18:$R$23,$T$18:$T$23)*Tabla22[[#This Row],[Base price2]]*Tabla22[[#This Row],[Req.2]]*Tabla22[[#This Row],[QualityBonus]],0)</f>
        <v>9497.3736000000008</v>
      </c>
      <c r="M305" s="73">
        <f>IFERROR((Tabla22[[#This Row],[Base price1]]-LOOKUP(Tabla22[[#This Row],[Product]],$R$18:$R$23,$S$18:$S$23))*Tabla22[[#This Row],[Req.]],0)</f>
        <v>11248</v>
      </c>
      <c r="N305" s="73">
        <f>IF(Tabla22[[#This Row],[Req.2]]&gt;0,(Tabla22[[#This Row],[Base price2]]-LOOKUP(Tabla22[[#This Row],[Product2]],$R$18:$R$23,$S$18:$S$23))*Tabla22[[#This Row],[Req.2]],0)</f>
        <v>12038</v>
      </c>
      <c r="O305" s="73">
        <f>SUM(Tabla22[[#This Row],[Bonus1]:[p2]])</f>
        <v>53654.052000000003</v>
      </c>
      <c r="P305" s="73">
        <f>IF(Tabla22[[#This Row],[QualityBonus]]&gt;0,Tabla22[[#This Row],[No wages]]-$C$4,"")</f>
        <v>5791.7677615577777</v>
      </c>
    </row>
    <row r="306" spans="1:16" x14ac:dyDescent="0.25">
      <c r="A306" s="13">
        <v>290</v>
      </c>
      <c r="B306" s="13" t="s">
        <v>13</v>
      </c>
      <c r="C306" s="66">
        <v>1.2699999999999999E-2</v>
      </c>
      <c r="D306" s="2" t="s">
        <v>56</v>
      </c>
      <c r="E306" s="73">
        <v>220900</v>
      </c>
      <c r="F306" s="5">
        <v>1</v>
      </c>
      <c r="G306" s="2" t="s">
        <v>52</v>
      </c>
      <c r="H306" s="73">
        <v>122472</v>
      </c>
      <c r="I306" s="5">
        <v>3</v>
      </c>
      <c r="J306" s="74">
        <f>Tabla22[[#This Row],[Base price1]]*Tabla22[[#This Row],[Req.]]+Tabla22[[#This Row],[Base price2]]*Tabla22[[#This Row],[Req.2]]</f>
        <v>588316</v>
      </c>
      <c r="K306" s="73">
        <f>IFERROR(LOOKUP(Tabla22[[#This Row],[Product]],$R$18:$R$23,$T$18:$T$23)*Tabla22[[#This Row],[QualityBonus]]*Tabla22[[#This Row],[Base price1]]*Tabla22[[#This Row],[Req.]],0)</f>
        <v>8416.2899999999991</v>
      </c>
      <c r="L306" s="73">
        <f>IF(Tabla22[[#This Row],[Req.2]]&gt;0,LOOKUP(Tabla22[[#This Row],[Product2]],$R$18:$R$23,$T$18:$T$23)*Tabla22[[#This Row],[Base price2]]*Tabla22[[#This Row],[Req.2]]*Tabla22[[#This Row],[QualityBonus]],0)</f>
        <v>27997.099200000001</v>
      </c>
      <c r="M306" s="73">
        <f>IFERROR((Tabla22[[#This Row],[Base price1]]-LOOKUP(Tabla22[[#This Row],[Product]],$R$18:$R$23,$S$18:$S$23))*Tabla22[[#This Row],[Req.]],0)</f>
        <v>-100</v>
      </c>
      <c r="N306" s="73">
        <f>IF(Tabla22[[#This Row],[Req.2]]&gt;0,(Tabla22[[#This Row],[Base price2]]-LOOKUP(Tabla22[[#This Row],[Product2]],$R$18:$R$23,$S$18:$S$23))*Tabla22[[#This Row],[Req.2]],0)</f>
        <v>19416</v>
      </c>
      <c r="O306" s="73">
        <f>SUM(Tabla22[[#This Row],[Bonus1]:[p2]])</f>
        <v>55729.389199999998</v>
      </c>
      <c r="P306" s="73">
        <f>IF(Tabla22[[#This Row],[QualityBonus]]&gt;0,Tabla22[[#This Row],[No wages]]-$C$4,"")</f>
        <v>7867.1049615577722</v>
      </c>
    </row>
    <row r="307" spans="1:16" x14ac:dyDescent="0.25">
      <c r="A307" s="13">
        <v>291</v>
      </c>
      <c r="B307" s="13" t="s">
        <v>13</v>
      </c>
      <c r="C307" s="66">
        <v>2.9499999999999998E-2</v>
      </c>
      <c r="D307" s="2" t="s">
        <v>53</v>
      </c>
      <c r="E307" s="73">
        <v>42529</v>
      </c>
      <c r="F307" s="5">
        <v>5</v>
      </c>
      <c r="G307" s="2"/>
      <c r="H307" s="73"/>
      <c r="I307" s="5"/>
      <c r="J307" s="74">
        <f>Tabla22[[#This Row],[Base price1]]*Tabla22[[#This Row],[Req.]]+Tabla22[[#This Row],[Base price2]]*Tabla22[[#This Row],[Req.2]]</f>
        <v>212645</v>
      </c>
      <c r="K307" s="73">
        <f>IFERROR(LOOKUP(Tabla22[[#This Row],[Product]],$R$18:$R$23,$T$18:$T$23)*Tabla22[[#This Row],[QualityBonus]]*Tabla22[[#This Row],[Base price1]]*Tabla22[[#This Row],[Req.]],0)</f>
        <v>25092.109999999997</v>
      </c>
      <c r="L307" s="73">
        <f>IF(Tabla22[[#This Row],[Req.2]]&gt;0,LOOKUP(Tabla22[[#This Row],[Product2]],$R$18:$R$23,$T$18:$T$23)*Tabla22[[#This Row],[Base price2]]*Tabla22[[#This Row],[Req.2]]*Tabla22[[#This Row],[QualityBonus]],0)</f>
        <v>0</v>
      </c>
      <c r="M307" s="73">
        <f>IFERROR((Tabla22[[#This Row],[Base price1]]-LOOKUP(Tabla22[[#This Row],[Product]],$R$18:$R$23,$S$18:$S$23))*Tabla22[[#This Row],[Req.]],0)</f>
        <v>42645</v>
      </c>
      <c r="N307" s="73">
        <f>IF(Tabla22[[#This Row],[Req.2]]&gt;0,(Tabla22[[#This Row],[Base price2]]-LOOKUP(Tabla22[[#This Row],[Product2]],$R$18:$R$23,$S$18:$S$23))*Tabla22[[#This Row],[Req.2]],0)</f>
        <v>0</v>
      </c>
      <c r="O307" s="73">
        <f>SUM(Tabla22[[#This Row],[Bonus1]:[p2]])</f>
        <v>67737.11</v>
      </c>
      <c r="P307" s="73">
        <f>IF(Tabla22[[#This Row],[QualityBonus]]&gt;0,Tabla22[[#This Row],[No wages]]-$C$4,"")</f>
        <v>19874.825761557775</v>
      </c>
    </row>
    <row r="308" spans="1:16" x14ac:dyDescent="0.25">
      <c r="A308" s="13">
        <v>292</v>
      </c>
      <c r="B308" s="13" t="s">
        <v>13</v>
      </c>
      <c r="C308" s="66">
        <v>1.9E-2</v>
      </c>
      <c r="D308" s="2" t="s">
        <v>53</v>
      </c>
      <c r="E308" s="73">
        <v>41623</v>
      </c>
      <c r="F308" s="5">
        <v>5</v>
      </c>
      <c r="G308" s="2"/>
      <c r="H308" s="73"/>
      <c r="I308" s="5"/>
      <c r="J308" s="74">
        <f>Tabla22[[#This Row],[Base price1]]*Tabla22[[#This Row],[Req.]]+Tabla22[[#This Row],[Base price2]]*Tabla22[[#This Row],[Req.2]]</f>
        <v>208115</v>
      </c>
      <c r="K308" s="73">
        <f>IFERROR(LOOKUP(Tabla22[[#This Row],[Product]],$R$18:$R$23,$T$18:$T$23)*Tabla22[[#This Row],[QualityBonus]]*Tabla22[[#This Row],[Base price1]]*Tabla22[[#This Row],[Req.]],0)</f>
        <v>15816.74</v>
      </c>
      <c r="L308" s="73">
        <f>IF(Tabla22[[#This Row],[Req.2]]&gt;0,LOOKUP(Tabla22[[#This Row],[Product2]],$R$18:$R$23,$T$18:$T$23)*Tabla22[[#This Row],[Base price2]]*Tabla22[[#This Row],[Req.2]]*Tabla22[[#This Row],[QualityBonus]],0)</f>
        <v>0</v>
      </c>
      <c r="M308" s="73">
        <f>IFERROR((Tabla22[[#This Row],[Base price1]]-LOOKUP(Tabla22[[#This Row],[Product]],$R$18:$R$23,$S$18:$S$23))*Tabla22[[#This Row],[Req.]],0)</f>
        <v>38115</v>
      </c>
      <c r="N308" s="73">
        <f>IF(Tabla22[[#This Row],[Req.2]]&gt;0,(Tabla22[[#This Row],[Base price2]]-LOOKUP(Tabla22[[#This Row],[Product2]],$R$18:$R$23,$S$18:$S$23))*Tabla22[[#This Row],[Req.2]],0)</f>
        <v>0</v>
      </c>
      <c r="O308" s="73">
        <f>SUM(Tabla22[[#This Row],[Bonus1]:[p2]])</f>
        <v>53931.74</v>
      </c>
      <c r="P308" s="73">
        <f>IF(Tabla22[[#This Row],[QualityBonus]]&gt;0,Tabla22[[#This Row],[No wages]]-$C$4,"")</f>
        <v>6069.4557615577723</v>
      </c>
    </row>
    <row r="309" spans="1:16" x14ac:dyDescent="0.25">
      <c r="A309" s="13">
        <v>293</v>
      </c>
      <c r="B309" s="13" t="s">
        <v>13</v>
      </c>
      <c r="C309" s="66">
        <v>1.67E-2</v>
      </c>
      <c r="D309" s="2" t="s">
        <v>53</v>
      </c>
      <c r="E309" s="73">
        <v>40991</v>
      </c>
      <c r="F309" s="5">
        <v>4</v>
      </c>
      <c r="G309" s="2" t="s">
        <v>54</v>
      </c>
      <c r="H309" s="73">
        <v>59554</v>
      </c>
      <c r="I309" s="5">
        <v>4</v>
      </c>
      <c r="J309" s="74">
        <f>Tabla22[[#This Row],[Base price1]]*Tabla22[[#This Row],[Req.]]+Tabla22[[#This Row],[Base price2]]*Tabla22[[#This Row],[Req.2]]</f>
        <v>402180</v>
      </c>
      <c r="K309" s="73">
        <f>IFERROR(LOOKUP(Tabla22[[#This Row],[Product]],$R$18:$R$23,$T$18:$T$23)*Tabla22[[#This Row],[QualityBonus]]*Tabla22[[#This Row],[Base price1]]*Tabla22[[#This Row],[Req.]],0)</f>
        <v>10952.7952</v>
      </c>
      <c r="L309" s="73">
        <f>IF(Tabla22[[#This Row],[Req.2]]&gt;0,LOOKUP(Tabla22[[#This Row],[Product2]],$R$18:$R$23,$T$18:$T$23)*Tabla22[[#This Row],[Base price2]]*Tabla22[[#This Row],[Req.2]]*Tabla22[[#This Row],[QualityBonus]],0)</f>
        <v>19891.036</v>
      </c>
      <c r="M309" s="73">
        <f>IFERROR((Tabla22[[#This Row],[Base price1]]-LOOKUP(Tabla22[[#This Row],[Product]],$R$18:$R$23,$S$18:$S$23))*Tabla22[[#This Row],[Req.]],0)</f>
        <v>27964</v>
      </c>
      <c r="N309" s="73">
        <f>IF(Tabla22[[#This Row],[Req.2]]&gt;0,(Tabla22[[#This Row],[Base price2]]-LOOKUP(Tabla22[[#This Row],[Product2]],$R$18:$R$23,$S$18:$S$23))*Tabla22[[#This Row],[Req.2]],0)</f>
        <v>12216</v>
      </c>
      <c r="O309" s="73">
        <f>SUM(Tabla22[[#This Row],[Bonus1]:[p2]])</f>
        <v>71023.831200000001</v>
      </c>
      <c r="P309" s="73">
        <f>IF(Tabla22[[#This Row],[QualityBonus]]&gt;0,Tabla22[[#This Row],[No wages]]-$C$4,"")</f>
        <v>23161.546961557775</v>
      </c>
    </row>
    <row r="310" spans="1:16" x14ac:dyDescent="0.25">
      <c r="A310" s="13">
        <v>294</v>
      </c>
      <c r="B310" s="13" t="s">
        <v>13</v>
      </c>
      <c r="C310" s="66">
        <v>1.9400000000000001E-2</v>
      </c>
      <c r="D310" s="2" t="s">
        <v>54</v>
      </c>
      <c r="E310" s="73">
        <v>62228</v>
      </c>
      <c r="F310" s="5">
        <v>2</v>
      </c>
      <c r="G310" s="2"/>
      <c r="H310" s="73"/>
      <c r="I310" s="5"/>
      <c r="J310" s="74">
        <f>Tabla22[[#This Row],[Base price1]]*Tabla22[[#This Row],[Req.]]+Tabla22[[#This Row],[Base price2]]*Tabla22[[#This Row],[Req.2]]</f>
        <v>124456</v>
      </c>
      <c r="K310" s="73">
        <f>IFERROR(LOOKUP(Tabla22[[#This Row],[Product]],$R$18:$R$23,$T$18:$T$23)*Tabla22[[#This Row],[QualityBonus]]*Tabla22[[#This Row],[Base price1]]*Tabla22[[#This Row],[Req.]],0)</f>
        <v>12072.232</v>
      </c>
      <c r="L310" s="73">
        <f>IF(Tabla22[[#This Row],[Req.2]]&gt;0,LOOKUP(Tabla22[[#This Row],[Product2]],$R$18:$R$23,$T$18:$T$23)*Tabla22[[#This Row],[Base price2]]*Tabla22[[#This Row],[Req.2]]*Tabla22[[#This Row],[QualityBonus]],0)</f>
        <v>0</v>
      </c>
      <c r="M310" s="73">
        <f>IFERROR((Tabla22[[#This Row],[Base price1]]-LOOKUP(Tabla22[[#This Row],[Product]],$R$18:$R$23,$S$18:$S$23))*Tabla22[[#This Row],[Req.]],0)</f>
        <v>11456</v>
      </c>
      <c r="N310" s="73">
        <f>IF(Tabla22[[#This Row],[Req.2]]&gt;0,(Tabla22[[#This Row],[Base price2]]-LOOKUP(Tabla22[[#This Row],[Product2]],$R$18:$R$23,$S$18:$S$23))*Tabla22[[#This Row],[Req.2]],0)</f>
        <v>0</v>
      </c>
      <c r="O310" s="73">
        <f>SUM(Tabla22[[#This Row],[Bonus1]:[p2]])</f>
        <v>23528.232</v>
      </c>
      <c r="P310" s="73">
        <f>IF(Tabla22[[#This Row],[QualityBonus]]&gt;0,Tabla22[[#This Row],[No wages]]-$C$4,"")</f>
        <v>-24334.052238442226</v>
      </c>
    </row>
    <row r="311" spans="1:16" x14ac:dyDescent="0.25">
      <c r="A311" s="13">
        <v>295</v>
      </c>
      <c r="B311" s="13" t="s">
        <v>13</v>
      </c>
      <c r="C311" s="66">
        <v>1.2699999999999999E-2</v>
      </c>
      <c r="D311" s="2" t="s">
        <v>54</v>
      </c>
      <c r="E311" s="73">
        <v>62472</v>
      </c>
      <c r="F311" s="5">
        <v>1</v>
      </c>
      <c r="G311" s="2"/>
      <c r="H311" s="73"/>
      <c r="I311" s="5"/>
      <c r="J311" s="74">
        <f>Tabla22[[#This Row],[Base price1]]*Tabla22[[#This Row],[Req.]]+Tabla22[[#This Row],[Base price2]]*Tabla22[[#This Row],[Req.2]]</f>
        <v>62472</v>
      </c>
      <c r="K311" s="73">
        <f>IFERROR(LOOKUP(Tabla22[[#This Row],[Product]],$R$18:$R$23,$T$18:$T$23)*Tabla22[[#This Row],[QualityBonus]]*Tabla22[[#This Row],[Base price1]]*Tabla22[[#This Row],[Req.]],0)</f>
        <v>3966.9720000000002</v>
      </c>
      <c r="L311" s="73">
        <f>IF(Tabla22[[#This Row],[Req.2]]&gt;0,LOOKUP(Tabla22[[#This Row],[Product2]],$R$18:$R$23,$T$18:$T$23)*Tabla22[[#This Row],[Base price2]]*Tabla22[[#This Row],[Req.2]]*Tabla22[[#This Row],[QualityBonus]],0)</f>
        <v>0</v>
      </c>
      <c r="M311" s="73">
        <f>IFERROR((Tabla22[[#This Row],[Base price1]]-LOOKUP(Tabla22[[#This Row],[Product]],$R$18:$R$23,$S$18:$S$23))*Tabla22[[#This Row],[Req.]],0)</f>
        <v>5972</v>
      </c>
      <c r="N311" s="73">
        <f>IF(Tabla22[[#This Row],[Req.2]]&gt;0,(Tabla22[[#This Row],[Base price2]]-LOOKUP(Tabla22[[#This Row],[Product2]],$R$18:$R$23,$S$18:$S$23))*Tabla22[[#This Row],[Req.2]],0)</f>
        <v>0</v>
      </c>
      <c r="O311" s="73">
        <f>SUM(Tabla22[[#This Row],[Bonus1]:[p2]])</f>
        <v>9938.9719999999998</v>
      </c>
      <c r="P311" s="73">
        <f>IF(Tabla22[[#This Row],[QualityBonus]]&gt;0,Tabla22[[#This Row],[No wages]]-$C$4,"")</f>
        <v>-37923.312238442224</v>
      </c>
    </row>
    <row r="312" spans="1:16" x14ac:dyDescent="0.25">
      <c r="A312" s="13">
        <v>296</v>
      </c>
      <c r="B312" s="13" t="s">
        <v>13</v>
      </c>
      <c r="C312" s="66">
        <v>1.24E-2</v>
      </c>
      <c r="D312" s="2" t="s">
        <v>52</v>
      </c>
      <c r="E312" s="73">
        <v>122276</v>
      </c>
      <c r="F312" s="5">
        <v>2</v>
      </c>
      <c r="G312" s="2" t="s">
        <v>53</v>
      </c>
      <c r="H312" s="73">
        <v>42434</v>
      </c>
      <c r="I312" s="5">
        <v>4</v>
      </c>
      <c r="J312" s="74">
        <f>Tabla22[[#This Row],[Base price1]]*Tabla22[[#This Row],[Req.]]+Tabla22[[#This Row],[Base price2]]*Tabla22[[#This Row],[Req.2]]</f>
        <v>414288</v>
      </c>
      <c r="K312" s="73">
        <f>IFERROR(LOOKUP(Tabla22[[#This Row],[Product]],$R$18:$R$23,$T$18:$T$23)*Tabla22[[#This Row],[QualityBonus]]*Tabla22[[#This Row],[Base price1]]*Tabla22[[#This Row],[Req.]],0)</f>
        <v>18194.668799999999</v>
      </c>
      <c r="L312" s="73">
        <f>IF(Tabla22[[#This Row],[Req.2]]&gt;0,LOOKUP(Tabla22[[#This Row],[Product2]],$R$18:$R$23,$T$18:$T$23)*Tabla22[[#This Row],[Base price2]]*Tabla22[[#This Row],[Req.2]]*Tabla22[[#This Row],[QualityBonus]],0)</f>
        <v>8418.9056</v>
      </c>
      <c r="M312" s="73">
        <f>IFERROR((Tabla22[[#This Row],[Base price1]]-LOOKUP(Tabla22[[#This Row],[Product]],$R$18:$R$23,$S$18:$S$23))*Tabla22[[#This Row],[Req.]],0)</f>
        <v>12552</v>
      </c>
      <c r="N312" s="73">
        <f>IF(Tabla22[[#This Row],[Req.2]]&gt;0,(Tabla22[[#This Row],[Base price2]]-LOOKUP(Tabla22[[#This Row],[Product2]],$R$18:$R$23,$S$18:$S$23))*Tabla22[[#This Row],[Req.2]],0)</f>
        <v>33736</v>
      </c>
      <c r="O312" s="73">
        <f>SUM(Tabla22[[#This Row],[Bonus1]:[p2]])</f>
        <v>72901.574399999998</v>
      </c>
      <c r="P312" s="73">
        <f>IF(Tabla22[[#This Row],[QualityBonus]]&gt;0,Tabla22[[#This Row],[No wages]]-$C$4,"")</f>
        <v>25039.290161557772</v>
      </c>
    </row>
    <row r="313" spans="1:16" x14ac:dyDescent="0.25">
      <c r="A313" s="13">
        <v>297</v>
      </c>
      <c r="B313" s="13" t="s">
        <v>13</v>
      </c>
      <c r="C313" s="66">
        <v>1.14E-2</v>
      </c>
      <c r="D313" s="2" t="s">
        <v>52</v>
      </c>
      <c r="E313" s="73">
        <v>119339</v>
      </c>
      <c r="F313" s="5">
        <v>2</v>
      </c>
      <c r="G313" s="2" t="s">
        <v>54</v>
      </c>
      <c r="H313" s="73">
        <v>62342</v>
      </c>
      <c r="I313" s="5">
        <v>4</v>
      </c>
      <c r="J313" s="74">
        <f>Tabla22[[#This Row],[Base price1]]*Tabla22[[#This Row],[Req.]]+Tabla22[[#This Row],[Base price2]]*Tabla22[[#This Row],[Req.2]]</f>
        <v>488046</v>
      </c>
      <c r="K313" s="73">
        <f>IFERROR(LOOKUP(Tabla22[[#This Row],[Product]],$R$18:$R$23,$T$18:$T$23)*Tabla22[[#This Row],[QualityBonus]]*Tabla22[[#This Row],[Base price1]]*Tabla22[[#This Row],[Req.]],0)</f>
        <v>16325.575200000001</v>
      </c>
      <c r="L313" s="73">
        <f>IF(Tabla22[[#This Row],[Req.2]]&gt;0,LOOKUP(Tabla22[[#This Row],[Product2]],$R$18:$R$23,$T$18:$T$23)*Tabla22[[#This Row],[Base price2]]*Tabla22[[#This Row],[Req.2]]*Tabla22[[#This Row],[QualityBonus]],0)</f>
        <v>14213.976000000001</v>
      </c>
      <c r="M313" s="73">
        <f>IFERROR((Tabla22[[#This Row],[Base price1]]-LOOKUP(Tabla22[[#This Row],[Product]],$R$18:$R$23,$S$18:$S$23))*Tabla22[[#This Row],[Req.]],0)</f>
        <v>6678</v>
      </c>
      <c r="N313" s="73">
        <f>IF(Tabla22[[#This Row],[Req.2]]&gt;0,(Tabla22[[#This Row],[Base price2]]-LOOKUP(Tabla22[[#This Row],[Product2]],$R$18:$R$23,$S$18:$S$23))*Tabla22[[#This Row],[Req.2]],0)</f>
        <v>23368</v>
      </c>
      <c r="O313" s="73">
        <f>SUM(Tabla22[[#This Row],[Bonus1]:[p2]])</f>
        <v>60585.551200000002</v>
      </c>
      <c r="P313" s="73">
        <f>IF(Tabla22[[#This Row],[QualityBonus]]&gt;0,Tabla22[[#This Row],[No wages]]-$C$4,"")</f>
        <v>12723.266961557776</v>
      </c>
    </row>
    <row r="314" spans="1:16" x14ac:dyDescent="0.25">
      <c r="A314" s="13">
        <v>298</v>
      </c>
      <c r="B314" s="13" t="s">
        <v>13</v>
      </c>
      <c r="C314" s="66">
        <v>2.9100000000000001E-2</v>
      </c>
      <c r="D314" s="2" t="s">
        <v>55</v>
      </c>
      <c r="E314" s="73">
        <v>84713</v>
      </c>
      <c r="F314" s="5">
        <v>4</v>
      </c>
      <c r="G314" s="2" t="s">
        <v>54</v>
      </c>
      <c r="H314" s="73">
        <v>61388</v>
      </c>
      <c r="I314" s="5">
        <v>1</v>
      </c>
      <c r="J314" s="74">
        <f>Tabla22[[#This Row],[Base price1]]*Tabla22[[#This Row],[Req.]]+Tabla22[[#This Row],[Base price2]]*Tabla22[[#This Row],[Req.2]]</f>
        <v>400240</v>
      </c>
      <c r="K314" s="73">
        <f>IFERROR(LOOKUP(Tabla22[[#This Row],[Product]],$R$18:$R$23,$T$18:$T$23)*Tabla22[[#This Row],[QualityBonus]]*Tabla22[[#This Row],[Base price1]]*Tabla22[[#This Row],[Req.]],0)</f>
        <v>39442.372800000005</v>
      </c>
      <c r="L314" s="73">
        <f>IF(Tabla22[[#This Row],[Req.2]]&gt;0,LOOKUP(Tabla22[[#This Row],[Product2]],$R$18:$R$23,$T$18:$T$23)*Tabla22[[#This Row],[Base price2]]*Tabla22[[#This Row],[Req.2]]*Tabla22[[#This Row],[QualityBonus]],0)</f>
        <v>8931.9539999999997</v>
      </c>
      <c r="M314" s="73">
        <f>IFERROR((Tabla22[[#This Row],[Base price1]]-LOOKUP(Tabla22[[#This Row],[Product]],$R$18:$R$23,$S$18:$S$23))*Tabla22[[#This Row],[Req.]],0)</f>
        <v>30852</v>
      </c>
      <c r="N314" s="73">
        <f>IF(Tabla22[[#This Row],[Req.2]]&gt;0,(Tabla22[[#This Row],[Base price2]]-LOOKUP(Tabla22[[#This Row],[Product2]],$R$18:$R$23,$S$18:$S$23))*Tabla22[[#This Row],[Req.2]],0)</f>
        <v>4888</v>
      </c>
      <c r="O314" s="73">
        <f>SUM(Tabla22[[#This Row],[Bonus1]:[p2]])</f>
        <v>84114.32680000001</v>
      </c>
      <c r="P314" s="73">
        <f>IF(Tabla22[[#This Row],[QualityBonus]]&gt;0,Tabla22[[#This Row],[No wages]]-$C$4,"")</f>
        <v>36252.042561557784</v>
      </c>
    </row>
    <row r="315" spans="1:16" x14ac:dyDescent="0.25">
      <c r="A315" s="13">
        <v>299</v>
      </c>
      <c r="B315" s="13" t="s">
        <v>13</v>
      </c>
      <c r="C315" s="66">
        <v>2.75E-2</v>
      </c>
      <c r="D315" s="2" t="s">
        <v>53</v>
      </c>
      <c r="E315" s="73">
        <v>41682</v>
      </c>
      <c r="F315" s="5">
        <v>5</v>
      </c>
      <c r="G315" s="2" t="s">
        <v>54</v>
      </c>
      <c r="H315" s="73">
        <v>63000</v>
      </c>
      <c r="I315" s="5">
        <v>3</v>
      </c>
      <c r="J315" s="74">
        <f>Tabla22[[#This Row],[Base price1]]*Tabla22[[#This Row],[Req.]]+Tabla22[[#This Row],[Base price2]]*Tabla22[[#This Row],[Req.2]]</f>
        <v>397410</v>
      </c>
      <c r="K315" s="73">
        <f>IFERROR(LOOKUP(Tabla22[[#This Row],[Product]],$R$18:$R$23,$T$18:$T$23)*Tabla22[[#This Row],[QualityBonus]]*Tabla22[[#This Row],[Base price1]]*Tabla22[[#This Row],[Req.]],0)</f>
        <v>22925.100000000002</v>
      </c>
      <c r="L315" s="73">
        <f>IF(Tabla22[[#This Row],[Req.2]]&gt;0,LOOKUP(Tabla22[[#This Row],[Product2]],$R$18:$R$23,$T$18:$T$23)*Tabla22[[#This Row],[Base price2]]*Tabla22[[#This Row],[Req.2]]*Tabla22[[#This Row],[QualityBonus]],0)</f>
        <v>25987.5</v>
      </c>
      <c r="M315" s="73">
        <f>IFERROR((Tabla22[[#This Row],[Base price1]]-LOOKUP(Tabla22[[#This Row],[Product]],$R$18:$R$23,$S$18:$S$23))*Tabla22[[#This Row],[Req.]],0)</f>
        <v>38410</v>
      </c>
      <c r="N315" s="73">
        <f>IF(Tabla22[[#This Row],[Req.2]]&gt;0,(Tabla22[[#This Row],[Base price2]]-LOOKUP(Tabla22[[#This Row],[Product2]],$R$18:$R$23,$S$18:$S$23))*Tabla22[[#This Row],[Req.2]],0)</f>
        <v>19500</v>
      </c>
      <c r="O315" s="73">
        <f>SUM(Tabla22[[#This Row],[Bonus1]:[p2]])</f>
        <v>106822.6</v>
      </c>
      <c r="P315" s="73">
        <f>IF(Tabla22[[#This Row],[QualityBonus]]&gt;0,Tabla22[[#This Row],[No wages]]-$C$4,"")</f>
        <v>58960.31576155778</v>
      </c>
    </row>
    <row r="316" spans="1:16" x14ac:dyDescent="0.25">
      <c r="A316" s="13">
        <v>300</v>
      </c>
      <c r="B316" s="13" t="s">
        <v>13</v>
      </c>
      <c r="C316" s="66">
        <v>1.15E-2</v>
      </c>
      <c r="D316" s="2" t="s">
        <v>54</v>
      </c>
      <c r="E316" s="73">
        <v>62285</v>
      </c>
      <c r="F316" s="5">
        <v>3</v>
      </c>
      <c r="G316" s="2" t="s">
        <v>53</v>
      </c>
      <c r="H316" s="73">
        <v>61205</v>
      </c>
      <c r="I316" s="5">
        <v>5</v>
      </c>
      <c r="J316" s="74">
        <f>Tabla22[[#This Row],[Base price1]]*Tabla22[[#This Row],[Req.]]+Tabla22[[#This Row],[Base price2]]*Tabla22[[#This Row],[Req.2]]</f>
        <v>492880</v>
      </c>
      <c r="K316" s="73">
        <f>IFERROR(LOOKUP(Tabla22[[#This Row],[Product]],$R$18:$R$23,$T$18:$T$23)*Tabla22[[#This Row],[QualityBonus]]*Tabla22[[#This Row],[Base price1]]*Tabla22[[#This Row],[Req.]],0)</f>
        <v>10744.162499999999</v>
      </c>
      <c r="L316" s="73">
        <f>IF(Tabla22[[#This Row],[Req.2]]&gt;0,LOOKUP(Tabla22[[#This Row],[Product2]],$R$18:$R$23,$T$18:$T$23)*Tabla22[[#This Row],[Base price2]]*Tabla22[[#This Row],[Req.2]]*Tabla22[[#This Row],[QualityBonus]],0)</f>
        <v>14077.15</v>
      </c>
      <c r="M316" s="73">
        <f>IFERROR((Tabla22[[#This Row],[Base price1]]-LOOKUP(Tabla22[[#This Row],[Product]],$R$18:$R$23,$S$18:$S$23))*Tabla22[[#This Row],[Req.]],0)</f>
        <v>17355</v>
      </c>
      <c r="N316" s="73">
        <f>IF(Tabla22[[#This Row],[Req.2]]&gt;0,(Tabla22[[#This Row],[Base price2]]-LOOKUP(Tabla22[[#This Row],[Product2]],$R$18:$R$23,$S$18:$S$23))*Tabla22[[#This Row],[Req.2]],0)</f>
        <v>136025</v>
      </c>
      <c r="O316" s="73">
        <f>SUM(Tabla22[[#This Row],[Bonus1]:[p2]])</f>
        <v>178201.3125</v>
      </c>
      <c r="P316" s="73">
        <f>IF(Tabla22[[#This Row],[QualityBonus]]&gt;0,Tabla22[[#This Row],[No wages]]-$C$4,"")</f>
        <v>130339.02826155777</v>
      </c>
    </row>
    <row r="317" spans="1:16" x14ac:dyDescent="0.25">
      <c r="A317" s="24">
        <v>301</v>
      </c>
      <c r="B317" s="24" t="s">
        <v>13</v>
      </c>
      <c r="C317" s="44">
        <v>1.9300000000000001E-2</v>
      </c>
      <c r="D317" s="37" t="s">
        <v>54</v>
      </c>
      <c r="E317" s="72">
        <v>60937</v>
      </c>
      <c r="F317" s="39">
        <v>4</v>
      </c>
      <c r="G317" s="37" t="s">
        <v>52</v>
      </c>
      <c r="H317" s="72">
        <v>116704</v>
      </c>
      <c r="I317" s="39">
        <v>4</v>
      </c>
      <c r="J317" s="75">
        <f>Tabla22[[#This Row],[Base price1]]*Tabla22[[#This Row],[Req.]]+Tabla22[[#This Row],[Base price2]]*Tabla22[[#This Row],[Req.2]]</f>
        <v>710564</v>
      </c>
      <c r="K317" s="72">
        <f>IFERROR(LOOKUP(Tabla22[[#This Row],[Product]],$R$18:$R$23,$T$18:$T$23)*Tabla22[[#This Row],[QualityBonus]]*Tabla22[[#This Row],[Base price1]]*Tabla22[[#This Row],[Req.]],0)</f>
        <v>23521.682000000001</v>
      </c>
      <c r="L317" s="72">
        <f>IF(Tabla22[[#This Row],[Req.2]]&gt;0,LOOKUP(Tabla22[[#This Row],[Product2]],$R$18:$R$23,$T$18:$T$23)*Tabla22[[#This Row],[Base price2]]*Tabla22[[#This Row],[Req.2]]*Tabla22[[#This Row],[QualityBonus]],0)</f>
        <v>54057.292800000003</v>
      </c>
      <c r="M317" s="72">
        <f>IFERROR((Tabla22[[#This Row],[Base price1]]-LOOKUP(Tabla22[[#This Row],[Product]],$R$18:$R$23,$S$18:$S$23))*Tabla22[[#This Row],[Req.]],0)</f>
        <v>17748</v>
      </c>
      <c r="N317" s="72">
        <f>IF(Tabla22[[#This Row],[Req.2]]&gt;0,(Tabla22[[#This Row],[Base price2]]-LOOKUP(Tabla22[[#This Row],[Product2]],$R$18:$R$23,$S$18:$S$23))*Tabla22[[#This Row],[Req.2]],0)</f>
        <v>2816</v>
      </c>
      <c r="O317" s="72">
        <f>SUM(Tabla22[[#This Row],[Bonus1]:[p2]])</f>
        <v>98142.974799999996</v>
      </c>
      <c r="P317" s="72">
        <f>IF(Tabla22[[#This Row],[QualityBonus]]&gt;0,Tabla22[[#This Row],[No wages]]-$C$4,"")</f>
        <v>50280.690561557771</v>
      </c>
    </row>
    <row r="318" spans="1:16" x14ac:dyDescent="0.25">
      <c r="A318" s="13">
        <v>302</v>
      </c>
      <c r="B318" s="13" t="s">
        <v>13</v>
      </c>
      <c r="C318" s="66">
        <v>1.15E-2</v>
      </c>
      <c r="D318" s="2" t="s">
        <v>52</v>
      </c>
      <c r="E318" s="73">
        <v>120805</v>
      </c>
      <c r="F318" s="5">
        <v>2</v>
      </c>
      <c r="G318" s="2" t="s">
        <v>54</v>
      </c>
      <c r="H318" s="73">
        <v>61556</v>
      </c>
      <c r="I318" s="5">
        <v>2</v>
      </c>
      <c r="J318" s="74">
        <f>Tabla22[[#This Row],[Base price1]]*Tabla22[[#This Row],[Req.]]+Tabla22[[#This Row],[Base price2]]*Tabla22[[#This Row],[Req.2]]</f>
        <v>364722</v>
      </c>
      <c r="K318" s="73">
        <f>IFERROR(LOOKUP(Tabla22[[#This Row],[Product]],$R$18:$R$23,$T$18:$T$23)*Tabla22[[#This Row],[QualityBonus]]*Tabla22[[#This Row],[Base price1]]*Tabla22[[#This Row],[Req.]],0)</f>
        <v>16671.09</v>
      </c>
      <c r="L318" s="73">
        <f>IF(Tabla22[[#This Row],[Req.2]]&gt;0,LOOKUP(Tabla22[[#This Row],[Product2]],$R$18:$R$23,$T$18:$T$23)*Tabla22[[#This Row],[Base price2]]*Tabla22[[#This Row],[Req.2]]*Tabla22[[#This Row],[QualityBonus]],0)</f>
        <v>7078.94</v>
      </c>
      <c r="M318" s="73">
        <f>IFERROR((Tabla22[[#This Row],[Base price1]]-LOOKUP(Tabla22[[#This Row],[Product]],$R$18:$R$23,$S$18:$S$23))*Tabla22[[#This Row],[Req.]],0)</f>
        <v>9610</v>
      </c>
      <c r="N318" s="73">
        <f>IF(Tabla22[[#This Row],[Req.2]]&gt;0,(Tabla22[[#This Row],[Base price2]]-LOOKUP(Tabla22[[#This Row],[Product2]],$R$18:$R$23,$S$18:$S$23))*Tabla22[[#This Row],[Req.2]],0)</f>
        <v>10112</v>
      </c>
      <c r="O318" s="73">
        <f>SUM(Tabla22[[#This Row],[Bonus1]:[p2]])</f>
        <v>43472.03</v>
      </c>
      <c r="P318" s="73">
        <f>IF(Tabla22[[#This Row],[QualityBonus]]&gt;0,Tabla22[[#This Row],[No wages]]-$C$4,"")</f>
        <v>-4390.2542384422268</v>
      </c>
    </row>
    <row r="319" spans="1:16" x14ac:dyDescent="0.25">
      <c r="A319" s="13">
        <v>303</v>
      </c>
      <c r="B319" s="13" t="s">
        <v>13</v>
      </c>
      <c r="C319" s="66">
        <v>2.3800000000000002E-2</v>
      </c>
      <c r="D319" s="2" t="s">
        <v>54</v>
      </c>
      <c r="E319" s="73">
        <v>61730</v>
      </c>
      <c r="F319" s="5">
        <v>1</v>
      </c>
      <c r="G319" s="2" t="s">
        <v>56</v>
      </c>
      <c r="H319" s="73">
        <v>221529</v>
      </c>
      <c r="I319" s="5">
        <v>2</v>
      </c>
      <c r="J319" s="74">
        <f>Tabla22[[#This Row],[Base price1]]*Tabla22[[#This Row],[Req.]]+Tabla22[[#This Row],[Base price2]]*Tabla22[[#This Row],[Req.2]]</f>
        <v>504788</v>
      </c>
      <c r="K319" s="73">
        <f>IFERROR(LOOKUP(Tabla22[[#This Row],[Product]],$R$18:$R$23,$T$18:$T$23)*Tabla22[[#This Row],[QualityBonus]]*Tabla22[[#This Row],[Base price1]]*Tabla22[[#This Row],[Req.]],0)</f>
        <v>7345.8700000000008</v>
      </c>
      <c r="L319" s="73">
        <f>IF(Tabla22[[#This Row],[Req.2]]&gt;0,LOOKUP(Tabla22[[#This Row],[Product2]],$R$18:$R$23,$T$18:$T$23)*Tabla22[[#This Row],[Base price2]]*Tabla22[[#This Row],[Req.2]]*Tabla22[[#This Row],[QualityBonus]],0)</f>
        <v>31634.341200000003</v>
      </c>
      <c r="M319" s="73">
        <f>IFERROR((Tabla22[[#This Row],[Base price1]]-LOOKUP(Tabla22[[#This Row],[Product]],$R$18:$R$23,$S$18:$S$23))*Tabla22[[#This Row],[Req.]],0)</f>
        <v>5230</v>
      </c>
      <c r="N319" s="73">
        <f>IF(Tabla22[[#This Row],[Req.2]]&gt;0,(Tabla22[[#This Row],[Base price2]]-LOOKUP(Tabla22[[#This Row],[Product2]],$R$18:$R$23,$S$18:$S$23))*Tabla22[[#This Row],[Req.2]],0)</f>
        <v>1058</v>
      </c>
      <c r="O319" s="73">
        <f>SUM(Tabla22[[#This Row],[Bonus1]:[p2]])</f>
        <v>45268.211200000005</v>
      </c>
      <c r="P319" s="73">
        <f>IF(Tabla22[[#This Row],[QualityBonus]]&gt;0,Tabla22[[#This Row],[No wages]]-$C$4,"")</f>
        <v>-2594.0730384422204</v>
      </c>
    </row>
    <row r="320" spans="1:16" x14ac:dyDescent="0.25">
      <c r="A320" s="13">
        <v>304</v>
      </c>
      <c r="B320" s="13" t="s">
        <v>13</v>
      </c>
      <c r="C320" s="66">
        <v>1.2200000000000001E-2</v>
      </c>
      <c r="D320" s="2" t="s">
        <v>54</v>
      </c>
      <c r="E320" s="73">
        <v>61882</v>
      </c>
      <c r="F320" s="5">
        <v>2</v>
      </c>
      <c r="G320" s="2" t="s">
        <v>56</v>
      </c>
      <c r="H320" s="73">
        <v>227338</v>
      </c>
      <c r="I320" s="5">
        <v>3</v>
      </c>
      <c r="J320" s="74">
        <f>Tabla22[[#This Row],[Base price1]]*Tabla22[[#This Row],[Req.]]+Tabla22[[#This Row],[Base price2]]*Tabla22[[#This Row],[Req.2]]</f>
        <v>805778</v>
      </c>
      <c r="K320" s="73">
        <f>IFERROR(LOOKUP(Tabla22[[#This Row],[Product]],$R$18:$R$23,$T$18:$T$23)*Tabla22[[#This Row],[QualityBonus]]*Tabla22[[#This Row],[Base price1]]*Tabla22[[#This Row],[Req.]],0)</f>
        <v>7549.6040000000003</v>
      </c>
      <c r="L320" s="73">
        <f>IF(Tabla22[[#This Row],[Req.2]]&gt;0,LOOKUP(Tabla22[[#This Row],[Product2]],$R$18:$R$23,$T$18:$T$23)*Tabla22[[#This Row],[Base price2]]*Tabla22[[#This Row],[Req.2]]*Tabla22[[#This Row],[QualityBonus]],0)</f>
        <v>24961.7124</v>
      </c>
      <c r="M320" s="73">
        <f>IFERROR((Tabla22[[#This Row],[Base price1]]-LOOKUP(Tabla22[[#This Row],[Product]],$R$18:$R$23,$S$18:$S$23))*Tabla22[[#This Row],[Req.]],0)</f>
        <v>10764</v>
      </c>
      <c r="N320" s="73">
        <f>IF(Tabla22[[#This Row],[Req.2]]&gt;0,(Tabla22[[#This Row],[Base price2]]-LOOKUP(Tabla22[[#This Row],[Product2]],$R$18:$R$23,$S$18:$S$23))*Tabla22[[#This Row],[Req.2]],0)</f>
        <v>19014</v>
      </c>
      <c r="O320" s="73">
        <f>SUM(Tabla22[[#This Row],[Bonus1]:[p2]])</f>
        <v>62289.316399999996</v>
      </c>
      <c r="P320" s="73">
        <f>IF(Tabla22[[#This Row],[QualityBonus]]&gt;0,Tabla22[[#This Row],[No wages]]-$C$4,"")</f>
        <v>14427.03216155777</v>
      </c>
    </row>
    <row r="321" spans="1:16" x14ac:dyDescent="0.25">
      <c r="A321" s="13">
        <v>305</v>
      </c>
      <c r="B321" s="13" t="s">
        <v>13</v>
      </c>
      <c r="C321" s="66">
        <v>1.9699999999999999E-2</v>
      </c>
      <c r="D321" s="2" t="s">
        <v>53</v>
      </c>
      <c r="E321" s="73">
        <v>40662</v>
      </c>
      <c r="F321" s="5">
        <v>5</v>
      </c>
      <c r="G321" s="2" t="s">
        <v>57</v>
      </c>
      <c r="H321" s="73">
        <v>82449</v>
      </c>
      <c r="I321" s="5">
        <v>1</v>
      </c>
      <c r="J321" s="74">
        <f>Tabla22[[#This Row],[Base price1]]*Tabla22[[#This Row],[Req.]]+Tabla22[[#This Row],[Base price2]]*Tabla22[[#This Row],[Req.2]]</f>
        <v>285759</v>
      </c>
      <c r="K321" s="73">
        <f>IFERROR(LOOKUP(Tabla22[[#This Row],[Product]],$R$18:$R$23,$T$18:$T$23)*Tabla22[[#This Row],[QualityBonus]]*Tabla22[[#This Row],[Base price1]]*Tabla22[[#This Row],[Req.]],0)</f>
        <v>16020.828</v>
      </c>
      <c r="L321" s="73">
        <f>IF(Tabla22[[#This Row],[Req.2]]&gt;0,LOOKUP(Tabla22[[#This Row],[Product2]],$R$18:$R$23,$T$18:$T$23)*Tabla22[[#This Row],[Base price2]]*Tabla22[[#This Row],[Req.2]]*Tabla22[[#This Row],[QualityBonus]],0)</f>
        <v>6496.9811999999993</v>
      </c>
      <c r="M321" s="73">
        <f>IFERROR((Tabla22[[#This Row],[Base price1]]-LOOKUP(Tabla22[[#This Row],[Product]],$R$18:$R$23,$S$18:$S$23))*Tabla22[[#This Row],[Req.]],0)</f>
        <v>33310</v>
      </c>
      <c r="N321" s="73">
        <f>IF(Tabla22[[#This Row],[Req.2]]&gt;0,(Tabla22[[#This Row],[Base price2]]-LOOKUP(Tabla22[[#This Row],[Product2]],$R$18:$R$23,$S$18:$S$23))*Tabla22[[#This Row],[Req.2]],0)</f>
        <v>5449</v>
      </c>
      <c r="O321" s="73">
        <f>SUM(Tabla22[[#This Row],[Bonus1]:[p2]])</f>
        <v>61276.809200000003</v>
      </c>
      <c r="P321" s="73">
        <f>IF(Tabla22[[#This Row],[QualityBonus]]&gt;0,Tabla22[[#This Row],[No wages]]-$C$4,"")</f>
        <v>13414.524961557778</v>
      </c>
    </row>
    <row r="322" spans="1:16" x14ac:dyDescent="0.25">
      <c r="A322" s="13">
        <v>306</v>
      </c>
      <c r="B322" s="13" t="s">
        <v>13</v>
      </c>
      <c r="C322" s="66">
        <v>1.9699999999999999E-2</v>
      </c>
      <c r="D322" s="2" t="s">
        <v>55</v>
      </c>
      <c r="E322" s="73">
        <v>85196</v>
      </c>
      <c r="F322" s="5">
        <v>2</v>
      </c>
      <c r="G322" s="2" t="s">
        <v>53</v>
      </c>
      <c r="H322" s="73">
        <v>41941</v>
      </c>
      <c r="I322" s="5">
        <v>5</v>
      </c>
      <c r="J322" s="74">
        <f>Tabla22[[#This Row],[Base price1]]*Tabla22[[#This Row],[Req.]]+Tabla22[[#This Row],[Base price2]]*Tabla22[[#This Row],[Req.2]]</f>
        <v>380097</v>
      </c>
      <c r="K322" s="73">
        <f>IFERROR(LOOKUP(Tabla22[[#This Row],[Product]],$R$18:$R$23,$T$18:$T$23)*Tabla22[[#This Row],[QualityBonus]]*Tabla22[[#This Row],[Base price1]]*Tabla22[[#This Row],[Req.]],0)</f>
        <v>13426.889599999999</v>
      </c>
      <c r="L322" s="73">
        <f>IF(Tabla22[[#This Row],[Req.2]]&gt;0,LOOKUP(Tabla22[[#This Row],[Product2]],$R$18:$R$23,$T$18:$T$23)*Tabla22[[#This Row],[Base price2]]*Tabla22[[#This Row],[Req.2]]*Tabla22[[#This Row],[QualityBonus]],0)</f>
        <v>16524.753999999997</v>
      </c>
      <c r="M322" s="73">
        <f>IFERROR((Tabla22[[#This Row],[Base price1]]-LOOKUP(Tabla22[[#This Row],[Product]],$R$18:$R$23,$S$18:$S$23))*Tabla22[[#This Row],[Req.]],0)</f>
        <v>16392</v>
      </c>
      <c r="N322" s="73">
        <f>IF(Tabla22[[#This Row],[Req.2]]&gt;0,(Tabla22[[#This Row],[Base price2]]-LOOKUP(Tabla22[[#This Row],[Product2]],$R$18:$R$23,$S$18:$S$23))*Tabla22[[#This Row],[Req.2]],0)</f>
        <v>39705</v>
      </c>
      <c r="O322" s="73">
        <f>SUM(Tabla22[[#This Row],[Bonus1]:[p2]])</f>
        <v>86048.643599999996</v>
      </c>
      <c r="P322" s="73">
        <f>IF(Tabla22[[#This Row],[QualityBonus]]&gt;0,Tabla22[[#This Row],[No wages]]-$C$4,"")</f>
        <v>38186.35936155777</v>
      </c>
    </row>
    <row r="323" spans="1:16" x14ac:dyDescent="0.25">
      <c r="A323" s="13">
        <v>307</v>
      </c>
      <c r="B323" s="13" t="s">
        <v>13</v>
      </c>
      <c r="C323" s="66">
        <v>2.6700000000000002E-2</v>
      </c>
      <c r="D323" s="2" t="s">
        <v>54</v>
      </c>
      <c r="E323" s="73">
        <v>60866</v>
      </c>
      <c r="F323" s="5">
        <v>3</v>
      </c>
      <c r="G323" s="2"/>
      <c r="H323" s="73"/>
      <c r="I323" s="5"/>
      <c r="J323" s="74">
        <f>Tabla22[[#This Row],[Base price1]]*Tabla22[[#This Row],[Req.]]+Tabla22[[#This Row],[Base price2]]*Tabla22[[#This Row],[Req.2]]</f>
        <v>182598</v>
      </c>
      <c r="K323" s="73">
        <f>IFERROR(LOOKUP(Tabla22[[#This Row],[Product]],$R$18:$R$23,$T$18:$T$23)*Tabla22[[#This Row],[QualityBonus]]*Tabla22[[#This Row],[Base price1]]*Tabla22[[#This Row],[Req.]],0)</f>
        <v>24376.833000000002</v>
      </c>
      <c r="L323" s="73">
        <f>IF(Tabla22[[#This Row],[Req.2]]&gt;0,LOOKUP(Tabla22[[#This Row],[Product2]],$R$18:$R$23,$T$18:$T$23)*Tabla22[[#This Row],[Base price2]]*Tabla22[[#This Row],[Req.2]]*Tabla22[[#This Row],[QualityBonus]],0)</f>
        <v>0</v>
      </c>
      <c r="M323" s="73">
        <f>IFERROR((Tabla22[[#This Row],[Base price1]]-LOOKUP(Tabla22[[#This Row],[Product]],$R$18:$R$23,$S$18:$S$23))*Tabla22[[#This Row],[Req.]],0)</f>
        <v>13098</v>
      </c>
      <c r="N323" s="73">
        <f>IF(Tabla22[[#This Row],[Req.2]]&gt;0,(Tabla22[[#This Row],[Base price2]]-LOOKUP(Tabla22[[#This Row],[Product2]],$R$18:$R$23,$S$18:$S$23))*Tabla22[[#This Row],[Req.2]],0)</f>
        <v>0</v>
      </c>
      <c r="O323" s="73">
        <f>SUM(Tabla22[[#This Row],[Bonus1]:[p2]])</f>
        <v>37474.832999999999</v>
      </c>
      <c r="P323" s="73">
        <f>IF(Tabla22[[#This Row],[QualityBonus]]&gt;0,Tabla22[[#This Row],[No wages]]-$C$4,"")</f>
        <v>-10387.451238442227</v>
      </c>
    </row>
    <row r="324" spans="1:16" x14ac:dyDescent="0.25">
      <c r="A324" s="13">
        <v>308</v>
      </c>
      <c r="B324" s="13" t="s">
        <v>13</v>
      </c>
      <c r="C324" s="66">
        <v>1.1299999999999999E-2</v>
      </c>
      <c r="D324" s="2" t="s">
        <v>55</v>
      </c>
      <c r="E324" s="73">
        <v>84483</v>
      </c>
      <c r="F324" s="5">
        <v>3</v>
      </c>
      <c r="G324" s="2" t="s">
        <v>53</v>
      </c>
      <c r="H324" s="73">
        <v>40690</v>
      </c>
      <c r="I324" s="5">
        <v>2</v>
      </c>
      <c r="J324" s="74">
        <f>Tabla22[[#This Row],[Base price1]]*Tabla22[[#This Row],[Req.]]+Tabla22[[#This Row],[Base price2]]*Tabla22[[#This Row],[Req.2]]</f>
        <v>334829</v>
      </c>
      <c r="K324" s="73">
        <f>IFERROR(LOOKUP(Tabla22[[#This Row],[Product]],$R$18:$R$23,$T$18:$T$23)*Tabla22[[#This Row],[QualityBonus]]*Tabla22[[#This Row],[Base price1]]*Tabla22[[#This Row],[Req.]],0)</f>
        <v>11455.894799999998</v>
      </c>
      <c r="L324" s="73">
        <f>IF(Tabla22[[#This Row],[Req.2]]&gt;0,LOOKUP(Tabla22[[#This Row],[Product2]],$R$18:$R$23,$T$18:$T$23)*Tabla22[[#This Row],[Base price2]]*Tabla22[[#This Row],[Req.2]]*Tabla22[[#This Row],[QualityBonus]],0)</f>
        <v>3678.3759999999997</v>
      </c>
      <c r="M324" s="73">
        <f>IFERROR((Tabla22[[#This Row],[Base price1]]-LOOKUP(Tabla22[[#This Row],[Product]],$R$18:$R$23,$S$18:$S$23))*Tabla22[[#This Row],[Req.]],0)</f>
        <v>22449</v>
      </c>
      <c r="N324" s="73">
        <f>IF(Tabla22[[#This Row],[Req.2]]&gt;0,(Tabla22[[#This Row],[Base price2]]-LOOKUP(Tabla22[[#This Row],[Product2]],$R$18:$R$23,$S$18:$S$23))*Tabla22[[#This Row],[Req.2]],0)</f>
        <v>13380</v>
      </c>
      <c r="O324" s="73">
        <f>SUM(Tabla22[[#This Row],[Bonus1]:[p2]])</f>
        <v>50963.270799999998</v>
      </c>
      <c r="P324" s="73">
        <f>IF(Tabla22[[#This Row],[QualityBonus]]&gt;0,Tabla22[[#This Row],[No wages]]-$C$4,"")</f>
        <v>3100.9865615577728</v>
      </c>
    </row>
    <row r="325" spans="1:16" x14ac:dyDescent="0.25">
      <c r="A325" s="13">
        <v>309</v>
      </c>
      <c r="B325" s="13" t="s">
        <v>13</v>
      </c>
      <c r="C325" s="66">
        <v>2.2499999999999999E-2</v>
      </c>
      <c r="D325" s="2" t="s">
        <v>53</v>
      </c>
      <c r="E325" s="73">
        <v>40217</v>
      </c>
      <c r="F325" s="5">
        <v>2</v>
      </c>
      <c r="G325" s="2"/>
      <c r="H325" s="73"/>
      <c r="I325" s="5"/>
      <c r="J325" s="74">
        <f>Tabla22[[#This Row],[Base price1]]*Tabla22[[#This Row],[Req.]]+Tabla22[[#This Row],[Base price2]]*Tabla22[[#This Row],[Req.2]]</f>
        <v>80434</v>
      </c>
      <c r="K325" s="73">
        <f>IFERROR(LOOKUP(Tabla22[[#This Row],[Product]],$R$18:$R$23,$T$18:$T$23)*Tabla22[[#This Row],[QualityBonus]]*Tabla22[[#This Row],[Base price1]]*Tabla22[[#This Row],[Req.]],0)</f>
        <v>7239.0599999999995</v>
      </c>
      <c r="L325" s="73">
        <f>IF(Tabla22[[#This Row],[Req.2]]&gt;0,LOOKUP(Tabla22[[#This Row],[Product2]],$R$18:$R$23,$T$18:$T$23)*Tabla22[[#This Row],[Base price2]]*Tabla22[[#This Row],[Req.2]]*Tabla22[[#This Row],[QualityBonus]],0)</f>
        <v>0</v>
      </c>
      <c r="M325" s="73">
        <f>IFERROR((Tabla22[[#This Row],[Base price1]]-LOOKUP(Tabla22[[#This Row],[Product]],$R$18:$R$23,$S$18:$S$23))*Tabla22[[#This Row],[Req.]],0)</f>
        <v>12434</v>
      </c>
      <c r="N325" s="73">
        <f>IF(Tabla22[[#This Row],[Req.2]]&gt;0,(Tabla22[[#This Row],[Base price2]]-LOOKUP(Tabla22[[#This Row],[Product2]],$R$18:$R$23,$S$18:$S$23))*Tabla22[[#This Row],[Req.2]],0)</f>
        <v>0</v>
      </c>
      <c r="O325" s="73">
        <f>SUM(Tabla22[[#This Row],[Bonus1]:[p2]])</f>
        <v>19673.059999999998</v>
      </c>
      <c r="P325" s="73">
        <f>IF(Tabla22[[#This Row],[QualityBonus]]&gt;0,Tabla22[[#This Row],[No wages]]-$C$4,"")</f>
        <v>-28189.224238442228</v>
      </c>
    </row>
    <row r="326" spans="1:16" x14ac:dyDescent="0.25">
      <c r="A326" s="13">
        <v>310</v>
      </c>
      <c r="B326" s="13" t="s">
        <v>13</v>
      </c>
      <c r="C326" s="66">
        <v>1.15E-2</v>
      </c>
      <c r="D326" s="2" t="s">
        <v>53</v>
      </c>
      <c r="E326" s="73">
        <v>41024</v>
      </c>
      <c r="F326" s="5">
        <v>2</v>
      </c>
      <c r="G326" s="2" t="s">
        <v>57</v>
      </c>
      <c r="H326" s="73">
        <v>82044</v>
      </c>
      <c r="I326" s="5">
        <v>2</v>
      </c>
      <c r="J326" s="74">
        <f>Tabla22[[#This Row],[Base price1]]*Tabla22[[#This Row],[Req.]]+Tabla22[[#This Row],[Base price2]]*Tabla22[[#This Row],[Req.2]]</f>
        <v>246136</v>
      </c>
      <c r="K326" s="73">
        <f>IFERROR(LOOKUP(Tabla22[[#This Row],[Product]],$R$18:$R$23,$T$18:$T$23)*Tabla22[[#This Row],[QualityBonus]]*Tabla22[[#This Row],[Base price1]]*Tabla22[[#This Row],[Req.]],0)</f>
        <v>3774.2080000000001</v>
      </c>
      <c r="L326" s="73">
        <f>IF(Tabla22[[#This Row],[Req.2]]&gt;0,LOOKUP(Tabla22[[#This Row],[Product2]],$R$18:$R$23,$T$18:$T$23)*Tabla22[[#This Row],[Base price2]]*Tabla22[[#This Row],[Req.2]]*Tabla22[[#This Row],[QualityBonus]],0)</f>
        <v>7548.0479999999998</v>
      </c>
      <c r="M326" s="73">
        <f>IFERROR((Tabla22[[#This Row],[Base price1]]-LOOKUP(Tabla22[[#This Row],[Product]],$R$18:$R$23,$S$18:$S$23))*Tabla22[[#This Row],[Req.]],0)</f>
        <v>14048</v>
      </c>
      <c r="N326" s="73">
        <f>IF(Tabla22[[#This Row],[Req.2]]&gt;0,(Tabla22[[#This Row],[Base price2]]-LOOKUP(Tabla22[[#This Row],[Product2]],$R$18:$R$23,$S$18:$S$23))*Tabla22[[#This Row],[Req.2]],0)</f>
        <v>10088</v>
      </c>
      <c r="O326" s="73">
        <f>SUM(Tabla22[[#This Row],[Bonus1]:[p2]])</f>
        <v>35458.256000000001</v>
      </c>
      <c r="P326" s="73">
        <f>IF(Tabla22[[#This Row],[QualityBonus]]&gt;0,Tabla22[[#This Row],[No wages]]-$C$4,"")</f>
        <v>-12404.028238442224</v>
      </c>
    </row>
    <row r="327" spans="1:16" x14ac:dyDescent="0.25">
      <c r="A327" s="13">
        <v>311</v>
      </c>
      <c r="B327" s="13" t="s">
        <v>13</v>
      </c>
      <c r="C327" s="66">
        <v>2.4799999999999999E-2</v>
      </c>
      <c r="D327" s="2" t="s">
        <v>52</v>
      </c>
      <c r="E327" s="73">
        <v>122939</v>
      </c>
      <c r="F327" s="5">
        <v>1</v>
      </c>
      <c r="G327" s="2" t="s">
        <v>53</v>
      </c>
      <c r="H327" s="73">
        <v>40503</v>
      </c>
      <c r="I327" s="5">
        <v>3</v>
      </c>
      <c r="J327" s="74">
        <f>Tabla22[[#This Row],[Base price1]]*Tabla22[[#This Row],[Req.]]+Tabla22[[#This Row],[Base price2]]*Tabla22[[#This Row],[Req.2]]</f>
        <v>244448</v>
      </c>
      <c r="K327" s="73">
        <f>IFERROR(LOOKUP(Tabla22[[#This Row],[Product]],$R$18:$R$23,$T$18:$T$23)*Tabla22[[#This Row],[QualityBonus]]*Tabla22[[#This Row],[Base price1]]*Tabla22[[#This Row],[Req.]],0)</f>
        <v>18293.323199999999</v>
      </c>
      <c r="L327" s="73">
        <f>IF(Tabla22[[#This Row],[Req.2]]&gt;0,LOOKUP(Tabla22[[#This Row],[Product2]],$R$18:$R$23,$T$18:$T$23)*Tabla22[[#This Row],[Base price2]]*Tabla22[[#This Row],[Req.2]]*Tabla22[[#This Row],[QualityBonus]],0)</f>
        <v>12053.692799999999</v>
      </c>
      <c r="M327" s="73">
        <f>IFERROR((Tabla22[[#This Row],[Base price1]]-LOOKUP(Tabla22[[#This Row],[Product]],$R$18:$R$23,$S$18:$S$23))*Tabla22[[#This Row],[Req.]],0)</f>
        <v>6939</v>
      </c>
      <c r="N327" s="73">
        <f>IF(Tabla22[[#This Row],[Req.2]]&gt;0,(Tabla22[[#This Row],[Base price2]]-LOOKUP(Tabla22[[#This Row],[Product2]],$R$18:$R$23,$S$18:$S$23))*Tabla22[[#This Row],[Req.2]],0)</f>
        <v>19509</v>
      </c>
      <c r="O327" s="73">
        <f>SUM(Tabla22[[#This Row],[Bonus1]:[p2]])</f>
        <v>56795.015999999996</v>
      </c>
      <c r="P327" s="73">
        <f>IF(Tabla22[[#This Row],[QualityBonus]]&gt;0,Tabla22[[#This Row],[No wages]]-$C$4,"")</f>
        <v>8932.7317615577704</v>
      </c>
    </row>
    <row r="328" spans="1:16" x14ac:dyDescent="0.25">
      <c r="A328" s="13">
        <v>312</v>
      </c>
      <c r="B328" s="13" t="s">
        <v>13</v>
      </c>
      <c r="C328" s="66">
        <v>2.4500000000000001E-2</v>
      </c>
      <c r="D328" s="2" t="s">
        <v>55</v>
      </c>
      <c r="E328" s="73">
        <v>84513</v>
      </c>
      <c r="F328" s="5">
        <v>1</v>
      </c>
      <c r="G328" s="2"/>
      <c r="H328" s="73"/>
      <c r="I328" s="5"/>
      <c r="J328" s="74">
        <f>Tabla22[[#This Row],[Base price1]]*Tabla22[[#This Row],[Req.]]+Tabla22[[#This Row],[Base price2]]*Tabla22[[#This Row],[Req.2]]</f>
        <v>84513</v>
      </c>
      <c r="K328" s="73">
        <f>IFERROR(LOOKUP(Tabla22[[#This Row],[Product]],$R$18:$R$23,$T$18:$T$23)*Tabla22[[#This Row],[QualityBonus]]*Tabla22[[#This Row],[Base price1]]*Tabla22[[#This Row],[Req.]],0)</f>
        <v>8282.2739999999994</v>
      </c>
      <c r="L328" s="73">
        <f>IF(Tabla22[[#This Row],[Req.2]]&gt;0,LOOKUP(Tabla22[[#This Row],[Product2]],$R$18:$R$23,$T$18:$T$23)*Tabla22[[#This Row],[Base price2]]*Tabla22[[#This Row],[Req.2]]*Tabla22[[#This Row],[QualityBonus]],0)</f>
        <v>0</v>
      </c>
      <c r="M328" s="73">
        <f>IFERROR((Tabla22[[#This Row],[Base price1]]-LOOKUP(Tabla22[[#This Row],[Product]],$R$18:$R$23,$S$18:$S$23))*Tabla22[[#This Row],[Req.]],0)</f>
        <v>7513</v>
      </c>
      <c r="N328" s="73">
        <f>IF(Tabla22[[#This Row],[Req.2]]&gt;0,(Tabla22[[#This Row],[Base price2]]-LOOKUP(Tabla22[[#This Row],[Product2]],$R$18:$R$23,$S$18:$S$23))*Tabla22[[#This Row],[Req.2]],0)</f>
        <v>0</v>
      </c>
      <c r="O328" s="73">
        <f>SUM(Tabla22[[#This Row],[Bonus1]:[p2]])</f>
        <v>15795.273999999999</v>
      </c>
      <c r="P328" s="73">
        <f>IF(Tabla22[[#This Row],[QualityBonus]]&gt;0,Tabla22[[#This Row],[No wages]]-$C$4,"")</f>
        <v>-32067.010238442228</v>
      </c>
    </row>
    <row r="329" spans="1:16" x14ac:dyDescent="0.25">
      <c r="A329" s="13">
        <v>313</v>
      </c>
      <c r="B329" s="13" t="s">
        <v>13</v>
      </c>
      <c r="C329" s="66">
        <v>1.7100000000000001E-2</v>
      </c>
      <c r="D329" s="2" t="s">
        <v>56</v>
      </c>
      <c r="E329" s="73">
        <v>222739</v>
      </c>
      <c r="F329" s="5">
        <v>4</v>
      </c>
      <c r="G329" s="2" t="s">
        <v>53</v>
      </c>
      <c r="H329" s="73">
        <v>41320</v>
      </c>
      <c r="I329" s="5">
        <v>5</v>
      </c>
      <c r="J329" s="74">
        <f>Tabla22[[#This Row],[Base price1]]*Tabla22[[#This Row],[Req.]]+Tabla22[[#This Row],[Base price2]]*Tabla22[[#This Row],[Req.2]]</f>
        <v>1097556</v>
      </c>
      <c r="K329" s="73">
        <f>IFERROR(LOOKUP(Tabla22[[#This Row],[Product]],$R$18:$R$23,$T$18:$T$23)*Tabla22[[#This Row],[QualityBonus]]*Tabla22[[#This Row],[Base price1]]*Tabla22[[#This Row],[Req.]],0)</f>
        <v>45706.042799999996</v>
      </c>
      <c r="L329" s="73">
        <f>IF(Tabla22[[#This Row],[Req.2]]&gt;0,LOOKUP(Tabla22[[#This Row],[Product2]],$R$18:$R$23,$T$18:$T$23)*Tabla22[[#This Row],[Base price2]]*Tabla22[[#This Row],[Req.2]]*Tabla22[[#This Row],[QualityBonus]],0)</f>
        <v>14131.44</v>
      </c>
      <c r="M329" s="73">
        <f>IFERROR((Tabla22[[#This Row],[Base price1]]-LOOKUP(Tabla22[[#This Row],[Product]],$R$18:$R$23,$S$18:$S$23))*Tabla22[[#This Row],[Req.]],0)</f>
        <v>6956</v>
      </c>
      <c r="N329" s="73">
        <f>IF(Tabla22[[#This Row],[Req.2]]&gt;0,(Tabla22[[#This Row],[Base price2]]-LOOKUP(Tabla22[[#This Row],[Product2]],$R$18:$R$23,$S$18:$S$23))*Tabla22[[#This Row],[Req.2]],0)</f>
        <v>36600</v>
      </c>
      <c r="O329" s="73">
        <f>SUM(Tabla22[[#This Row],[Bonus1]:[p2]])</f>
        <v>103393.4828</v>
      </c>
      <c r="P329" s="73">
        <f>IF(Tabla22[[#This Row],[QualityBonus]]&gt;0,Tabla22[[#This Row],[No wages]]-$C$4,"")</f>
        <v>55531.198561557772</v>
      </c>
    </row>
    <row r="330" spans="1:16" x14ac:dyDescent="0.25">
      <c r="A330" s="13">
        <v>314</v>
      </c>
      <c r="B330" s="13" t="s">
        <v>13</v>
      </c>
      <c r="C330" s="66">
        <v>1.17E-2</v>
      </c>
      <c r="D330" s="2" t="s">
        <v>52</v>
      </c>
      <c r="E330" s="73">
        <v>122549</v>
      </c>
      <c r="F330" s="5">
        <v>1</v>
      </c>
      <c r="G330" s="2" t="s">
        <v>56</v>
      </c>
      <c r="H330" s="73">
        <v>227252</v>
      </c>
      <c r="I330" s="5">
        <v>2</v>
      </c>
      <c r="J330" s="74">
        <f>Tabla22[[#This Row],[Base price1]]*Tabla22[[#This Row],[Req.]]+Tabla22[[#This Row],[Base price2]]*Tabla22[[#This Row],[Req.2]]</f>
        <v>577053</v>
      </c>
      <c r="K330" s="73">
        <f>IFERROR(LOOKUP(Tabla22[[#This Row],[Product]],$R$18:$R$23,$T$18:$T$23)*Tabla22[[#This Row],[QualityBonus]]*Tabla22[[#This Row],[Base price1]]*Tabla22[[#This Row],[Req.]],0)</f>
        <v>8602.9398000000001</v>
      </c>
      <c r="L330" s="73">
        <f>IF(Tabla22[[#This Row],[Req.2]]&gt;0,LOOKUP(Tabla22[[#This Row],[Product2]],$R$18:$R$23,$T$18:$T$23)*Tabla22[[#This Row],[Base price2]]*Tabla22[[#This Row],[Req.2]]*Tabla22[[#This Row],[QualityBonus]],0)</f>
        <v>15953.090400000001</v>
      </c>
      <c r="M330" s="73">
        <f>IFERROR((Tabla22[[#This Row],[Base price1]]-LOOKUP(Tabla22[[#This Row],[Product]],$R$18:$R$23,$S$18:$S$23))*Tabla22[[#This Row],[Req.]],0)</f>
        <v>6549</v>
      </c>
      <c r="N330" s="73">
        <f>IF(Tabla22[[#This Row],[Req.2]]&gt;0,(Tabla22[[#This Row],[Base price2]]-LOOKUP(Tabla22[[#This Row],[Product2]],$R$18:$R$23,$S$18:$S$23))*Tabla22[[#This Row],[Req.2]],0)</f>
        <v>12504</v>
      </c>
      <c r="O330" s="73">
        <f>SUM(Tabla22[[#This Row],[Bonus1]:[p2]])</f>
        <v>43609.030200000001</v>
      </c>
      <c r="P330" s="73">
        <f>IF(Tabla22[[#This Row],[QualityBonus]]&gt;0,Tabla22[[#This Row],[No wages]]-$C$4,"")</f>
        <v>-4253.2540384422246</v>
      </c>
    </row>
    <row r="331" spans="1:16" x14ac:dyDescent="0.25">
      <c r="A331" s="13">
        <v>315</v>
      </c>
      <c r="B331" s="13" t="s">
        <v>13</v>
      </c>
      <c r="C331" s="66">
        <v>1.84E-2</v>
      </c>
      <c r="D331" s="2" t="s">
        <v>53</v>
      </c>
      <c r="E331" s="73">
        <v>42434</v>
      </c>
      <c r="F331" s="5">
        <v>2</v>
      </c>
      <c r="G331" s="2"/>
      <c r="H331" s="73"/>
      <c r="I331" s="5"/>
      <c r="J331" s="74">
        <f>Tabla22[[#This Row],[Base price1]]*Tabla22[[#This Row],[Req.]]+Tabla22[[#This Row],[Base price2]]*Tabla22[[#This Row],[Req.2]]</f>
        <v>84868</v>
      </c>
      <c r="K331" s="73">
        <f>IFERROR(LOOKUP(Tabla22[[#This Row],[Product]],$R$18:$R$23,$T$18:$T$23)*Tabla22[[#This Row],[QualityBonus]]*Tabla22[[#This Row],[Base price1]]*Tabla22[[#This Row],[Req.]],0)</f>
        <v>6246.2847999999994</v>
      </c>
      <c r="L331" s="73">
        <f>IF(Tabla22[[#This Row],[Req.2]]&gt;0,LOOKUP(Tabla22[[#This Row],[Product2]],$R$18:$R$23,$T$18:$T$23)*Tabla22[[#This Row],[Base price2]]*Tabla22[[#This Row],[Req.2]]*Tabla22[[#This Row],[QualityBonus]],0)</f>
        <v>0</v>
      </c>
      <c r="M331" s="73">
        <f>IFERROR((Tabla22[[#This Row],[Base price1]]-LOOKUP(Tabla22[[#This Row],[Product]],$R$18:$R$23,$S$18:$S$23))*Tabla22[[#This Row],[Req.]],0)</f>
        <v>16868</v>
      </c>
      <c r="N331" s="73">
        <f>IF(Tabla22[[#This Row],[Req.2]]&gt;0,(Tabla22[[#This Row],[Base price2]]-LOOKUP(Tabla22[[#This Row],[Product2]],$R$18:$R$23,$S$18:$S$23))*Tabla22[[#This Row],[Req.2]],0)</f>
        <v>0</v>
      </c>
      <c r="O331" s="73">
        <f>SUM(Tabla22[[#This Row],[Bonus1]:[p2]])</f>
        <v>23114.284800000001</v>
      </c>
      <c r="P331" s="73">
        <f>IF(Tabla22[[#This Row],[QualityBonus]]&gt;0,Tabla22[[#This Row],[No wages]]-$C$4,"")</f>
        <v>-24747.999438442224</v>
      </c>
    </row>
    <row r="332" spans="1:16" x14ac:dyDescent="0.25">
      <c r="A332" s="13">
        <v>316</v>
      </c>
      <c r="B332" s="13" t="s">
        <v>13</v>
      </c>
      <c r="C332" s="66">
        <v>2.3099999999999999E-2</v>
      </c>
      <c r="D332" s="2" t="s">
        <v>56</v>
      </c>
      <c r="E332" s="73">
        <v>219056</v>
      </c>
      <c r="F332" s="5">
        <v>2</v>
      </c>
      <c r="G332" s="2" t="s">
        <v>52</v>
      </c>
      <c r="H332" s="73">
        <v>118810</v>
      </c>
      <c r="I332" s="5">
        <v>1</v>
      </c>
      <c r="J332" s="74">
        <f>Tabla22[[#This Row],[Base price1]]*Tabla22[[#This Row],[Req.]]+Tabla22[[#This Row],[Base price2]]*Tabla22[[#This Row],[Req.2]]</f>
        <v>556922</v>
      </c>
      <c r="K332" s="73">
        <f>IFERROR(LOOKUP(Tabla22[[#This Row],[Product]],$R$18:$R$23,$T$18:$T$23)*Tabla22[[#This Row],[QualityBonus]]*Tabla22[[#This Row],[Base price1]]*Tabla22[[#This Row],[Req.]],0)</f>
        <v>30361.161599999999</v>
      </c>
      <c r="L332" s="73">
        <f>IF(Tabla22[[#This Row],[Req.2]]&gt;0,LOOKUP(Tabla22[[#This Row],[Product2]],$R$18:$R$23,$T$18:$T$23)*Tabla22[[#This Row],[Base price2]]*Tabla22[[#This Row],[Req.2]]*Tabla22[[#This Row],[QualityBonus]],0)</f>
        <v>16467.065999999999</v>
      </c>
      <c r="M332" s="73">
        <f>IFERROR((Tabla22[[#This Row],[Base price1]]-LOOKUP(Tabla22[[#This Row],[Product]],$R$18:$R$23,$S$18:$S$23))*Tabla22[[#This Row],[Req.]],0)</f>
        <v>-3888</v>
      </c>
      <c r="N332" s="73">
        <f>IF(Tabla22[[#This Row],[Req.2]]&gt;0,(Tabla22[[#This Row],[Base price2]]-LOOKUP(Tabla22[[#This Row],[Product2]],$R$18:$R$23,$S$18:$S$23))*Tabla22[[#This Row],[Req.2]],0)</f>
        <v>2810</v>
      </c>
      <c r="O332" s="73">
        <f>SUM(Tabla22[[#This Row],[Bonus1]:[p2]])</f>
        <v>45750.227599999998</v>
      </c>
      <c r="P332" s="73">
        <f>IF(Tabla22[[#This Row],[QualityBonus]]&gt;0,Tabla22[[#This Row],[No wages]]-$C$4,"")</f>
        <v>-2112.0566384422273</v>
      </c>
    </row>
    <row r="333" spans="1:16" x14ac:dyDescent="0.25">
      <c r="A333" s="13">
        <v>317</v>
      </c>
      <c r="B333" s="13" t="s">
        <v>13</v>
      </c>
      <c r="C333" s="66">
        <v>1.8200000000000001E-2</v>
      </c>
      <c r="D333" s="2" t="s">
        <v>53</v>
      </c>
      <c r="E333" s="73">
        <v>40758</v>
      </c>
      <c r="F333" s="5">
        <v>5</v>
      </c>
      <c r="G333" s="2" t="s">
        <v>52</v>
      </c>
      <c r="H333" s="73">
        <v>116890</v>
      </c>
      <c r="I333" s="5">
        <v>4</v>
      </c>
      <c r="J333" s="74">
        <f>Tabla22[[#This Row],[Base price1]]*Tabla22[[#This Row],[Req.]]+Tabla22[[#This Row],[Base price2]]*Tabla22[[#This Row],[Req.2]]</f>
        <v>671350</v>
      </c>
      <c r="K333" s="73">
        <f>IFERROR(LOOKUP(Tabla22[[#This Row],[Product]],$R$18:$R$23,$T$18:$T$23)*Tabla22[[#This Row],[QualityBonus]]*Tabla22[[#This Row],[Base price1]]*Tabla22[[#This Row],[Req.]],0)</f>
        <v>14835.912</v>
      </c>
      <c r="L333" s="73">
        <f>IF(Tabla22[[#This Row],[Req.2]]&gt;0,LOOKUP(Tabla22[[#This Row],[Product2]],$R$18:$R$23,$T$18:$T$23)*Tabla22[[#This Row],[Base price2]]*Tabla22[[#This Row],[Req.2]]*Tabla22[[#This Row],[QualityBonus]],0)</f>
        <v>51057.552000000003</v>
      </c>
      <c r="M333" s="73">
        <f>IFERROR((Tabla22[[#This Row],[Base price1]]-LOOKUP(Tabla22[[#This Row],[Product]],$R$18:$R$23,$S$18:$S$23))*Tabla22[[#This Row],[Req.]],0)</f>
        <v>33790</v>
      </c>
      <c r="N333" s="73">
        <f>IF(Tabla22[[#This Row],[Req.2]]&gt;0,(Tabla22[[#This Row],[Base price2]]-LOOKUP(Tabla22[[#This Row],[Product2]],$R$18:$R$23,$S$18:$S$23))*Tabla22[[#This Row],[Req.2]],0)</f>
        <v>3560</v>
      </c>
      <c r="O333" s="73">
        <f>SUM(Tabla22[[#This Row],[Bonus1]:[p2]])</f>
        <v>103243.46400000001</v>
      </c>
      <c r="P333" s="73">
        <f>IF(Tabla22[[#This Row],[QualityBonus]]&gt;0,Tabla22[[#This Row],[No wages]]-$C$4,"")</f>
        <v>55381.179761557782</v>
      </c>
    </row>
    <row r="334" spans="1:16" x14ac:dyDescent="0.25">
      <c r="A334" s="13">
        <v>318</v>
      </c>
      <c r="B334" s="13" t="s">
        <v>13</v>
      </c>
      <c r="C334" s="66">
        <v>2.5000000000000001E-2</v>
      </c>
      <c r="D334" s="2" t="s">
        <v>54</v>
      </c>
      <c r="E334" s="73">
        <v>61690</v>
      </c>
      <c r="F334" s="5">
        <v>1</v>
      </c>
      <c r="G334" s="2" t="s">
        <v>57</v>
      </c>
      <c r="H334" s="73">
        <v>82561</v>
      </c>
      <c r="I334" s="5">
        <v>3</v>
      </c>
      <c r="J334" s="74">
        <f>Tabla22[[#This Row],[Base price1]]*Tabla22[[#This Row],[Req.]]+Tabla22[[#This Row],[Base price2]]*Tabla22[[#This Row],[Req.2]]</f>
        <v>309373</v>
      </c>
      <c r="K334" s="73">
        <f>IFERROR(LOOKUP(Tabla22[[#This Row],[Product]],$R$18:$R$23,$T$18:$T$23)*Tabla22[[#This Row],[QualityBonus]]*Tabla22[[#This Row],[Base price1]]*Tabla22[[#This Row],[Req.]],0)</f>
        <v>7711.25</v>
      </c>
      <c r="L334" s="73">
        <f>IF(Tabla22[[#This Row],[Req.2]]&gt;0,LOOKUP(Tabla22[[#This Row],[Product2]],$R$18:$R$23,$T$18:$T$23)*Tabla22[[#This Row],[Base price2]]*Tabla22[[#This Row],[Req.2]]*Tabla22[[#This Row],[QualityBonus]],0)</f>
        <v>24768.300000000003</v>
      </c>
      <c r="M334" s="73">
        <f>IFERROR((Tabla22[[#This Row],[Base price1]]-LOOKUP(Tabla22[[#This Row],[Product]],$R$18:$R$23,$S$18:$S$23))*Tabla22[[#This Row],[Req.]],0)</f>
        <v>5190</v>
      </c>
      <c r="N334" s="73">
        <f>IF(Tabla22[[#This Row],[Req.2]]&gt;0,(Tabla22[[#This Row],[Base price2]]-LOOKUP(Tabla22[[#This Row],[Product2]],$R$18:$R$23,$S$18:$S$23))*Tabla22[[#This Row],[Req.2]],0)</f>
        <v>16683</v>
      </c>
      <c r="O334" s="73">
        <f>SUM(Tabla22[[#This Row],[Bonus1]:[p2]])</f>
        <v>54352.55</v>
      </c>
      <c r="P334" s="73">
        <f>IF(Tabla22[[#This Row],[QualityBonus]]&gt;0,Tabla22[[#This Row],[No wages]]-$C$4,"")</f>
        <v>6490.2657615577773</v>
      </c>
    </row>
    <row r="335" spans="1:16" x14ac:dyDescent="0.25">
      <c r="A335" s="13">
        <v>319</v>
      </c>
      <c r="B335" s="13" t="s">
        <v>13</v>
      </c>
      <c r="C335" s="66">
        <v>1.7000000000000001E-2</v>
      </c>
      <c r="D335" s="2" t="s">
        <v>54</v>
      </c>
      <c r="E335" s="73">
        <v>59248</v>
      </c>
      <c r="F335" s="5">
        <v>4</v>
      </c>
      <c r="G335" s="2" t="s">
        <v>57</v>
      </c>
      <c r="H335" s="73">
        <v>83864</v>
      </c>
      <c r="I335" s="5">
        <v>4</v>
      </c>
      <c r="J335" s="74">
        <f>Tabla22[[#This Row],[Base price1]]*Tabla22[[#This Row],[Req.]]+Tabla22[[#This Row],[Base price2]]*Tabla22[[#This Row],[Req.2]]</f>
        <v>572448</v>
      </c>
      <c r="K335" s="73">
        <f>IFERROR(LOOKUP(Tabla22[[#This Row],[Product]],$R$18:$R$23,$T$18:$T$23)*Tabla22[[#This Row],[QualityBonus]]*Tabla22[[#This Row],[Base price1]]*Tabla22[[#This Row],[Req.]],0)</f>
        <v>20144.32</v>
      </c>
      <c r="L335" s="73">
        <f>IF(Tabla22[[#This Row],[Req.2]]&gt;0,LOOKUP(Tabla22[[#This Row],[Product2]],$R$18:$R$23,$T$18:$T$23)*Tabla22[[#This Row],[Base price2]]*Tabla22[[#This Row],[Req.2]]*Tabla22[[#This Row],[QualityBonus]],0)</f>
        <v>22811.008000000002</v>
      </c>
      <c r="M335" s="73">
        <f>IFERROR((Tabla22[[#This Row],[Base price1]]-LOOKUP(Tabla22[[#This Row],[Product]],$R$18:$R$23,$S$18:$S$23))*Tabla22[[#This Row],[Req.]],0)</f>
        <v>10992</v>
      </c>
      <c r="N335" s="73">
        <f>IF(Tabla22[[#This Row],[Req.2]]&gt;0,(Tabla22[[#This Row],[Base price2]]-LOOKUP(Tabla22[[#This Row],[Product2]],$R$18:$R$23,$S$18:$S$23))*Tabla22[[#This Row],[Req.2]],0)</f>
        <v>27456</v>
      </c>
      <c r="O335" s="73">
        <f>SUM(Tabla22[[#This Row],[Bonus1]:[p2]])</f>
        <v>81403.328000000009</v>
      </c>
      <c r="P335" s="73">
        <f>IF(Tabla22[[#This Row],[QualityBonus]]&gt;0,Tabla22[[#This Row],[No wages]]-$C$4,"")</f>
        <v>33541.043761557783</v>
      </c>
    </row>
    <row r="336" spans="1:16" x14ac:dyDescent="0.25">
      <c r="A336" s="13">
        <v>320</v>
      </c>
      <c r="B336" s="13" t="s">
        <v>13</v>
      </c>
      <c r="C336" s="66">
        <v>1.9E-2</v>
      </c>
      <c r="D336" s="2" t="s">
        <v>54</v>
      </c>
      <c r="E336" s="73">
        <v>89197</v>
      </c>
      <c r="F336" s="5">
        <v>4</v>
      </c>
      <c r="G336" s="2" t="s">
        <v>57</v>
      </c>
      <c r="H336" s="73">
        <v>85302</v>
      </c>
      <c r="I336" s="5">
        <v>2</v>
      </c>
      <c r="J336" s="74">
        <f>Tabla22[[#This Row],[Base price1]]*Tabla22[[#This Row],[Req.]]+Tabla22[[#This Row],[Base price2]]*Tabla22[[#This Row],[Req.2]]</f>
        <v>527392</v>
      </c>
      <c r="K336" s="73">
        <f>IFERROR(LOOKUP(Tabla22[[#This Row],[Product]],$R$18:$R$23,$T$18:$T$23)*Tabla22[[#This Row],[QualityBonus]]*Tabla22[[#This Row],[Base price1]]*Tabla22[[#This Row],[Req.]],0)</f>
        <v>33894.86</v>
      </c>
      <c r="L336" s="73">
        <f>IF(Tabla22[[#This Row],[Req.2]]&gt;0,LOOKUP(Tabla22[[#This Row],[Product2]],$R$18:$R$23,$T$18:$T$23)*Tabla22[[#This Row],[Base price2]]*Tabla22[[#This Row],[Req.2]]*Tabla22[[#This Row],[QualityBonus]],0)</f>
        <v>12965.904</v>
      </c>
      <c r="M336" s="73">
        <f>IFERROR((Tabla22[[#This Row],[Base price1]]-LOOKUP(Tabla22[[#This Row],[Product]],$R$18:$R$23,$S$18:$S$23))*Tabla22[[#This Row],[Req.]],0)</f>
        <v>130788</v>
      </c>
      <c r="N336" s="73">
        <f>IF(Tabla22[[#This Row],[Req.2]]&gt;0,(Tabla22[[#This Row],[Base price2]]-LOOKUP(Tabla22[[#This Row],[Product2]],$R$18:$R$23,$S$18:$S$23))*Tabla22[[#This Row],[Req.2]],0)</f>
        <v>16604</v>
      </c>
      <c r="O336" s="73">
        <f>SUM(Tabla22[[#This Row],[Bonus1]:[p2]])</f>
        <v>194252.764</v>
      </c>
      <c r="P336" s="73">
        <f>IF(Tabla22[[#This Row],[QualityBonus]]&gt;0,Tabla22[[#This Row],[No wages]]-$C$4,"")</f>
        <v>146390.47976155777</v>
      </c>
    </row>
    <row r="337" spans="1:16" x14ac:dyDescent="0.25">
      <c r="A337" s="13">
        <v>321</v>
      </c>
      <c r="B337" s="13" t="s">
        <v>13</v>
      </c>
      <c r="C337" s="66">
        <v>2.76E-2</v>
      </c>
      <c r="D337" s="2" t="s">
        <v>54</v>
      </c>
      <c r="E337" s="73">
        <v>60286</v>
      </c>
      <c r="F337" s="5">
        <v>3</v>
      </c>
      <c r="G337" s="2" t="s">
        <v>57</v>
      </c>
      <c r="H337" s="73">
        <v>86098</v>
      </c>
      <c r="I337" s="5">
        <v>3</v>
      </c>
      <c r="J337" s="74">
        <f>Tabla22[[#This Row],[Base price1]]*Tabla22[[#This Row],[Req.]]+Tabla22[[#This Row],[Base price2]]*Tabla22[[#This Row],[Req.2]]</f>
        <v>439152</v>
      </c>
      <c r="K337" s="73">
        <f>IFERROR(LOOKUP(Tabla22[[#This Row],[Product]],$R$18:$R$23,$T$18:$T$23)*Tabla22[[#This Row],[QualityBonus]]*Tabla22[[#This Row],[Base price1]]*Tabla22[[#This Row],[Req.]],0)</f>
        <v>24958.404000000002</v>
      </c>
      <c r="L337" s="73">
        <f>IF(Tabla22[[#This Row],[Req.2]]&gt;0,LOOKUP(Tabla22[[#This Row],[Product2]],$R$18:$R$23,$T$18:$T$23)*Tabla22[[#This Row],[Base price2]]*Tabla22[[#This Row],[Req.2]]*Tabla22[[#This Row],[QualityBonus]],0)</f>
        <v>28515.657599999999</v>
      </c>
      <c r="M337" s="73">
        <f>IFERROR((Tabla22[[#This Row],[Base price1]]-LOOKUP(Tabla22[[#This Row],[Product]],$R$18:$R$23,$S$18:$S$23))*Tabla22[[#This Row],[Req.]],0)</f>
        <v>11358</v>
      </c>
      <c r="N337" s="73">
        <f>IF(Tabla22[[#This Row],[Req.2]]&gt;0,(Tabla22[[#This Row],[Base price2]]-LOOKUP(Tabla22[[#This Row],[Product2]],$R$18:$R$23,$S$18:$S$23))*Tabla22[[#This Row],[Req.2]],0)</f>
        <v>27294</v>
      </c>
      <c r="O337" s="73">
        <f>SUM(Tabla22[[#This Row],[Bonus1]:[p2]])</f>
        <v>92126.061600000001</v>
      </c>
      <c r="P337" s="73">
        <f>IF(Tabla22[[#This Row],[QualityBonus]]&gt;0,Tabla22[[#This Row],[No wages]]-$C$4,"")</f>
        <v>44263.777361557775</v>
      </c>
    </row>
    <row r="338" spans="1:16" x14ac:dyDescent="0.25">
      <c r="A338" s="13">
        <v>322</v>
      </c>
      <c r="B338" s="13" t="s">
        <v>13</v>
      </c>
      <c r="C338" s="66">
        <v>1.32E-2</v>
      </c>
      <c r="D338" s="2" t="s">
        <v>55</v>
      </c>
      <c r="E338" s="73">
        <v>87011</v>
      </c>
      <c r="F338" s="5">
        <v>3</v>
      </c>
      <c r="G338" s="2" t="s">
        <v>54</v>
      </c>
      <c r="H338" s="73">
        <v>61675</v>
      </c>
      <c r="I338" s="5">
        <v>4</v>
      </c>
      <c r="J338" s="74">
        <f>Tabla22[[#This Row],[Base price1]]*Tabla22[[#This Row],[Req.]]+Tabla22[[#This Row],[Base price2]]*Tabla22[[#This Row],[Req.2]]</f>
        <v>507733</v>
      </c>
      <c r="K338" s="73">
        <f>IFERROR(LOOKUP(Tabla22[[#This Row],[Product]],$R$18:$R$23,$T$18:$T$23)*Tabla22[[#This Row],[QualityBonus]]*Tabla22[[#This Row],[Base price1]]*Tabla22[[#This Row],[Req.]],0)</f>
        <v>13782.5424</v>
      </c>
      <c r="L338" s="73">
        <f>IF(Tabla22[[#This Row],[Req.2]]&gt;0,LOOKUP(Tabla22[[#This Row],[Product2]],$R$18:$R$23,$T$18:$T$23)*Tabla22[[#This Row],[Base price2]]*Tabla22[[#This Row],[Req.2]]*Tabla22[[#This Row],[QualityBonus]],0)</f>
        <v>16282.2</v>
      </c>
      <c r="M338" s="73">
        <f>IFERROR((Tabla22[[#This Row],[Base price1]]-LOOKUP(Tabla22[[#This Row],[Product]],$R$18:$R$23,$S$18:$S$23))*Tabla22[[#This Row],[Req.]],0)</f>
        <v>30033</v>
      </c>
      <c r="N338" s="73">
        <f>IF(Tabla22[[#This Row],[Req.2]]&gt;0,(Tabla22[[#This Row],[Base price2]]-LOOKUP(Tabla22[[#This Row],[Product2]],$R$18:$R$23,$S$18:$S$23))*Tabla22[[#This Row],[Req.2]],0)</f>
        <v>20700</v>
      </c>
      <c r="O338" s="73">
        <f>SUM(Tabla22[[#This Row],[Bonus1]:[p2]])</f>
        <v>80797.742400000003</v>
      </c>
      <c r="P338" s="73">
        <f>IF(Tabla22[[#This Row],[QualityBonus]]&gt;0,Tabla22[[#This Row],[No wages]]-$C$4,"")</f>
        <v>32935.458161557777</v>
      </c>
    </row>
    <row r="339" spans="1:16" x14ac:dyDescent="0.25">
      <c r="A339" s="13">
        <v>323</v>
      </c>
      <c r="B339" s="13" t="s">
        <v>13</v>
      </c>
      <c r="C339" s="66">
        <v>1.43E-2</v>
      </c>
      <c r="D339" s="2" t="s">
        <v>55</v>
      </c>
      <c r="E339" s="73">
        <v>86855</v>
      </c>
      <c r="F339" s="5">
        <v>2</v>
      </c>
      <c r="G339" s="2"/>
      <c r="H339" s="73"/>
      <c r="I339" s="5"/>
      <c r="J339" s="74">
        <f>Tabla22[[#This Row],[Base price1]]*Tabla22[[#This Row],[Req.]]+Tabla22[[#This Row],[Base price2]]*Tabla22[[#This Row],[Req.2]]</f>
        <v>173710</v>
      </c>
      <c r="K339" s="73">
        <f>IFERROR(LOOKUP(Tabla22[[#This Row],[Product]],$R$18:$R$23,$T$18:$T$23)*Tabla22[[#This Row],[QualityBonus]]*Tabla22[[#This Row],[Base price1]]*Tabla22[[#This Row],[Req.]],0)</f>
        <v>9936.2119999999995</v>
      </c>
      <c r="L339" s="73">
        <f>IF(Tabla22[[#This Row],[Req.2]]&gt;0,LOOKUP(Tabla22[[#This Row],[Product2]],$R$18:$R$23,$T$18:$T$23)*Tabla22[[#This Row],[Base price2]]*Tabla22[[#This Row],[Req.2]]*Tabla22[[#This Row],[QualityBonus]],0)</f>
        <v>0</v>
      </c>
      <c r="M339" s="73">
        <f>IFERROR((Tabla22[[#This Row],[Base price1]]-LOOKUP(Tabla22[[#This Row],[Product]],$R$18:$R$23,$S$18:$S$23))*Tabla22[[#This Row],[Req.]],0)</f>
        <v>19710</v>
      </c>
      <c r="N339" s="73">
        <f>IF(Tabla22[[#This Row],[Req.2]]&gt;0,(Tabla22[[#This Row],[Base price2]]-LOOKUP(Tabla22[[#This Row],[Product2]],$R$18:$R$23,$S$18:$S$23))*Tabla22[[#This Row],[Req.2]],0)</f>
        <v>0</v>
      </c>
      <c r="O339" s="73">
        <f>SUM(Tabla22[[#This Row],[Bonus1]:[p2]])</f>
        <v>29646.212</v>
      </c>
      <c r="P339" s="73">
        <f>IF(Tabla22[[#This Row],[QualityBonus]]&gt;0,Tabla22[[#This Row],[No wages]]-$C$4,"")</f>
        <v>-18216.072238442226</v>
      </c>
    </row>
    <row r="340" spans="1:16" x14ac:dyDescent="0.25">
      <c r="A340" s="13">
        <v>324</v>
      </c>
      <c r="B340" s="13" t="s">
        <v>13</v>
      </c>
      <c r="C340" s="66">
        <v>1.37E-2</v>
      </c>
      <c r="D340" s="2" t="s">
        <v>54</v>
      </c>
      <c r="E340" s="73">
        <v>62870</v>
      </c>
      <c r="F340" s="5">
        <v>3</v>
      </c>
      <c r="G340" s="2" t="s">
        <v>53</v>
      </c>
      <c r="H340" s="73">
        <v>61637</v>
      </c>
      <c r="I340" s="5">
        <v>5</v>
      </c>
      <c r="J340" s="74">
        <f>Tabla22[[#This Row],[Base price1]]*Tabla22[[#This Row],[Req.]]+Tabla22[[#This Row],[Base price2]]*Tabla22[[#This Row],[Req.2]]</f>
        <v>496795</v>
      </c>
      <c r="K340" s="73">
        <f>IFERROR(LOOKUP(Tabla22[[#This Row],[Product]],$R$18:$R$23,$T$18:$T$23)*Tabla22[[#This Row],[QualityBonus]]*Tabla22[[#This Row],[Base price1]]*Tabla22[[#This Row],[Req.]],0)</f>
        <v>12919.785</v>
      </c>
      <c r="L340" s="73">
        <f>IF(Tabla22[[#This Row],[Req.2]]&gt;0,LOOKUP(Tabla22[[#This Row],[Product2]],$R$18:$R$23,$T$18:$T$23)*Tabla22[[#This Row],[Base price2]]*Tabla22[[#This Row],[Req.2]]*Tabla22[[#This Row],[QualityBonus]],0)</f>
        <v>16888.538</v>
      </c>
      <c r="M340" s="73">
        <f>IFERROR((Tabla22[[#This Row],[Base price1]]-LOOKUP(Tabla22[[#This Row],[Product]],$R$18:$R$23,$S$18:$S$23))*Tabla22[[#This Row],[Req.]],0)</f>
        <v>19110</v>
      </c>
      <c r="N340" s="73">
        <f>IF(Tabla22[[#This Row],[Req.2]]&gt;0,(Tabla22[[#This Row],[Base price2]]-LOOKUP(Tabla22[[#This Row],[Product2]],$R$18:$R$23,$S$18:$S$23))*Tabla22[[#This Row],[Req.2]],0)</f>
        <v>138185</v>
      </c>
      <c r="O340" s="73">
        <f>SUM(Tabla22[[#This Row],[Bonus1]:[p2]])</f>
        <v>187103.323</v>
      </c>
      <c r="P340" s="73">
        <f>IF(Tabla22[[#This Row],[QualityBonus]]&gt;0,Tabla22[[#This Row],[No wages]]-$C$4,"")</f>
        <v>139241.03876155778</v>
      </c>
    </row>
    <row r="341" spans="1:16" x14ac:dyDescent="0.25">
      <c r="A341" s="13">
        <v>325</v>
      </c>
      <c r="B341" s="13" t="s">
        <v>13</v>
      </c>
      <c r="C341" s="66">
        <v>1.89E-2</v>
      </c>
      <c r="D341" s="2" t="s">
        <v>55</v>
      </c>
      <c r="E341" s="73">
        <v>86907</v>
      </c>
      <c r="F341" s="5">
        <v>4</v>
      </c>
      <c r="G341" s="2" t="s">
        <v>54</v>
      </c>
      <c r="H341" s="73">
        <v>60884</v>
      </c>
      <c r="I341" s="5">
        <v>3</v>
      </c>
      <c r="J341" s="74">
        <f>Tabla22[[#This Row],[Base price1]]*Tabla22[[#This Row],[Req.]]+Tabla22[[#This Row],[Base price2]]*Tabla22[[#This Row],[Req.2]]</f>
        <v>530280</v>
      </c>
      <c r="K341" s="73">
        <f>IFERROR(LOOKUP(Tabla22[[#This Row],[Product]],$R$18:$R$23,$T$18:$T$23)*Tabla22[[#This Row],[QualityBonus]]*Tabla22[[#This Row],[Base price1]]*Tabla22[[#This Row],[Req.]],0)</f>
        <v>26280.676800000001</v>
      </c>
      <c r="L341" s="73">
        <f>IF(Tabla22[[#This Row],[Req.2]]&gt;0,LOOKUP(Tabla22[[#This Row],[Product2]],$R$18:$R$23,$T$18:$T$23)*Tabla22[[#This Row],[Base price2]]*Tabla22[[#This Row],[Req.2]]*Tabla22[[#This Row],[QualityBonus]],0)</f>
        <v>17260.614000000001</v>
      </c>
      <c r="M341" s="73">
        <f>IFERROR((Tabla22[[#This Row],[Base price1]]-LOOKUP(Tabla22[[#This Row],[Product]],$R$18:$R$23,$S$18:$S$23))*Tabla22[[#This Row],[Req.]],0)</f>
        <v>39628</v>
      </c>
      <c r="N341" s="73">
        <f>IF(Tabla22[[#This Row],[Req.2]]&gt;0,(Tabla22[[#This Row],[Base price2]]-LOOKUP(Tabla22[[#This Row],[Product2]],$R$18:$R$23,$S$18:$S$23))*Tabla22[[#This Row],[Req.2]],0)</f>
        <v>13152</v>
      </c>
      <c r="O341" s="73">
        <f>SUM(Tabla22[[#This Row],[Bonus1]:[p2]])</f>
        <v>96321.290800000002</v>
      </c>
      <c r="P341" s="73">
        <f>IF(Tabla22[[#This Row],[QualityBonus]]&gt;0,Tabla22[[#This Row],[No wages]]-$C$4,"")</f>
        <v>48459.006561557777</v>
      </c>
    </row>
    <row r="342" spans="1:16" x14ac:dyDescent="0.25">
      <c r="A342" s="13">
        <v>326</v>
      </c>
      <c r="B342" s="13" t="s">
        <v>13</v>
      </c>
      <c r="C342" s="66">
        <v>1.8599999999999998E-2</v>
      </c>
      <c r="D342" s="2" t="s">
        <v>53</v>
      </c>
      <c r="E342" s="73">
        <v>41739</v>
      </c>
      <c r="F342" s="5">
        <v>2</v>
      </c>
      <c r="G342" s="2" t="s">
        <v>54</v>
      </c>
      <c r="H342" s="73">
        <v>62674</v>
      </c>
      <c r="I342" s="5">
        <v>1</v>
      </c>
      <c r="J342" s="74">
        <f>Tabla22[[#This Row],[Base price1]]*Tabla22[[#This Row],[Req.]]+Tabla22[[#This Row],[Base price2]]*Tabla22[[#This Row],[Req.2]]</f>
        <v>146152</v>
      </c>
      <c r="K342" s="73">
        <f>IFERROR(LOOKUP(Tabla22[[#This Row],[Product]],$R$18:$R$23,$T$18:$T$23)*Tabla22[[#This Row],[QualityBonus]]*Tabla22[[#This Row],[Base price1]]*Tabla22[[#This Row],[Req.]],0)</f>
        <v>6210.7631999999994</v>
      </c>
      <c r="L342" s="73">
        <f>IF(Tabla22[[#This Row],[Req.2]]&gt;0,LOOKUP(Tabla22[[#This Row],[Product2]],$R$18:$R$23,$T$18:$T$23)*Tabla22[[#This Row],[Base price2]]*Tabla22[[#This Row],[Req.2]]*Tabla22[[#This Row],[QualityBonus]],0)</f>
        <v>5828.6819999999998</v>
      </c>
      <c r="M342" s="73">
        <f>IFERROR((Tabla22[[#This Row],[Base price1]]-LOOKUP(Tabla22[[#This Row],[Product]],$R$18:$R$23,$S$18:$S$23))*Tabla22[[#This Row],[Req.]],0)</f>
        <v>15478</v>
      </c>
      <c r="N342" s="73">
        <f>IF(Tabla22[[#This Row],[Req.2]]&gt;0,(Tabla22[[#This Row],[Base price2]]-LOOKUP(Tabla22[[#This Row],[Product2]],$R$18:$R$23,$S$18:$S$23))*Tabla22[[#This Row],[Req.2]],0)</f>
        <v>6174</v>
      </c>
      <c r="O342" s="73">
        <f>SUM(Tabla22[[#This Row],[Bonus1]:[p2]])</f>
        <v>33691.445200000002</v>
      </c>
      <c r="P342" s="73">
        <f>IF(Tabla22[[#This Row],[QualityBonus]]&gt;0,Tabla22[[#This Row],[No wages]]-$C$4,"")</f>
        <v>-14170.839038442224</v>
      </c>
    </row>
    <row r="343" spans="1:16" x14ac:dyDescent="0.25">
      <c r="A343" s="13">
        <v>327</v>
      </c>
      <c r="B343" s="13" t="s">
        <v>13</v>
      </c>
      <c r="C343" s="66">
        <v>2.7E-2</v>
      </c>
      <c r="D343" s="2" t="s">
        <v>55</v>
      </c>
      <c r="E343" s="73">
        <v>85040</v>
      </c>
      <c r="F343" s="5">
        <v>4</v>
      </c>
      <c r="G343" s="2" t="s">
        <v>54</v>
      </c>
      <c r="H343" s="73">
        <v>59357</v>
      </c>
      <c r="I343" s="5">
        <v>3</v>
      </c>
      <c r="J343" s="74">
        <f>Tabla22[[#This Row],[Base price1]]*Tabla22[[#This Row],[Req.]]+Tabla22[[#This Row],[Base price2]]*Tabla22[[#This Row],[Req.2]]</f>
        <v>518231</v>
      </c>
      <c r="K343" s="73">
        <f>IFERROR(LOOKUP(Tabla22[[#This Row],[Product]],$R$18:$R$23,$T$18:$T$23)*Tabla22[[#This Row],[QualityBonus]]*Tabla22[[#This Row],[Base price1]]*Tabla22[[#This Row],[Req.]],0)</f>
        <v>36737.279999999999</v>
      </c>
      <c r="L343" s="73">
        <f>IF(Tabla22[[#This Row],[Req.2]]&gt;0,LOOKUP(Tabla22[[#This Row],[Product2]],$R$18:$R$23,$T$18:$T$23)*Tabla22[[#This Row],[Base price2]]*Tabla22[[#This Row],[Req.2]]*Tabla22[[#This Row],[QualityBonus]],0)</f>
        <v>24039.584999999999</v>
      </c>
      <c r="M343" s="73">
        <f>IFERROR((Tabla22[[#This Row],[Base price1]]-LOOKUP(Tabla22[[#This Row],[Product]],$R$18:$R$23,$S$18:$S$23))*Tabla22[[#This Row],[Req.]],0)</f>
        <v>32160</v>
      </c>
      <c r="N343" s="73">
        <f>IF(Tabla22[[#This Row],[Req.2]]&gt;0,(Tabla22[[#This Row],[Base price2]]-LOOKUP(Tabla22[[#This Row],[Product2]],$R$18:$R$23,$S$18:$S$23))*Tabla22[[#This Row],[Req.2]],0)</f>
        <v>8571</v>
      </c>
      <c r="O343" s="73">
        <f>SUM(Tabla22[[#This Row],[Bonus1]:[p2]])</f>
        <v>101507.86499999999</v>
      </c>
      <c r="P343" s="73">
        <f>IF(Tabla22[[#This Row],[QualityBonus]]&gt;0,Tabla22[[#This Row],[No wages]]-$C$4,"")</f>
        <v>53645.580761557765</v>
      </c>
    </row>
    <row r="344" spans="1:16" x14ac:dyDescent="0.25">
      <c r="A344" s="13">
        <v>328</v>
      </c>
      <c r="B344" s="13" t="s">
        <v>13</v>
      </c>
      <c r="C344" s="66">
        <v>1.14E-2</v>
      </c>
      <c r="D344" s="2" t="s">
        <v>53</v>
      </c>
      <c r="E344" s="73">
        <v>40595</v>
      </c>
      <c r="F344" s="5">
        <v>3</v>
      </c>
      <c r="G344" s="2"/>
      <c r="H344" s="73"/>
      <c r="I344" s="5"/>
      <c r="J344" s="74">
        <f>Tabla22[[#This Row],[Base price1]]*Tabla22[[#This Row],[Req.]]+Tabla22[[#This Row],[Base price2]]*Tabla22[[#This Row],[Req.2]]</f>
        <v>121785</v>
      </c>
      <c r="K344" s="73">
        <f>IFERROR(LOOKUP(Tabla22[[#This Row],[Product]],$R$18:$R$23,$T$18:$T$23)*Tabla22[[#This Row],[QualityBonus]]*Tabla22[[#This Row],[Base price1]]*Tabla22[[#This Row],[Req.]],0)</f>
        <v>5553.3960000000006</v>
      </c>
      <c r="L344" s="73">
        <f>IF(Tabla22[[#This Row],[Req.2]]&gt;0,LOOKUP(Tabla22[[#This Row],[Product2]],$R$18:$R$23,$T$18:$T$23)*Tabla22[[#This Row],[Base price2]]*Tabla22[[#This Row],[Req.2]]*Tabla22[[#This Row],[QualityBonus]],0)</f>
        <v>0</v>
      </c>
      <c r="M344" s="73">
        <f>IFERROR((Tabla22[[#This Row],[Base price1]]-LOOKUP(Tabla22[[#This Row],[Product]],$R$18:$R$23,$S$18:$S$23))*Tabla22[[#This Row],[Req.]],0)</f>
        <v>19785</v>
      </c>
      <c r="N344" s="73">
        <f>IF(Tabla22[[#This Row],[Req.2]]&gt;0,(Tabla22[[#This Row],[Base price2]]-LOOKUP(Tabla22[[#This Row],[Product2]],$R$18:$R$23,$S$18:$S$23))*Tabla22[[#This Row],[Req.2]],0)</f>
        <v>0</v>
      </c>
      <c r="O344" s="73">
        <f>SUM(Tabla22[[#This Row],[Bonus1]:[p2]])</f>
        <v>25338.396000000001</v>
      </c>
      <c r="P344" s="73">
        <f>IF(Tabla22[[#This Row],[QualityBonus]]&gt;0,Tabla22[[#This Row],[No wages]]-$C$4,"")</f>
        <v>-22523.888238442225</v>
      </c>
    </row>
    <row r="345" spans="1:16" x14ac:dyDescent="0.25">
      <c r="A345" s="13">
        <v>329</v>
      </c>
      <c r="B345" s="13" t="s">
        <v>13</v>
      </c>
      <c r="C345" s="66">
        <v>2.1899999999999999E-2</v>
      </c>
      <c r="D345" s="2" t="s">
        <v>53</v>
      </c>
      <c r="E345" s="73">
        <v>40188</v>
      </c>
      <c r="F345" s="5">
        <v>5</v>
      </c>
      <c r="G345" s="2"/>
      <c r="H345" s="73"/>
      <c r="I345" s="5"/>
      <c r="J345" s="74">
        <f>Tabla22[[#This Row],[Base price1]]*Tabla22[[#This Row],[Req.]]+Tabla22[[#This Row],[Base price2]]*Tabla22[[#This Row],[Req.2]]</f>
        <v>200940</v>
      </c>
      <c r="K345" s="73">
        <f>IFERROR(LOOKUP(Tabla22[[#This Row],[Product]],$R$18:$R$23,$T$18:$T$23)*Tabla22[[#This Row],[QualityBonus]]*Tabla22[[#This Row],[Base price1]]*Tabla22[[#This Row],[Req.]],0)</f>
        <v>17602.344000000001</v>
      </c>
      <c r="L345" s="73">
        <f>IF(Tabla22[[#This Row],[Req.2]]&gt;0,LOOKUP(Tabla22[[#This Row],[Product2]],$R$18:$R$23,$T$18:$T$23)*Tabla22[[#This Row],[Base price2]]*Tabla22[[#This Row],[Req.2]]*Tabla22[[#This Row],[QualityBonus]],0)</f>
        <v>0</v>
      </c>
      <c r="M345" s="73">
        <f>IFERROR((Tabla22[[#This Row],[Base price1]]-LOOKUP(Tabla22[[#This Row],[Product]],$R$18:$R$23,$S$18:$S$23))*Tabla22[[#This Row],[Req.]],0)</f>
        <v>30940</v>
      </c>
      <c r="N345" s="73">
        <f>IF(Tabla22[[#This Row],[Req.2]]&gt;0,(Tabla22[[#This Row],[Base price2]]-LOOKUP(Tabla22[[#This Row],[Product2]],$R$18:$R$23,$S$18:$S$23))*Tabla22[[#This Row],[Req.2]],0)</f>
        <v>0</v>
      </c>
      <c r="O345" s="73">
        <f>SUM(Tabla22[[#This Row],[Bonus1]:[p2]])</f>
        <v>48542.343999999997</v>
      </c>
      <c r="P345" s="73">
        <f>IF(Tabla22[[#This Row],[QualityBonus]]&gt;0,Tabla22[[#This Row],[No wages]]-$C$4,"")</f>
        <v>680.05976155777171</v>
      </c>
    </row>
    <row r="346" spans="1:16" x14ac:dyDescent="0.25">
      <c r="A346" s="13">
        <v>330</v>
      </c>
      <c r="B346" s="13" t="s">
        <v>13</v>
      </c>
      <c r="C346" s="66">
        <v>2.5100000000000001E-2</v>
      </c>
      <c r="D346" s="2" t="s">
        <v>52</v>
      </c>
      <c r="E346" s="73">
        <v>120648</v>
      </c>
      <c r="F346" s="5">
        <v>2</v>
      </c>
      <c r="G346" s="2" t="s">
        <v>57</v>
      </c>
      <c r="H346" s="73">
        <v>85936</v>
      </c>
      <c r="I346" s="5">
        <v>3</v>
      </c>
      <c r="J346" s="74">
        <f>Tabla22[[#This Row],[Base price1]]*Tabla22[[#This Row],[Req.]]+Tabla22[[#This Row],[Base price2]]*Tabla22[[#This Row],[Req.2]]</f>
        <v>499104</v>
      </c>
      <c r="K346" s="73">
        <f>IFERROR(LOOKUP(Tabla22[[#This Row],[Product]],$R$18:$R$23,$T$18:$T$23)*Tabla22[[#This Row],[QualityBonus]]*Tabla22[[#This Row],[Base price1]]*Tabla22[[#This Row],[Req.]],0)</f>
        <v>36339.177600000003</v>
      </c>
      <c r="L346" s="73">
        <f>IF(Tabla22[[#This Row],[Req.2]]&gt;0,LOOKUP(Tabla22[[#This Row],[Product2]],$R$18:$R$23,$T$18:$T$23)*Tabla22[[#This Row],[Base price2]]*Tabla22[[#This Row],[Req.2]]*Tabla22[[#This Row],[QualityBonus]],0)</f>
        <v>25883.923200000001</v>
      </c>
      <c r="M346" s="73">
        <f>IFERROR((Tabla22[[#This Row],[Base price1]]-LOOKUP(Tabla22[[#This Row],[Product]],$R$18:$R$23,$S$18:$S$23))*Tabla22[[#This Row],[Req.]],0)</f>
        <v>9296</v>
      </c>
      <c r="N346" s="73">
        <f>IF(Tabla22[[#This Row],[Req.2]]&gt;0,(Tabla22[[#This Row],[Base price2]]-LOOKUP(Tabla22[[#This Row],[Product2]],$R$18:$R$23,$S$18:$S$23))*Tabla22[[#This Row],[Req.2]],0)</f>
        <v>26808</v>
      </c>
      <c r="O346" s="73">
        <f>SUM(Tabla22[[#This Row],[Bonus1]:[p2]])</f>
        <v>98327.1008</v>
      </c>
      <c r="P346" s="73">
        <f>IF(Tabla22[[#This Row],[QualityBonus]]&gt;0,Tabla22[[#This Row],[No wages]]-$C$4,"")</f>
        <v>50464.816561557775</v>
      </c>
    </row>
    <row r="347" spans="1:16" x14ac:dyDescent="0.25">
      <c r="A347" s="13">
        <v>331</v>
      </c>
      <c r="B347" s="13" t="s">
        <v>13</v>
      </c>
      <c r="C347" s="66">
        <v>1.3299999999999999E-2</v>
      </c>
      <c r="D347" s="2" t="s">
        <v>55</v>
      </c>
      <c r="E347" s="73">
        <v>85915</v>
      </c>
      <c r="F347" s="5">
        <v>2</v>
      </c>
      <c r="G347" s="2"/>
      <c r="H347" s="73"/>
      <c r="I347" s="5"/>
      <c r="J347" s="74">
        <f>Tabla22[[#This Row],[Base price1]]*Tabla22[[#This Row],[Req.]]+Tabla22[[#This Row],[Base price2]]*Tabla22[[#This Row],[Req.2]]</f>
        <v>171830</v>
      </c>
      <c r="K347" s="73">
        <f>IFERROR(LOOKUP(Tabla22[[#This Row],[Product]],$R$18:$R$23,$T$18:$T$23)*Tabla22[[#This Row],[QualityBonus]]*Tabla22[[#This Row],[Base price1]]*Tabla22[[#This Row],[Req.]],0)</f>
        <v>9141.3559999999998</v>
      </c>
      <c r="L347" s="73">
        <f>IF(Tabla22[[#This Row],[Req.2]]&gt;0,LOOKUP(Tabla22[[#This Row],[Product2]],$R$18:$R$23,$T$18:$T$23)*Tabla22[[#This Row],[Base price2]]*Tabla22[[#This Row],[Req.2]]*Tabla22[[#This Row],[QualityBonus]],0)</f>
        <v>0</v>
      </c>
      <c r="M347" s="73">
        <f>IFERROR((Tabla22[[#This Row],[Base price1]]-LOOKUP(Tabla22[[#This Row],[Product]],$R$18:$R$23,$S$18:$S$23))*Tabla22[[#This Row],[Req.]],0)</f>
        <v>17830</v>
      </c>
      <c r="N347" s="73">
        <f>IF(Tabla22[[#This Row],[Req.2]]&gt;0,(Tabla22[[#This Row],[Base price2]]-LOOKUP(Tabla22[[#This Row],[Product2]],$R$18:$R$23,$S$18:$S$23))*Tabla22[[#This Row],[Req.2]],0)</f>
        <v>0</v>
      </c>
      <c r="O347" s="73">
        <f>SUM(Tabla22[[#This Row],[Bonus1]:[p2]])</f>
        <v>26971.356</v>
      </c>
      <c r="P347" s="73">
        <f>IF(Tabla22[[#This Row],[QualityBonus]]&gt;0,Tabla22[[#This Row],[No wages]]-$C$4,"")</f>
        <v>-20890.928238442226</v>
      </c>
    </row>
    <row r="348" spans="1:16" x14ac:dyDescent="0.25">
      <c r="A348" s="13">
        <v>332</v>
      </c>
      <c r="B348" s="13" t="s">
        <v>13</v>
      </c>
      <c r="C348" s="66">
        <v>2.12E-2</v>
      </c>
      <c r="D348" s="2" t="s">
        <v>55</v>
      </c>
      <c r="E348" s="73">
        <v>86372</v>
      </c>
      <c r="F348" s="5">
        <v>4</v>
      </c>
      <c r="G348" s="2" t="s">
        <v>53</v>
      </c>
      <c r="H348" s="73">
        <v>41934</v>
      </c>
      <c r="I348" s="5">
        <v>5</v>
      </c>
      <c r="J348" s="74">
        <f>Tabla22[[#This Row],[Base price1]]*Tabla22[[#This Row],[Req.]]+Tabla22[[#This Row],[Base price2]]*Tabla22[[#This Row],[Req.2]]</f>
        <v>555158</v>
      </c>
      <c r="K348" s="73">
        <f>IFERROR(LOOKUP(Tabla22[[#This Row],[Product]],$R$18:$R$23,$T$18:$T$23)*Tabla22[[#This Row],[QualityBonus]]*Tabla22[[#This Row],[Base price1]]*Tabla22[[#This Row],[Req.]],0)</f>
        <v>29297.382399999999</v>
      </c>
      <c r="L348" s="73">
        <f>IF(Tabla22[[#This Row],[Req.2]]&gt;0,LOOKUP(Tabla22[[#This Row],[Product2]],$R$18:$R$23,$T$18:$T$23)*Tabla22[[#This Row],[Base price2]]*Tabla22[[#This Row],[Req.2]]*Tabla22[[#This Row],[QualityBonus]],0)</f>
        <v>17780.016</v>
      </c>
      <c r="M348" s="73">
        <f>IFERROR((Tabla22[[#This Row],[Base price1]]-LOOKUP(Tabla22[[#This Row],[Product]],$R$18:$R$23,$S$18:$S$23))*Tabla22[[#This Row],[Req.]],0)</f>
        <v>37488</v>
      </c>
      <c r="N348" s="73">
        <f>IF(Tabla22[[#This Row],[Req.2]]&gt;0,(Tabla22[[#This Row],[Base price2]]-LOOKUP(Tabla22[[#This Row],[Product2]],$R$18:$R$23,$S$18:$S$23))*Tabla22[[#This Row],[Req.2]],0)</f>
        <v>39670</v>
      </c>
      <c r="O348" s="73">
        <f>SUM(Tabla22[[#This Row],[Bonus1]:[p2]])</f>
        <v>124235.39840000001</v>
      </c>
      <c r="P348" s="73">
        <f>IF(Tabla22[[#This Row],[QualityBonus]]&gt;0,Tabla22[[#This Row],[No wages]]-$C$4,"")</f>
        <v>76373.11416155778</v>
      </c>
    </row>
    <row r="349" spans="1:16" x14ac:dyDescent="0.25">
      <c r="A349" s="13">
        <v>333</v>
      </c>
      <c r="B349" s="13" t="s">
        <v>13</v>
      </c>
      <c r="C349" s="66">
        <v>2.12E-2</v>
      </c>
      <c r="D349" s="2" t="s">
        <v>54</v>
      </c>
      <c r="E349" s="73">
        <v>62537</v>
      </c>
      <c r="F349" s="5">
        <v>4</v>
      </c>
      <c r="G349" s="2"/>
      <c r="H349" s="73"/>
      <c r="I349" s="5"/>
      <c r="J349" s="74">
        <f>Tabla22[[#This Row],[Base price1]]*Tabla22[[#This Row],[Req.]]+Tabla22[[#This Row],[Base price2]]*Tabla22[[#This Row],[Req.2]]</f>
        <v>250148</v>
      </c>
      <c r="K349" s="73">
        <f>IFERROR(LOOKUP(Tabla22[[#This Row],[Product]],$R$18:$R$23,$T$18:$T$23)*Tabla22[[#This Row],[QualityBonus]]*Tabla22[[#This Row],[Base price1]]*Tabla22[[#This Row],[Req.]],0)</f>
        <v>26515.687999999998</v>
      </c>
      <c r="L349" s="73">
        <f>IF(Tabla22[[#This Row],[Req.2]]&gt;0,LOOKUP(Tabla22[[#This Row],[Product2]],$R$18:$R$23,$T$18:$T$23)*Tabla22[[#This Row],[Base price2]]*Tabla22[[#This Row],[Req.2]]*Tabla22[[#This Row],[QualityBonus]],0)</f>
        <v>0</v>
      </c>
      <c r="M349" s="73">
        <f>IFERROR((Tabla22[[#This Row],[Base price1]]-LOOKUP(Tabla22[[#This Row],[Product]],$R$18:$R$23,$S$18:$S$23))*Tabla22[[#This Row],[Req.]],0)</f>
        <v>24148</v>
      </c>
      <c r="N349" s="73">
        <f>IF(Tabla22[[#This Row],[Req.2]]&gt;0,(Tabla22[[#This Row],[Base price2]]-LOOKUP(Tabla22[[#This Row],[Product2]],$R$18:$R$23,$S$18:$S$23))*Tabla22[[#This Row],[Req.2]],0)</f>
        <v>0</v>
      </c>
      <c r="O349" s="73">
        <f>SUM(Tabla22[[#This Row],[Bonus1]:[p2]])</f>
        <v>50663.687999999995</v>
      </c>
      <c r="P349" s="73">
        <f>IF(Tabla22[[#This Row],[QualityBonus]]&gt;0,Tabla22[[#This Row],[No wages]]-$C$4,"")</f>
        <v>2801.403761557769</v>
      </c>
    </row>
    <row r="350" spans="1:16" x14ac:dyDescent="0.25">
      <c r="A350" s="13">
        <v>334</v>
      </c>
      <c r="B350" s="13" t="s">
        <v>13</v>
      </c>
      <c r="C350" s="66">
        <v>2.0799999999999999E-2</v>
      </c>
      <c r="D350" s="2" t="s">
        <v>52</v>
      </c>
      <c r="E350" s="73">
        <v>121147</v>
      </c>
      <c r="F350" s="5">
        <v>1</v>
      </c>
      <c r="G350" s="2" t="s">
        <v>54</v>
      </c>
      <c r="H350" s="73">
        <v>61938</v>
      </c>
      <c r="I350" s="5">
        <v>4</v>
      </c>
      <c r="J350" s="74">
        <f>Tabla22[[#This Row],[Base price1]]*Tabla22[[#This Row],[Req.]]+Tabla22[[#This Row],[Base price2]]*Tabla22[[#This Row],[Req.2]]</f>
        <v>368899</v>
      </c>
      <c r="K350" s="73">
        <f>IFERROR(LOOKUP(Tabla22[[#This Row],[Product]],$R$18:$R$23,$T$18:$T$23)*Tabla22[[#This Row],[QualityBonus]]*Tabla22[[#This Row],[Base price1]]*Tabla22[[#This Row],[Req.]],0)</f>
        <v>15119.1456</v>
      </c>
      <c r="L350" s="73">
        <f>IF(Tabla22[[#This Row],[Req.2]]&gt;0,LOOKUP(Tabla22[[#This Row],[Product2]],$R$18:$R$23,$T$18:$T$23)*Tabla22[[#This Row],[Base price2]]*Tabla22[[#This Row],[Req.2]]*Tabla22[[#This Row],[QualityBonus]],0)</f>
        <v>25766.207999999999</v>
      </c>
      <c r="M350" s="73">
        <f>IFERROR((Tabla22[[#This Row],[Base price1]]-LOOKUP(Tabla22[[#This Row],[Product]],$R$18:$R$23,$S$18:$S$23))*Tabla22[[#This Row],[Req.]],0)</f>
        <v>5147</v>
      </c>
      <c r="N350" s="73">
        <f>IF(Tabla22[[#This Row],[Req.2]]&gt;0,(Tabla22[[#This Row],[Base price2]]-LOOKUP(Tabla22[[#This Row],[Product2]],$R$18:$R$23,$S$18:$S$23))*Tabla22[[#This Row],[Req.2]],0)</f>
        <v>21752</v>
      </c>
      <c r="O350" s="73">
        <f>SUM(Tabla22[[#This Row],[Bonus1]:[p2]])</f>
        <v>67784.353600000002</v>
      </c>
      <c r="P350" s="73">
        <f>IF(Tabla22[[#This Row],[QualityBonus]]&gt;0,Tabla22[[#This Row],[No wages]]-$C$4,"")</f>
        <v>19922.069361557777</v>
      </c>
    </row>
    <row r="351" spans="1:16" x14ac:dyDescent="0.25">
      <c r="A351" s="13">
        <v>335</v>
      </c>
      <c r="B351" s="13" t="s">
        <v>13</v>
      </c>
      <c r="C351" s="66">
        <v>2.7699999999999999E-2</v>
      </c>
      <c r="D351" s="2" t="s">
        <v>27</v>
      </c>
      <c r="E351" s="73">
        <v>815713</v>
      </c>
      <c r="F351" s="5">
        <v>3</v>
      </c>
      <c r="G351" s="2" t="s">
        <v>53</v>
      </c>
      <c r="H351" s="73">
        <v>61066</v>
      </c>
      <c r="I351" s="5">
        <v>3</v>
      </c>
      <c r="J351" s="74">
        <f>Tabla22[[#This Row],[Base price1]]*Tabla22[[#This Row],[Req.]]+Tabla22[[#This Row],[Base price2]]*Tabla22[[#This Row],[Req.2]]</f>
        <v>2630337</v>
      </c>
      <c r="K351" s="73">
        <f>IFERROR(LOOKUP(Tabla22[[#This Row],[Product]],$R$18:$R$23,$T$18:$T$23)*Tabla22[[#This Row],[QualityBonus]]*Tabla22[[#This Row],[Base price1]]*Tabla22[[#This Row],[Req.]],0)</f>
        <v>406714.50179999997</v>
      </c>
      <c r="L351" s="73">
        <f>IF(Tabla22[[#This Row],[Req.2]]&gt;0,LOOKUP(Tabla22[[#This Row],[Product2]],$R$18:$R$23,$T$18:$T$23)*Tabla22[[#This Row],[Base price2]]*Tabla22[[#This Row],[Req.2]]*Tabla22[[#This Row],[QualityBonus]],0)</f>
        <v>20298.338400000001</v>
      </c>
      <c r="M351" s="73">
        <f>IFERROR((Tabla22[[#This Row],[Base price1]]-LOOKUP(Tabla22[[#This Row],[Product]],$R$18:$R$23,$S$18:$S$23))*Tabla22[[#This Row],[Req.]],0)</f>
        <v>-69861</v>
      </c>
      <c r="N351" s="73">
        <f>IF(Tabla22[[#This Row],[Req.2]]&gt;0,(Tabla22[[#This Row],[Base price2]]-LOOKUP(Tabla22[[#This Row],[Product2]],$R$18:$R$23,$S$18:$S$23))*Tabla22[[#This Row],[Req.2]],0)</f>
        <v>81198</v>
      </c>
      <c r="O351" s="73">
        <f>SUM(Tabla22[[#This Row],[Bonus1]:[p2]])</f>
        <v>438349.84019999998</v>
      </c>
      <c r="P351" s="73">
        <f>IF(Tabla22[[#This Row],[QualityBonus]]&gt;0,Tabla22[[#This Row],[No wages]]-$C$4,"")</f>
        <v>390487.55596155778</v>
      </c>
    </row>
    <row r="352" spans="1:16" x14ac:dyDescent="0.25">
      <c r="A352" s="13">
        <v>336</v>
      </c>
      <c r="B352" s="13" t="s">
        <v>13</v>
      </c>
      <c r="C352" s="66">
        <v>1.8499999999999999E-2</v>
      </c>
      <c r="D352" s="2" t="s">
        <v>53</v>
      </c>
      <c r="E352" s="73">
        <v>42362</v>
      </c>
      <c r="F352" s="5">
        <v>5</v>
      </c>
      <c r="G352" s="2" t="s">
        <v>57</v>
      </c>
      <c r="H352" s="73">
        <v>83261</v>
      </c>
      <c r="I352" s="5">
        <v>1</v>
      </c>
      <c r="J352" s="74">
        <f>Tabla22[[#This Row],[Base price1]]*Tabla22[[#This Row],[Req.]]+Tabla22[[#This Row],[Base price2]]*Tabla22[[#This Row],[Req.2]]</f>
        <v>295071</v>
      </c>
      <c r="K352" s="73">
        <f>IFERROR(LOOKUP(Tabla22[[#This Row],[Product]],$R$18:$R$23,$T$18:$T$23)*Tabla22[[#This Row],[QualityBonus]]*Tabla22[[#This Row],[Base price1]]*Tabla22[[#This Row],[Req.]],0)</f>
        <v>15673.94</v>
      </c>
      <c r="L352" s="73">
        <f>IF(Tabla22[[#This Row],[Req.2]]&gt;0,LOOKUP(Tabla22[[#This Row],[Product2]],$R$18:$R$23,$T$18:$T$23)*Tabla22[[#This Row],[Base price2]]*Tabla22[[#This Row],[Req.2]]*Tabla22[[#This Row],[QualityBonus]],0)</f>
        <v>6161.3139999999994</v>
      </c>
      <c r="M352" s="73">
        <f>IFERROR((Tabla22[[#This Row],[Base price1]]-LOOKUP(Tabla22[[#This Row],[Product]],$R$18:$R$23,$S$18:$S$23))*Tabla22[[#This Row],[Req.]],0)</f>
        <v>41810</v>
      </c>
      <c r="N352" s="73">
        <f>IF(Tabla22[[#This Row],[Req.2]]&gt;0,(Tabla22[[#This Row],[Base price2]]-LOOKUP(Tabla22[[#This Row],[Product2]],$R$18:$R$23,$S$18:$S$23))*Tabla22[[#This Row],[Req.2]],0)</f>
        <v>6261</v>
      </c>
      <c r="O352" s="73">
        <f>SUM(Tabla22[[#This Row],[Bonus1]:[p2]])</f>
        <v>69906.254000000001</v>
      </c>
      <c r="P352" s="73">
        <f>IF(Tabla22[[#This Row],[QualityBonus]]&gt;0,Tabla22[[#This Row],[No wages]]-$C$4,"")</f>
        <v>22043.969761557775</v>
      </c>
    </row>
    <row r="353" spans="1:16" x14ac:dyDescent="0.25">
      <c r="A353" s="13">
        <v>337</v>
      </c>
      <c r="B353" s="13" t="s">
        <v>13</v>
      </c>
      <c r="C353" s="66">
        <v>1.34E-2</v>
      </c>
      <c r="D353" s="2" t="s">
        <v>55</v>
      </c>
      <c r="E353" s="73">
        <v>84814</v>
      </c>
      <c r="F353" s="5">
        <v>3</v>
      </c>
      <c r="G353" s="2" t="s">
        <v>52</v>
      </c>
      <c r="H353" s="73">
        <v>118737</v>
      </c>
      <c r="I353" s="5">
        <v>2</v>
      </c>
      <c r="J353" s="74">
        <f>Tabla22[[#This Row],[Base price1]]*Tabla22[[#This Row],[Req.]]+Tabla22[[#This Row],[Base price2]]*Tabla22[[#This Row],[Req.2]]</f>
        <v>491916</v>
      </c>
      <c r="K353" s="73">
        <f>IFERROR(LOOKUP(Tabla22[[#This Row],[Product]],$R$18:$R$23,$T$18:$T$23)*Tabla22[[#This Row],[QualityBonus]]*Tabla22[[#This Row],[Base price1]]*Tabla22[[#This Row],[Req.]],0)</f>
        <v>13638.091200000003</v>
      </c>
      <c r="L353" s="73">
        <f>IF(Tabla22[[#This Row],[Req.2]]&gt;0,LOOKUP(Tabla22[[#This Row],[Product2]],$R$18:$R$23,$T$18:$T$23)*Tabla22[[#This Row],[Base price2]]*Tabla22[[#This Row],[Req.2]]*Tabla22[[#This Row],[QualityBonus]],0)</f>
        <v>19092.909599999999</v>
      </c>
      <c r="M353" s="73">
        <f>IFERROR((Tabla22[[#This Row],[Base price1]]-LOOKUP(Tabla22[[#This Row],[Product]],$R$18:$R$23,$S$18:$S$23))*Tabla22[[#This Row],[Req.]],0)</f>
        <v>23442</v>
      </c>
      <c r="N353" s="73">
        <f>IF(Tabla22[[#This Row],[Req.2]]&gt;0,(Tabla22[[#This Row],[Base price2]]-LOOKUP(Tabla22[[#This Row],[Product2]],$R$18:$R$23,$S$18:$S$23))*Tabla22[[#This Row],[Req.2]],0)</f>
        <v>5474</v>
      </c>
      <c r="O353" s="73">
        <f>SUM(Tabla22[[#This Row],[Bonus1]:[p2]])</f>
        <v>61647.000800000002</v>
      </c>
      <c r="P353" s="73">
        <f>IF(Tabla22[[#This Row],[QualityBonus]]&gt;0,Tabla22[[#This Row],[No wages]]-$C$4,"")</f>
        <v>13784.716561557776</v>
      </c>
    </row>
    <row r="354" spans="1:16" x14ac:dyDescent="0.25">
      <c r="A354" s="13">
        <v>338</v>
      </c>
      <c r="B354" s="13" t="s">
        <v>13</v>
      </c>
      <c r="C354" s="66">
        <v>1.24E-2</v>
      </c>
      <c r="D354" s="2" t="s">
        <v>54</v>
      </c>
      <c r="E354" s="73">
        <v>61492</v>
      </c>
      <c r="F354" s="5">
        <v>4</v>
      </c>
      <c r="G354" s="2" t="s">
        <v>53</v>
      </c>
      <c r="H354" s="73">
        <v>42469</v>
      </c>
      <c r="I354" s="5">
        <v>3</v>
      </c>
      <c r="J354" s="74">
        <f>Tabla22[[#This Row],[Base price1]]*Tabla22[[#This Row],[Req.]]+Tabla22[[#This Row],[Base price2]]*Tabla22[[#This Row],[Req.2]]</f>
        <v>373375</v>
      </c>
      <c r="K354" s="73">
        <f>IFERROR(LOOKUP(Tabla22[[#This Row],[Product]],$R$18:$R$23,$T$18:$T$23)*Tabla22[[#This Row],[QualityBonus]]*Tabla22[[#This Row],[Base price1]]*Tabla22[[#This Row],[Req.]],0)</f>
        <v>15250.016</v>
      </c>
      <c r="L354" s="73">
        <f>IF(Tabla22[[#This Row],[Req.2]]&gt;0,LOOKUP(Tabla22[[#This Row],[Product2]],$R$18:$R$23,$T$18:$T$23)*Tabla22[[#This Row],[Base price2]]*Tabla22[[#This Row],[Req.2]]*Tabla22[[#This Row],[QualityBonus]],0)</f>
        <v>6319.3872000000001</v>
      </c>
      <c r="M354" s="73">
        <f>IFERROR((Tabla22[[#This Row],[Base price1]]-LOOKUP(Tabla22[[#This Row],[Product]],$R$18:$R$23,$S$18:$S$23))*Tabla22[[#This Row],[Req.]],0)</f>
        <v>19968</v>
      </c>
      <c r="N354" s="73">
        <f>IF(Tabla22[[#This Row],[Req.2]]&gt;0,(Tabla22[[#This Row],[Base price2]]-LOOKUP(Tabla22[[#This Row],[Product2]],$R$18:$R$23,$S$18:$S$23))*Tabla22[[#This Row],[Req.2]],0)</f>
        <v>25407</v>
      </c>
      <c r="O354" s="73">
        <f>SUM(Tabla22[[#This Row],[Bonus1]:[p2]])</f>
        <v>66944.403200000001</v>
      </c>
      <c r="P354" s="73">
        <f>IF(Tabla22[[#This Row],[QualityBonus]]&gt;0,Tabla22[[#This Row],[No wages]]-$C$4,"")</f>
        <v>19082.118961557775</v>
      </c>
    </row>
    <row r="355" spans="1:16" x14ac:dyDescent="0.25">
      <c r="A355" s="13">
        <v>339</v>
      </c>
      <c r="B355" s="13" t="s">
        <v>13</v>
      </c>
      <c r="C355" s="66">
        <v>2.35E-2</v>
      </c>
      <c r="D355" s="2" t="s">
        <v>53</v>
      </c>
      <c r="E355" s="73">
        <v>41165</v>
      </c>
      <c r="F355" s="5">
        <v>3</v>
      </c>
      <c r="G355" s="2"/>
      <c r="H355" s="73"/>
      <c r="I355" s="5"/>
      <c r="J355" s="74">
        <f>Tabla22[[#This Row],[Base price1]]*Tabla22[[#This Row],[Req.]]+Tabla22[[#This Row],[Base price2]]*Tabla22[[#This Row],[Req.2]]</f>
        <v>123495</v>
      </c>
      <c r="K355" s="73">
        <f>IFERROR(LOOKUP(Tabla22[[#This Row],[Product]],$R$18:$R$23,$T$18:$T$23)*Tabla22[[#This Row],[QualityBonus]]*Tabla22[[#This Row],[Base price1]]*Tabla22[[#This Row],[Req.]],0)</f>
        <v>11608.53</v>
      </c>
      <c r="L355" s="73">
        <f>IF(Tabla22[[#This Row],[Req.2]]&gt;0,LOOKUP(Tabla22[[#This Row],[Product2]],$R$18:$R$23,$T$18:$T$23)*Tabla22[[#This Row],[Base price2]]*Tabla22[[#This Row],[Req.2]]*Tabla22[[#This Row],[QualityBonus]],0)</f>
        <v>0</v>
      </c>
      <c r="M355" s="73">
        <f>IFERROR((Tabla22[[#This Row],[Base price1]]-LOOKUP(Tabla22[[#This Row],[Product]],$R$18:$R$23,$S$18:$S$23))*Tabla22[[#This Row],[Req.]],0)</f>
        <v>21495</v>
      </c>
      <c r="N355" s="73">
        <f>IF(Tabla22[[#This Row],[Req.2]]&gt;0,(Tabla22[[#This Row],[Base price2]]-LOOKUP(Tabla22[[#This Row],[Product2]],$R$18:$R$23,$S$18:$S$23))*Tabla22[[#This Row],[Req.2]],0)</f>
        <v>0</v>
      </c>
      <c r="O355" s="73">
        <f>SUM(Tabla22[[#This Row],[Bonus1]:[p2]])</f>
        <v>33103.53</v>
      </c>
      <c r="P355" s="73">
        <f>IF(Tabla22[[#This Row],[QualityBonus]]&gt;0,Tabla22[[#This Row],[No wages]]-$C$4,"")</f>
        <v>-14758.754238442227</v>
      </c>
    </row>
    <row r="356" spans="1:16" x14ac:dyDescent="0.25">
      <c r="A356" s="13">
        <v>340</v>
      </c>
      <c r="B356" s="13" t="s">
        <v>13</v>
      </c>
      <c r="C356" s="66">
        <v>1.6299999999999999E-2</v>
      </c>
      <c r="D356" s="2" t="s">
        <v>52</v>
      </c>
      <c r="E356" s="73">
        <v>122771</v>
      </c>
      <c r="F356" s="5">
        <v>3</v>
      </c>
      <c r="G356" s="2" t="s">
        <v>57</v>
      </c>
      <c r="H356" s="73">
        <v>80964</v>
      </c>
      <c r="I356" s="5">
        <v>2</v>
      </c>
      <c r="J356" s="74">
        <f>Tabla22[[#This Row],[Base price1]]*Tabla22[[#This Row],[Req.]]+Tabla22[[#This Row],[Base price2]]*Tabla22[[#This Row],[Req.2]]</f>
        <v>530241</v>
      </c>
      <c r="K356" s="73">
        <f>IFERROR(LOOKUP(Tabla22[[#This Row],[Product]],$R$18:$R$23,$T$18:$T$23)*Tabla22[[#This Row],[QualityBonus]]*Tabla22[[#This Row],[Base price1]]*Tabla22[[#This Row],[Req.]],0)</f>
        <v>36021.011400000003</v>
      </c>
      <c r="L356" s="73">
        <f>IF(Tabla22[[#This Row],[Req.2]]&gt;0,LOOKUP(Tabla22[[#This Row],[Product2]],$R$18:$R$23,$T$18:$T$23)*Tabla22[[#This Row],[Base price2]]*Tabla22[[#This Row],[Req.2]]*Tabla22[[#This Row],[QualityBonus]],0)</f>
        <v>10557.705599999999</v>
      </c>
      <c r="M356" s="73">
        <f>IFERROR((Tabla22[[#This Row],[Base price1]]-LOOKUP(Tabla22[[#This Row],[Product]],$R$18:$R$23,$S$18:$S$23))*Tabla22[[#This Row],[Req.]],0)</f>
        <v>20313</v>
      </c>
      <c r="N356" s="73">
        <f>IF(Tabla22[[#This Row],[Req.2]]&gt;0,(Tabla22[[#This Row],[Base price2]]-LOOKUP(Tabla22[[#This Row],[Product2]],$R$18:$R$23,$S$18:$S$23))*Tabla22[[#This Row],[Req.2]],0)</f>
        <v>7928</v>
      </c>
      <c r="O356" s="73">
        <f>SUM(Tabla22[[#This Row],[Bonus1]:[p2]])</f>
        <v>74819.717000000004</v>
      </c>
      <c r="P356" s="73">
        <f>IF(Tabla22[[#This Row],[QualityBonus]]&gt;0,Tabla22[[#This Row],[No wages]]-$C$4,"")</f>
        <v>26957.432761557779</v>
      </c>
    </row>
    <row r="357" spans="1:16" x14ac:dyDescent="0.25">
      <c r="A357" s="13">
        <v>341</v>
      </c>
      <c r="B357" s="13" t="s">
        <v>13</v>
      </c>
      <c r="C357" s="66">
        <v>2.5100000000000001E-2</v>
      </c>
      <c r="D357" s="2" t="s">
        <v>52</v>
      </c>
      <c r="E357" s="73">
        <v>117176</v>
      </c>
      <c r="F357" s="5">
        <v>4</v>
      </c>
      <c r="G357" s="2" t="s">
        <v>53</v>
      </c>
      <c r="H357" s="73">
        <v>40496</v>
      </c>
      <c r="I357" s="5">
        <v>4</v>
      </c>
      <c r="J357" s="74">
        <f>Tabla22[[#This Row],[Base price1]]*Tabla22[[#This Row],[Req.]]+Tabla22[[#This Row],[Base price2]]*Tabla22[[#This Row],[Req.2]]</f>
        <v>630688</v>
      </c>
      <c r="K357" s="73">
        <f>IFERROR(LOOKUP(Tabla22[[#This Row],[Product]],$R$18:$R$23,$T$18:$T$23)*Tabla22[[#This Row],[QualityBonus]]*Tabla22[[#This Row],[Base price1]]*Tabla22[[#This Row],[Req.]],0)</f>
        <v>70586.822400000005</v>
      </c>
      <c r="L357" s="73">
        <f>IF(Tabla22[[#This Row],[Req.2]]&gt;0,LOOKUP(Tabla22[[#This Row],[Product2]],$R$18:$R$23,$T$18:$T$23)*Tabla22[[#This Row],[Base price2]]*Tabla22[[#This Row],[Req.2]]*Tabla22[[#This Row],[QualityBonus]],0)</f>
        <v>16263.193600000001</v>
      </c>
      <c r="M357" s="73">
        <f>IFERROR((Tabla22[[#This Row],[Base price1]]-LOOKUP(Tabla22[[#This Row],[Product]],$R$18:$R$23,$S$18:$S$23))*Tabla22[[#This Row],[Req.]],0)</f>
        <v>4704</v>
      </c>
      <c r="N357" s="73">
        <f>IF(Tabla22[[#This Row],[Req.2]]&gt;0,(Tabla22[[#This Row],[Base price2]]-LOOKUP(Tabla22[[#This Row],[Product2]],$R$18:$R$23,$S$18:$S$23))*Tabla22[[#This Row],[Req.2]],0)</f>
        <v>25984</v>
      </c>
      <c r="O357" s="73">
        <f>SUM(Tabla22[[#This Row],[Bonus1]:[p2]])</f>
        <v>117538.016</v>
      </c>
      <c r="P357" s="73">
        <f>IF(Tabla22[[#This Row],[QualityBonus]]&gt;0,Tabla22[[#This Row],[No wages]]-$C$4,"")</f>
        <v>69675.731761557778</v>
      </c>
    </row>
    <row r="358" spans="1:16" x14ac:dyDescent="0.25">
      <c r="A358" s="13">
        <v>342</v>
      </c>
      <c r="B358" s="13" t="s">
        <v>13</v>
      </c>
      <c r="C358" s="66">
        <v>2.01E-2</v>
      </c>
      <c r="D358" s="2" t="s">
        <v>53</v>
      </c>
      <c r="E358" s="73">
        <v>42219</v>
      </c>
      <c r="F358" s="5">
        <v>5</v>
      </c>
      <c r="G358" s="2"/>
      <c r="H358" s="73"/>
      <c r="I358" s="5"/>
      <c r="J358" s="74">
        <f>Tabla22[[#This Row],[Base price1]]*Tabla22[[#This Row],[Req.]]+Tabla22[[#This Row],[Base price2]]*Tabla22[[#This Row],[Req.2]]</f>
        <v>211095</v>
      </c>
      <c r="K358" s="73">
        <f>IFERROR(LOOKUP(Tabla22[[#This Row],[Product]],$R$18:$R$23,$T$18:$T$23)*Tabla22[[#This Row],[QualityBonus]]*Tabla22[[#This Row],[Base price1]]*Tabla22[[#This Row],[Req.]],0)</f>
        <v>16972.038</v>
      </c>
      <c r="L358" s="73">
        <f>IF(Tabla22[[#This Row],[Req.2]]&gt;0,LOOKUP(Tabla22[[#This Row],[Product2]],$R$18:$R$23,$T$18:$T$23)*Tabla22[[#This Row],[Base price2]]*Tabla22[[#This Row],[Req.2]]*Tabla22[[#This Row],[QualityBonus]],0)</f>
        <v>0</v>
      </c>
      <c r="M358" s="73">
        <f>IFERROR((Tabla22[[#This Row],[Base price1]]-LOOKUP(Tabla22[[#This Row],[Product]],$R$18:$R$23,$S$18:$S$23))*Tabla22[[#This Row],[Req.]],0)</f>
        <v>41095</v>
      </c>
      <c r="N358" s="73">
        <f>IF(Tabla22[[#This Row],[Req.2]]&gt;0,(Tabla22[[#This Row],[Base price2]]-LOOKUP(Tabla22[[#This Row],[Product2]],$R$18:$R$23,$S$18:$S$23))*Tabla22[[#This Row],[Req.2]],0)</f>
        <v>0</v>
      </c>
      <c r="O358" s="73">
        <f>SUM(Tabla22[[#This Row],[Bonus1]:[p2]])</f>
        <v>58067.038</v>
      </c>
      <c r="P358" s="73">
        <f>IF(Tabla22[[#This Row],[QualityBonus]]&gt;0,Tabla22[[#This Row],[No wages]]-$C$4,"")</f>
        <v>10204.753761557775</v>
      </c>
    </row>
    <row r="359" spans="1:16" x14ac:dyDescent="0.25">
      <c r="A359" s="13">
        <v>343</v>
      </c>
      <c r="B359" s="13" t="s">
        <v>13</v>
      </c>
      <c r="C359" s="66">
        <v>1.78E-2</v>
      </c>
      <c r="D359" s="2" t="s">
        <v>54</v>
      </c>
      <c r="E359" s="73">
        <v>62671</v>
      </c>
      <c r="F359" s="5">
        <v>1</v>
      </c>
      <c r="G359" s="2" t="s">
        <v>57</v>
      </c>
      <c r="H359" s="73">
        <v>81896</v>
      </c>
      <c r="I359" s="5">
        <v>4</v>
      </c>
      <c r="J359" s="74">
        <f>Tabla22[[#This Row],[Base price1]]*Tabla22[[#This Row],[Req.]]+Tabla22[[#This Row],[Base price2]]*Tabla22[[#This Row],[Req.2]]</f>
        <v>390255</v>
      </c>
      <c r="K359" s="73">
        <f>IFERROR(LOOKUP(Tabla22[[#This Row],[Product]],$R$18:$R$23,$T$18:$T$23)*Tabla22[[#This Row],[QualityBonus]]*Tabla22[[#This Row],[Base price1]]*Tabla22[[#This Row],[Req.]],0)</f>
        <v>5577.7190000000001</v>
      </c>
      <c r="L359" s="73">
        <f>IF(Tabla22[[#This Row],[Req.2]]&gt;0,LOOKUP(Tabla22[[#This Row],[Product2]],$R$18:$R$23,$T$18:$T$23)*Tabla22[[#This Row],[Base price2]]*Tabla22[[#This Row],[Req.2]]*Tabla22[[#This Row],[QualityBonus]],0)</f>
        <v>23323.980800000001</v>
      </c>
      <c r="M359" s="73">
        <f>IFERROR((Tabla22[[#This Row],[Base price1]]-LOOKUP(Tabla22[[#This Row],[Product]],$R$18:$R$23,$S$18:$S$23))*Tabla22[[#This Row],[Req.]],0)</f>
        <v>6171</v>
      </c>
      <c r="N359" s="73">
        <f>IF(Tabla22[[#This Row],[Req.2]]&gt;0,(Tabla22[[#This Row],[Base price2]]-LOOKUP(Tabla22[[#This Row],[Product2]],$R$18:$R$23,$S$18:$S$23))*Tabla22[[#This Row],[Req.2]],0)</f>
        <v>19584</v>
      </c>
      <c r="O359" s="73">
        <f>SUM(Tabla22[[#This Row],[Bonus1]:[p2]])</f>
        <v>54656.699800000002</v>
      </c>
      <c r="P359" s="73">
        <f>IF(Tabla22[[#This Row],[QualityBonus]]&gt;0,Tabla22[[#This Row],[No wages]]-$C$4,"")</f>
        <v>6794.4155615577765</v>
      </c>
    </row>
    <row r="360" spans="1:16" x14ac:dyDescent="0.25">
      <c r="A360" s="13">
        <v>344</v>
      </c>
      <c r="B360" s="13" t="s">
        <v>13</v>
      </c>
      <c r="C360" s="66">
        <v>1.15E-2</v>
      </c>
      <c r="D360" s="2" t="s">
        <v>54</v>
      </c>
      <c r="E360" s="73">
        <v>59989</v>
      </c>
      <c r="F360" s="5">
        <v>1</v>
      </c>
      <c r="G360" s="2"/>
      <c r="H360" s="73"/>
      <c r="I360" s="5"/>
      <c r="J360" s="74">
        <f>Tabla22[[#This Row],[Base price1]]*Tabla22[[#This Row],[Req.]]+Tabla22[[#This Row],[Base price2]]*Tabla22[[#This Row],[Req.2]]</f>
        <v>59989</v>
      </c>
      <c r="K360" s="73">
        <f>IFERROR(LOOKUP(Tabla22[[#This Row],[Product]],$R$18:$R$23,$T$18:$T$23)*Tabla22[[#This Row],[QualityBonus]]*Tabla22[[#This Row],[Base price1]]*Tabla22[[#This Row],[Req.]],0)</f>
        <v>3449.3674999999998</v>
      </c>
      <c r="L360" s="73">
        <f>IF(Tabla22[[#This Row],[Req.2]]&gt;0,LOOKUP(Tabla22[[#This Row],[Product2]],$R$18:$R$23,$T$18:$T$23)*Tabla22[[#This Row],[Base price2]]*Tabla22[[#This Row],[Req.2]]*Tabla22[[#This Row],[QualityBonus]],0)</f>
        <v>0</v>
      </c>
      <c r="M360" s="73">
        <f>IFERROR((Tabla22[[#This Row],[Base price1]]-LOOKUP(Tabla22[[#This Row],[Product]],$R$18:$R$23,$S$18:$S$23))*Tabla22[[#This Row],[Req.]],0)</f>
        <v>3489</v>
      </c>
      <c r="N360" s="73">
        <f>IF(Tabla22[[#This Row],[Req.2]]&gt;0,(Tabla22[[#This Row],[Base price2]]-LOOKUP(Tabla22[[#This Row],[Product2]],$R$18:$R$23,$S$18:$S$23))*Tabla22[[#This Row],[Req.2]],0)</f>
        <v>0</v>
      </c>
      <c r="O360" s="73">
        <f>SUM(Tabla22[[#This Row],[Bonus1]:[p2]])</f>
        <v>6938.3675000000003</v>
      </c>
      <c r="P360" s="73">
        <f>IF(Tabla22[[#This Row],[QualityBonus]]&gt;0,Tabla22[[#This Row],[No wages]]-$C$4,"")</f>
        <v>-40923.916738442225</v>
      </c>
    </row>
    <row r="361" spans="1:16" x14ac:dyDescent="0.25">
      <c r="A361" s="13">
        <v>345</v>
      </c>
      <c r="B361" s="13" t="s">
        <v>13</v>
      </c>
      <c r="C361" s="66">
        <v>1.84E-2</v>
      </c>
      <c r="D361" s="2" t="s">
        <v>54</v>
      </c>
      <c r="E361" s="73">
        <v>61510</v>
      </c>
      <c r="F361" s="5">
        <v>1</v>
      </c>
      <c r="G361" s="2"/>
      <c r="H361" s="73"/>
      <c r="I361" s="5"/>
      <c r="J361" s="74">
        <f>Tabla22[[#This Row],[Base price1]]*Tabla22[[#This Row],[Req.]]+Tabla22[[#This Row],[Base price2]]*Tabla22[[#This Row],[Req.2]]</f>
        <v>61510</v>
      </c>
      <c r="K361" s="73">
        <f>IFERROR(LOOKUP(Tabla22[[#This Row],[Product]],$R$18:$R$23,$T$18:$T$23)*Tabla22[[#This Row],[QualityBonus]]*Tabla22[[#This Row],[Base price1]]*Tabla22[[#This Row],[Req.]],0)</f>
        <v>5658.92</v>
      </c>
      <c r="L361" s="73">
        <f>IF(Tabla22[[#This Row],[Req.2]]&gt;0,LOOKUP(Tabla22[[#This Row],[Product2]],$R$18:$R$23,$T$18:$T$23)*Tabla22[[#This Row],[Base price2]]*Tabla22[[#This Row],[Req.2]]*Tabla22[[#This Row],[QualityBonus]],0)</f>
        <v>0</v>
      </c>
      <c r="M361" s="73">
        <f>IFERROR((Tabla22[[#This Row],[Base price1]]-LOOKUP(Tabla22[[#This Row],[Product]],$R$18:$R$23,$S$18:$S$23))*Tabla22[[#This Row],[Req.]],0)</f>
        <v>5010</v>
      </c>
      <c r="N361" s="73">
        <f>IF(Tabla22[[#This Row],[Req.2]]&gt;0,(Tabla22[[#This Row],[Base price2]]-LOOKUP(Tabla22[[#This Row],[Product2]],$R$18:$R$23,$S$18:$S$23))*Tabla22[[#This Row],[Req.2]],0)</f>
        <v>0</v>
      </c>
      <c r="O361" s="73">
        <f>SUM(Tabla22[[#This Row],[Bonus1]:[p2]])</f>
        <v>10668.92</v>
      </c>
      <c r="P361" s="73">
        <f>IF(Tabla22[[#This Row],[QualityBonus]]&gt;0,Tabla22[[#This Row],[No wages]]-$C$4,"")</f>
        <v>-37193.364238442227</v>
      </c>
    </row>
    <row r="362" spans="1:16" x14ac:dyDescent="0.25">
      <c r="A362" s="13">
        <v>346</v>
      </c>
      <c r="B362" s="13" t="s">
        <v>13</v>
      </c>
      <c r="C362" s="66">
        <v>2.2599999999999999E-2</v>
      </c>
      <c r="D362" s="2" t="s">
        <v>54</v>
      </c>
      <c r="E362" s="73">
        <v>61558</v>
      </c>
      <c r="F362" s="5">
        <v>3</v>
      </c>
      <c r="G362" s="2"/>
      <c r="H362" s="73"/>
      <c r="I362" s="5"/>
      <c r="J362" s="74">
        <f>Tabla22[[#This Row],[Base price1]]*Tabla22[[#This Row],[Req.]]+Tabla22[[#This Row],[Base price2]]*Tabla22[[#This Row],[Req.2]]</f>
        <v>184674</v>
      </c>
      <c r="K362" s="73">
        <f>IFERROR(LOOKUP(Tabla22[[#This Row],[Product]],$R$18:$R$23,$T$18:$T$23)*Tabla22[[#This Row],[QualityBonus]]*Tabla22[[#This Row],[Base price1]]*Tabla22[[#This Row],[Req.]],0)</f>
        <v>20868.161999999997</v>
      </c>
      <c r="L362" s="73">
        <f>IF(Tabla22[[#This Row],[Req.2]]&gt;0,LOOKUP(Tabla22[[#This Row],[Product2]],$R$18:$R$23,$T$18:$T$23)*Tabla22[[#This Row],[Base price2]]*Tabla22[[#This Row],[Req.2]]*Tabla22[[#This Row],[QualityBonus]],0)</f>
        <v>0</v>
      </c>
      <c r="M362" s="73">
        <f>IFERROR((Tabla22[[#This Row],[Base price1]]-LOOKUP(Tabla22[[#This Row],[Product]],$R$18:$R$23,$S$18:$S$23))*Tabla22[[#This Row],[Req.]],0)</f>
        <v>15174</v>
      </c>
      <c r="N362" s="73">
        <f>IF(Tabla22[[#This Row],[Req.2]]&gt;0,(Tabla22[[#This Row],[Base price2]]-LOOKUP(Tabla22[[#This Row],[Product2]],$R$18:$R$23,$S$18:$S$23))*Tabla22[[#This Row],[Req.2]],0)</f>
        <v>0</v>
      </c>
      <c r="O362" s="73">
        <f>SUM(Tabla22[[#This Row],[Bonus1]:[p2]])</f>
        <v>36042.161999999997</v>
      </c>
      <c r="P362" s="73">
        <f>IF(Tabla22[[#This Row],[QualityBonus]]&gt;0,Tabla22[[#This Row],[No wages]]-$C$4,"")</f>
        <v>-11820.122238442229</v>
      </c>
    </row>
    <row r="363" spans="1:16" x14ac:dyDescent="0.25">
      <c r="A363" s="13">
        <v>347</v>
      </c>
      <c r="B363" s="13" t="s">
        <v>13</v>
      </c>
      <c r="C363" s="66">
        <v>1.5100000000000001E-2</v>
      </c>
      <c r="D363" s="2" t="s">
        <v>54</v>
      </c>
      <c r="E363" s="73">
        <v>61120</v>
      </c>
      <c r="F363" s="5">
        <v>4</v>
      </c>
      <c r="G363" s="2" t="s">
        <v>53</v>
      </c>
      <c r="H363" s="73">
        <v>40507</v>
      </c>
      <c r="I363" s="5">
        <v>3</v>
      </c>
      <c r="J363" s="74">
        <f>Tabla22[[#This Row],[Base price1]]*Tabla22[[#This Row],[Req.]]+Tabla22[[#This Row],[Base price2]]*Tabla22[[#This Row],[Req.2]]</f>
        <v>366001</v>
      </c>
      <c r="K363" s="73">
        <f>IFERROR(LOOKUP(Tabla22[[#This Row],[Product]],$R$18:$R$23,$T$18:$T$23)*Tabla22[[#This Row],[QualityBonus]]*Tabla22[[#This Row],[Base price1]]*Tabla22[[#This Row],[Req.]],0)</f>
        <v>18458.239999999998</v>
      </c>
      <c r="L363" s="73">
        <f>IF(Tabla22[[#This Row],[Req.2]]&gt;0,LOOKUP(Tabla22[[#This Row],[Product2]],$R$18:$R$23,$T$18:$T$23)*Tabla22[[#This Row],[Base price2]]*Tabla22[[#This Row],[Req.2]]*Tabla22[[#This Row],[QualityBonus]],0)</f>
        <v>7339.8684000000003</v>
      </c>
      <c r="M363" s="73">
        <f>IFERROR((Tabla22[[#This Row],[Base price1]]-LOOKUP(Tabla22[[#This Row],[Product]],$R$18:$R$23,$S$18:$S$23))*Tabla22[[#This Row],[Req.]],0)</f>
        <v>18480</v>
      </c>
      <c r="N363" s="73">
        <f>IF(Tabla22[[#This Row],[Req.2]]&gt;0,(Tabla22[[#This Row],[Base price2]]-LOOKUP(Tabla22[[#This Row],[Product2]],$R$18:$R$23,$S$18:$S$23))*Tabla22[[#This Row],[Req.2]],0)</f>
        <v>19521</v>
      </c>
      <c r="O363" s="73">
        <f>SUM(Tabla22[[#This Row],[Bonus1]:[p2]])</f>
        <v>63799.108399999997</v>
      </c>
      <c r="P363" s="73">
        <f>IF(Tabla22[[#This Row],[QualityBonus]]&gt;0,Tabla22[[#This Row],[No wages]]-$C$4,"")</f>
        <v>15936.824161557772</v>
      </c>
    </row>
    <row r="364" spans="1:16" x14ac:dyDescent="0.25">
      <c r="A364" s="13">
        <v>348</v>
      </c>
      <c r="B364" s="13" t="s">
        <v>13</v>
      </c>
      <c r="C364" s="66">
        <v>1.5900000000000001E-2</v>
      </c>
      <c r="D364" s="2" t="s">
        <v>52</v>
      </c>
      <c r="E364" s="73">
        <v>116519</v>
      </c>
      <c r="F364" s="5">
        <v>3</v>
      </c>
      <c r="G364" s="2" t="s">
        <v>53</v>
      </c>
      <c r="H364" s="73">
        <v>42300</v>
      </c>
      <c r="I364" s="5">
        <v>2</v>
      </c>
      <c r="J364" s="74">
        <f>Tabla22[[#This Row],[Base price1]]*Tabla22[[#This Row],[Req.]]+Tabla22[[#This Row],[Base price2]]*Tabla22[[#This Row],[Req.2]]</f>
        <v>434157</v>
      </c>
      <c r="K364" s="73">
        <f>IFERROR(LOOKUP(Tabla22[[#This Row],[Product]],$R$18:$R$23,$T$18:$T$23)*Tabla22[[#This Row],[QualityBonus]]*Tabla22[[#This Row],[Base price1]]*Tabla22[[#This Row],[Req.]],0)</f>
        <v>33347.737800000003</v>
      </c>
      <c r="L364" s="73">
        <f>IF(Tabla22[[#This Row],[Req.2]]&gt;0,LOOKUP(Tabla22[[#This Row],[Product2]],$R$18:$R$23,$T$18:$T$23)*Tabla22[[#This Row],[Base price2]]*Tabla22[[#This Row],[Req.2]]*Tabla22[[#This Row],[QualityBonus]],0)</f>
        <v>5380.56</v>
      </c>
      <c r="M364" s="73">
        <f>IFERROR((Tabla22[[#This Row],[Base price1]]-LOOKUP(Tabla22[[#This Row],[Product]],$R$18:$R$23,$S$18:$S$23))*Tabla22[[#This Row],[Req.]],0)</f>
        <v>1557</v>
      </c>
      <c r="N364" s="73">
        <f>IF(Tabla22[[#This Row],[Req.2]]&gt;0,(Tabla22[[#This Row],[Base price2]]-LOOKUP(Tabla22[[#This Row],[Product2]],$R$18:$R$23,$S$18:$S$23))*Tabla22[[#This Row],[Req.2]],0)</f>
        <v>16600</v>
      </c>
      <c r="O364" s="73">
        <f>SUM(Tabla22[[#This Row],[Bonus1]:[p2]])</f>
        <v>56885.2978</v>
      </c>
      <c r="P364" s="73">
        <f>IF(Tabla22[[#This Row],[QualityBonus]]&gt;0,Tabla22[[#This Row],[No wages]]-$C$4,"")</f>
        <v>9023.0135615577747</v>
      </c>
    </row>
    <row r="365" spans="1:16" x14ac:dyDescent="0.25">
      <c r="A365" s="13">
        <v>349</v>
      </c>
      <c r="B365" s="13" t="s">
        <v>13</v>
      </c>
      <c r="C365" s="66">
        <v>1.12E-2</v>
      </c>
      <c r="D365" s="2" t="s">
        <v>53</v>
      </c>
      <c r="E365" s="73">
        <v>39876</v>
      </c>
      <c r="F365" s="5">
        <v>5</v>
      </c>
      <c r="G365" s="2" t="s">
        <v>52</v>
      </c>
      <c r="H365" s="73">
        <v>119199</v>
      </c>
      <c r="I365" s="5">
        <v>2</v>
      </c>
      <c r="J365" s="74">
        <f>Tabla22[[#This Row],[Base price1]]*Tabla22[[#This Row],[Req.]]+Tabla22[[#This Row],[Base price2]]*Tabla22[[#This Row],[Req.2]]</f>
        <v>437778</v>
      </c>
      <c r="K365" s="73">
        <f>IFERROR(LOOKUP(Tabla22[[#This Row],[Product]],$R$18:$R$23,$T$18:$T$23)*Tabla22[[#This Row],[QualityBonus]]*Tabla22[[#This Row],[Base price1]]*Tabla22[[#This Row],[Req.]],0)</f>
        <v>8932.2240000000002</v>
      </c>
      <c r="L365" s="73">
        <f>IF(Tabla22[[#This Row],[Req.2]]&gt;0,LOOKUP(Tabla22[[#This Row],[Product2]],$R$18:$R$23,$T$18:$T$23)*Tabla22[[#This Row],[Base price2]]*Tabla22[[#This Row],[Req.2]]*Tabla22[[#This Row],[QualityBonus]],0)</f>
        <v>16020.345600000001</v>
      </c>
      <c r="M365" s="73">
        <f>IFERROR((Tabla22[[#This Row],[Base price1]]-LOOKUP(Tabla22[[#This Row],[Product]],$R$18:$R$23,$S$18:$S$23))*Tabla22[[#This Row],[Req.]],0)</f>
        <v>29380</v>
      </c>
      <c r="N365" s="73">
        <f>IF(Tabla22[[#This Row],[Req.2]]&gt;0,(Tabla22[[#This Row],[Base price2]]-LOOKUP(Tabla22[[#This Row],[Product2]],$R$18:$R$23,$S$18:$S$23))*Tabla22[[#This Row],[Req.2]],0)</f>
        <v>6398</v>
      </c>
      <c r="O365" s="73">
        <f>SUM(Tabla22[[#This Row],[Bonus1]:[p2]])</f>
        <v>60730.569600000003</v>
      </c>
      <c r="P365" s="73">
        <f>IF(Tabla22[[#This Row],[QualityBonus]]&gt;0,Tabla22[[#This Row],[No wages]]-$C$4,"")</f>
        <v>12868.285361557777</v>
      </c>
    </row>
    <row r="366" spans="1:16" x14ac:dyDescent="0.25">
      <c r="A366" s="13">
        <v>350</v>
      </c>
      <c r="B366" s="13" t="s">
        <v>13</v>
      </c>
      <c r="C366" s="66">
        <v>1.55E-2</v>
      </c>
      <c r="D366" s="2" t="s">
        <v>54</v>
      </c>
      <c r="E366" s="73">
        <v>59279</v>
      </c>
      <c r="F366" s="5">
        <v>1</v>
      </c>
      <c r="G366" s="2"/>
      <c r="H366" s="73"/>
      <c r="I366" s="5"/>
      <c r="J366" s="74">
        <f>Tabla22[[#This Row],[Base price1]]*Tabla22[[#This Row],[Req.]]+Tabla22[[#This Row],[Base price2]]*Tabla22[[#This Row],[Req.2]]</f>
        <v>59279</v>
      </c>
      <c r="K366" s="73">
        <f>IFERROR(LOOKUP(Tabla22[[#This Row],[Product]],$R$18:$R$23,$T$18:$T$23)*Tabla22[[#This Row],[QualityBonus]]*Tabla22[[#This Row],[Base price1]]*Tabla22[[#This Row],[Req.]],0)</f>
        <v>4594.1225000000004</v>
      </c>
      <c r="L366" s="73">
        <f>IF(Tabla22[[#This Row],[Req.2]]&gt;0,LOOKUP(Tabla22[[#This Row],[Product2]],$R$18:$R$23,$T$18:$T$23)*Tabla22[[#This Row],[Base price2]]*Tabla22[[#This Row],[Req.2]]*Tabla22[[#This Row],[QualityBonus]],0)</f>
        <v>0</v>
      </c>
      <c r="M366" s="73">
        <f>IFERROR((Tabla22[[#This Row],[Base price1]]-LOOKUP(Tabla22[[#This Row],[Product]],$R$18:$R$23,$S$18:$S$23))*Tabla22[[#This Row],[Req.]],0)</f>
        <v>2779</v>
      </c>
      <c r="N366" s="73">
        <f>IF(Tabla22[[#This Row],[Req.2]]&gt;0,(Tabla22[[#This Row],[Base price2]]-LOOKUP(Tabla22[[#This Row],[Product2]],$R$18:$R$23,$S$18:$S$23))*Tabla22[[#This Row],[Req.2]],0)</f>
        <v>0</v>
      </c>
      <c r="O366" s="73">
        <f>SUM(Tabla22[[#This Row],[Bonus1]:[p2]])</f>
        <v>7373.1225000000004</v>
      </c>
      <c r="P366" s="73">
        <f>IF(Tabla22[[#This Row],[QualityBonus]]&gt;0,Tabla22[[#This Row],[No wages]]-$C$4,"")</f>
        <v>-40489.161738442228</v>
      </c>
    </row>
    <row r="367" spans="1:16" x14ac:dyDescent="0.25">
      <c r="A367" s="13">
        <v>351</v>
      </c>
      <c r="B367" s="13" t="s">
        <v>13</v>
      </c>
      <c r="C367" s="66">
        <v>1.0999999999999999E-2</v>
      </c>
      <c r="D367" s="2" t="s">
        <v>53</v>
      </c>
      <c r="E367" s="73">
        <v>41914</v>
      </c>
      <c r="F367" s="5">
        <v>2</v>
      </c>
      <c r="G367" s="2" t="s">
        <v>57</v>
      </c>
      <c r="H367" s="73">
        <v>82959</v>
      </c>
      <c r="I367" s="5">
        <v>4</v>
      </c>
      <c r="J367" s="74">
        <f>Tabla22[[#This Row],[Base price1]]*Tabla22[[#This Row],[Req.]]+Tabla22[[#This Row],[Base price2]]*Tabla22[[#This Row],[Req.2]]</f>
        <v>415664</v>
      </c>
      <c r="K367" s="73">
        <f>IFERROR(LOOKUP(Tabla22[[#This Row],[Product]],$R$18:$R$23,$T$18:$T$23)*Tabla22[[#This Row],[QualityBonus]]*Tabla22[[#This Row],[Base price1]]*Tabla22[[#This Row],[Req.]],0)</f>
        <v>3688.4319999999998</v>
      </c>
      <c r="L367" s="73">
        <f>IF(Tabla22[[#This Row],[Req.2]]&gt;0,LOOKUP(Tabla22[[#This Row],[Product2]],$R$18:$R$23,$T$18:$T$23)*Tabla22[[#This Row],[Base price2]]*Tabla22[[#This Row],[Req.2]]*Tabla22[[#This Row],[QualityBonus]],0)</f>
        <v>14600.784</v>
      </c>
      <c r="M367" s="73">
        <f>IFERROR((Tabla22[[#This Row],[Base price1]]-LOOKUP(Tabla22[[#This Row],[Product]],$R$18:$R$23,$S$18:$S$23))*Tabla22[[#This Row],[Req.]],0)</f>
        <v>15828</v>
      </c>
      <c r="N367" s="73">
        <f>IF(Tabla22[[#This Row],[Req.2]]&gt;0,(Tabla22[[#This Row],[Base price2]]-LOOKUP(Tabla22[[#This Row],[Product2]],$R$18:$R$23,$S$18:$S$23))*Tabla22[[#This Row],[Req.2]],0)</f>
        <v>23836</v>
      </c>
      <c r="O367" s="73">
        <f>SUM(Tabla22[[#This Row],[Bonus1]:[p2]])</f>
        <v>57953.216</v>
      </c>
      <c r="P367" s="73">
        <f>IF(Tabla22[[#This Row],[QualityBonus]]&gt;0,Tabla22[[#This Row],[No wages]]-$C$4,"")</f>
        <v>10090.931761557775</v>
      </c>
    </row>
    <row r="368" spans="1:16" x14ac:dyDescent="0.25">
      <c r="A368" s="13">
        <v>352</v>
      </c>
      <c r="B368" s="13" t="s">
        <v>13</v>
      </c>
      <c r="C368" s="66">
        <v>1.9599999999999999E-2</v>
      </c>
      <c r="D368" s="2" t="s">
        <v>53</v>
      </c>
      <c r="E368" s="73">
        <v>42388</v>
      </c>
      <c r="F368" s="5">
        <v>2</v>
      </c>
      <c r="G368" s="2" t="s">
        <v>54</v>
      </c>
      <c r="H368" s="73">
        <v>62533</v>
      </c>
      <c r="I368" s="5">
        <v>3</v>
      </c>
      <c r="J368" s="74">
        <f>Tabla22[[#This Row],[Base price1]]*Tabla22[[#This Row],[Req.]]+Tabla22[[#This Row],[Base price2]]*Tabla22[[#This Row],[Req.2]]</f>
        <v>272375</v>
      </c>
      <c r="K368" s="73">
        <f>IFERROR(LOOKUP(Tabla22[[#This Row],[Product]],$R$18:$R$23,$T$18:$T$23)*Tabla22[[#This Row],[QualityBonus]]*Tabla22[[#This Row],[Base price1]]*Tabla22[[#This Row],[Req.]],0)</f>
        <v>6646.4384</v>
      </c>
      <c r="L368" s="73">
        <f>IF(Tabla22[[#This Row],[Req.2]]&gt;0,LOOKUP(Tabla22[[#This Row],[Product2]],$R$18:$R$23,$T$18:$T$23)*Tabla22[[#This Row],[Base price2]]*Tabla22[[#This Row],[Req.2]]*Tabla22[[#This Row],[QualityBonus]],0)</f>
        <v>18384.702000000001</v>
      </c>
      <c r="M368" s="73">
        <f>IFERROR((Tabla22[[#This Row],[Base price1]]-LOOKUP(Tabla22[[#This Row],[Product]],$R$18:$R$23,$S$18:$S$23))*Tabla22[[#This Row],[Req.]],0)</f>
        <v>16776</v>
      </c>
      <c r="N368" s="73">
        <f>IF(Tabla22[[#This Row],[Req.2]]&gt;0,(Tabla22[[#This Row],[Base price2]]-LOOKUP(Tabla22[[#This Row],[Product2]],$R$18:$R$23,$S$18:$S$23))*Tabla22[[#This Row],[Req.2]],0)</f>
        <v>18099</v>
      </c>
      <c r="O368" s="73">
        <f>SUM(Tabla22[[#This Row],[Bonus1]:[p2]])</f>
        <v>59906.140400000004</v>
      </c>
      <c r="P368" s="73">
        <f>IF(Tabla22[[#This Row],[QualityBonus]]&gt;0,Tabla22[[#This Row],[No wages]]-$C$4,"")</f>
        <v>12043.856161557778</v>
      </c>
    </row>
    <row r="369" spans="1:16" x14ac:dyDescent="0.25">
      <c r="A369" s="13">
        <v>353</v>
      </c>
      <c r="B369" s="13" t="s">
        <v>13</v>
      </c>
      <c r="C369" s="66">
        <v>2.1499999999999998E-2</v>
      </c>
      <c r="D369" s="2" t="s">
        <v>53</v>
      </c>
      <c r="E369" s="73">
        <v>41630</v>
      </c>
      <c r="F369" s="5">
        <v>3</v>
      </c>
      <c r="G369" s="2" t="s">
        <v>54</v>
      </c>
      <c r="H369" s="73">
        <v>59883</v>
      </c>
      <c r="I369" s="5">
        <v>3</v>
      </c>
      <c r="J369" s="74">
        <f>Tabla22[[#This Row],[Base price1]]*Tabla22[[#This Row],[Req.]]+Tabla22[[#This Row],[Base price2]]*Tabla22[[#This Row],[Req.2]]</f>
        <v>304539</v>
      </c>
      <c r="K369" s="73">
        <f>IFERROR(LOOKUP(Tabla22[[#This Row],[Product]],$R$18:$R$23,$T$18:$T$23)*Tabla22[[#This Row],[QualityBonus]]*Tabla22[[#This Row],[Base price1]]*Tabla22[[#This Row],[Req.]],0)</f>
        <v>10740.539999999999</v>
      </c>
      <c r="L369" s="73">
        <f>IF(Tabla22[[#This Row],[Req.2]]&gt;0,LOOKUP(Tabla22[[#This Row],[Product2]],$R$18:$R$23,$T$18:$T$23)*Tabla22[[#This Row],[Base price2]]*Tabla22[[#This Row],[Req.2]]*Tabla22[[#This Row],[QualityBonus]],0)</f>
        <v>19312.267499999998</v>
      </c>
      <c r="M369" s="73">
        <f>IFERROR((Tabla22[[#This Row],[Base price1]]-LOOKUP(Tabla22[[#This Row],[Product]],$R$18:$R$23,$S$18:$S$23))*Tabla22[[#This Row],[Req.]],0)</f>
        <v>22890</v>
      </c>
      <c r="N369" s="73">
        <f>IF(Tabla22[[#This Row],[Req.2]]&gt;0,(Tabla22[[#This Row],[Base price2]]-LOOKUP(Tabla22[[#This Row],[Product2]],$R$18:$R$23,$S$18:$S$23))*Tabla22[[#This Row],[Req.2]],0)</f>
        <v>10149</v>
      </c>
      <c r="O369" s="73">
        <f>SUM(Tabla22[[#This Row],[Bonus1]:[p2]])</f>
        <v>63091.807499999995</v>
      </c>
      <c r="P369" s="73">
        <f>IF(Tabla22[[#This Row],[QualityBonus]]&gt;0,Tabla22[[#This Row],[No wages]]-$C$4,"")</f>
        <v>15229.52326155777</v>
      </c>
    </row>
    <row r="370" spans="1:16" x14ac:dyDescent="0.25">
      <c r="A370" s="13">
        <v>354</v>
      </c>
      <c r="B370" s="13" t="s">
        <v>13</v>
      </c>
      <c r="C370" s="66">
        <v>1.2699999999999999E-2</v>
      </c>
      <c r="D370" s="2" t="s">
        <v>54</v>
      </c>
      <c r="E370" s="73">
        <v>62692</v>
      </c>
      <c r="F370" s="5">
        <v>2</v>
      </c>
      <c r="G370" s="2" t="s">
        <v>53</v>
      </c>
      <c r="H370" s="73">
        <v>40678</v>
      </c>
      <c r="I370" s="5">
        <v>5</v>
      </c>
      <c r="J370" s="74">
        <f>Tabla22[[#This Row],[Base price1]]*Tabla22[[#This Row],[Req.]]+Tabla22[[#This Row],[Base price2]]*Tabla22[[#This Row],[Req.2]]</f>
        <v>328774</v>
      </c>
      <c r="K370" s="73">
        <f>IFERROR(LOOKUP(Tabla22[[#This Row],[Product]],$R$18:$R$23,$T$18:$T$23)*Tabla22[[#This Row],[QualityBonus]]*Tabla22[[#This Row],[Base price1]]*Tabla22[[#This Row],[Req.]],0)</f>
        <v>7961.884</v>
      </c>
      <c r="L370" s="73">
        <f>IF(Tabla22[[#This Row],[Req.2]]&gt;0,LOOKUP(Tabla22[[#This Row],[Product2]],$R$18:$R$23,$T$18:$T$23)*Tabla22[[#This Row],[Base price2]]*Tabla22[[#This Row],[Req.2]]*Tabla22[[#This Row],[QualityBonus]],0)</f>
        <v>10332.212</v>
      </c>
      <c r="M370" s="73">
        <f>IFERROR((Tabla22[[#This Row],[Base price1]]-LOOKUP(Tabla22[[#This Row],[Product]],$R$18:$R$23,$S$18:$S$23))*Tabla22[[#This Row],[Req.]],0)</f>
        <v>12384</v>
      </c>
      <c r="N370" s="73">
        <f>IF(Tabla22[[#This Row],[Req.2]]&gt;0,(Tabla22[[#This Row],[Base price2]]-LOOKUP(Tabla22[[#This Row],[Product2]],$R$18:$R$23,$S$18:$S$23))*Tabla22[[#This Row],[Req.2]],0)</f>
        <v>33390</v>
      </c>
      <c r="O370" s="73">
        <f>SUM(Tabla22[[#This Row],[Bonus1]:[p2]])</f>
        <v>64068.095999999998</v>
      </c>
      <c r="P370" s="73">
        <f>IF(Tabla22[[#This Row],[QualityBonus]]&gt;0,Tabla22[[#This Row],[No wages]]-$C$4,"")</f>
        <v>16205.811761557772</v>
      </c>
    </row>
    <row r="371" spans="1:16" x14ac:dyDescent="0.25">
      <c r="A371" s="13">
        <v>355</v>
      </c>
      <c r="B371" s="13" t="s">
        <v>13</v>
      </c>
      <c r="C371" s="66">
        <v>2.8400000000000002E-2</v>
      </c>
      <c r="D371" s="2" t="s">
        <v>53</v>
      </c>
      <c r="E371" s="73">
        <v>40344</v>
      </c>
      <c r="F371" s="5">
        <v>3</v>
      </c>
      <c r="G371" s="2" t="s">
        <v>57</v>
      </c>
      <c r="H371" s="73">
        <v>83844</v>
      </c>
      <c r="I371" s="5">
        <v>2</v>
      </c>
      <c r="J371" s="74">
        <f>Tabla22[[#This Row],[Base price1]]*Tabla22[[#This Row],[Req.]]+Tabla22[[#This Row],[Base price2]]*Tabla22[[#This Row],[Req.2]]</f>
        <v>288720</v>
      </c>
      <c r="K371" s="73">
        <f>IFERROR(LOOKUP(Tabla22[[#This Row],[Product]],$R$18:$R$23,$T$18:$T$23)*Tabla22[[#This Row],[QualityBonus]]*Tabla22[[#This Row],[Base price1]]*Tabla22[[#This Row],[Req.]],0)</f>
        <v>13749.235200000001</v>
      </c>
      <c r="L371" s="73">
        <f>IF(Tabla22[[#This Row],[Req.2]]&gt;0,LOOKUP(Tabla22[[#This Row],[Product2]],$R$18:$R$23,$T$18:$T$23)*Tabla22[[#This Row],[Base price2]]*Tabla22[[#This Row],[Req.2]]*Tabla22[[#This Row],[QualityBonus]],0)</f>
        <v>19049.356800000001</v>
      </c>
      <c r="M371" s="73">
        <f>IFERROR((Tabla22[[#This Row],[Base price1]]-LOOKUP(Tabla22[[#This Row],[Product]],$R$18:$R$23,$S$18:$S$23))*Tabla22[[#This Row],[Req.]],0)</f>
        <v>19032</v>
      </c>
      <c r="N371" s="73">
        <f>IF(Tabla22[[#This Row],[Req.2]]&gt;0,(Tabla22[[#This Row],[Base price2]]-LOOKUP(Tabla22[[#This Row],[Product2]],$R$18:$R$23,$S$18:$S$23))*Tabla22[[#This Row],[Req.2]],0)</f>
        <v>13688</v>
      </c>
      <c r="O371" s="73">
        <f>SUM(Tabla22[[#This Row],[Bonus1]:[p2]])</f>
        <v>65518.592000000004</v>
      </c>
      <c r="P371" s="73">
        <f>IF(Tabla22[[#This Row],[QualityBonus]]&gt;0,Tabla22[[#This Row],[No wages]]-$C$4,"")</f>
        <v>17656.307761557779</v>
      </c>
    </row>
    <row r="372" spans="1:16" x14ac:dyDescent="0.25">
      <c r="A372" s="13">
        <v>356</v>
      </c>
      <c r="B372" s="13" t="s">
        <v>13</v>
      </c>
      <c r="C372" s="66">
        <v>2.8400000000000002E-2</v>
      </c>
      <c r="D372" s="2" t="s">
        <v>53</v>
      </c>
      <c r="E372" s="73">
        <v>41355</v>
      </c>
      <c r="F372" s="5">
        <v>5</v>
      </c>
      <c r="G372" s="2"/>
      <c r="H372" s="73"/>
      <c r="I372" s="5"/>
      <c r="J372" s="74">
        <f>Tabla22[[#This Row],[Base price1]]*Tabla22[[#This Row],[Req.]]+Tabla22[[#This Row],[Base price2]]*Tabla22[[#This Row],[Req.2]]</f>
        <v>206775</v>
      </c>
      <c r="K372" s="73">
        <f>IFERROR(LOOKUP(Tabla22[[#This Row],[Product]],$R$18:$R$23,$T$18:$T$23)*Tabla22[[#This Row],[QualityBonus]]*Tabla22[[#This Row],[Base price1]]*Tabla22[[#This Row],[Req.]],0)</f>
        <v>23489.64</v>
      </c>
      <c r="L372" s="73">
        <f>IF(Tabla22[[#This Row],[Req.2]]&gt;0,LOOKUP(Tabla22[[#This Row],[Product2]],$R$18:$R$23,$T$18:$T$23)*Tabla22[[#This Row],[Base price2]]*Tabla22[[#This Row],[Req.2]]*Tabla22[[#This Row],[QualityBonus]],0)</f>
        <v>0</v>
      </c>
      <c r="M372" s="73">
        <f>IFERROR((Tabla22[[#This Row],[Base price1]]-LOOKUP(Tabla22[[#This Row],[Product]],$R$18:$R$23,$S$18:$S$23))*Tabla22[[#This Row],[Req.]],0)</f>
        <v>36775</v>
      </c>
      <c r="N372" s="73">
        <f>IF(Tabla22[[#This Row],[Req.2]]&gt;0,(Tabla22[[#This Row],[Base price2]]-LOOKUP(Tabla22[[#This Row],[Product2]],$R$18:$R$23,$S$18:$S$23))*Tabla22[[#This Row],[Req.2]],0)</f>
        <v>0</v>
      </c>
      <c r="O372" s="73">
        <f>SUM(Tabla22[[#This Row],[Bonus1]:[p2]])</f>
        <v>60264.639999999999</v>
      </c>
      <c r="P372" s="73">
        <f>IF(Tabla22[[#This Row],[QualityBonus]]&gt;0,Tabla22[[#This Row],[No wages]]-$C$4,"")</f>
        <v>12402.355761557774</v>
      </c>
    </row>
    <row r="373" spans="1:16" x14ac:dyDescent="0.25">
      <c r="A373" s="13">
        <v>357</v>
      </c>
      <c r="B373" s="13" t="s">
        <v>13</v>
      </c>
      <c r="C373" s="66">
        <v>2.1600000000000001E-2</v>
      </c>
      <c r="D373" s="2" t="s">
        <v>53</v>
      </c>
      <c r="E373" s="73">
        <v>41970</v>
      </c>
      <c r="F373" s="5">
        <v>2</v>
      </c>
      <c r="G373" s="2" t="s">
        <v>57</v>
      </c>
      <c r="H373" s="73">
        <v>83254</v>
      </c>
      <c r="I373" s="5">
        <v>4</v>
      </c>
      <c r="J373" s="74">
        <f>Tabla22[[#This Row],[Base price1]]*Tabla22[[#This Row],[Req.]]+Tabla22[[#This Row],[Base price2]]*Tabla22[[#This Row],[Req.2]]</f>
        <v>416956</v>
      </c>
      <c r="K373" s="73">
        <f>IFERROR(LOOKUP(Tabla22[[#This Row],[Product]],$R$18:$R$23,$T$18:$T$23)*Tabla22[[#This Row],[QualityBonus]]*Tabla22[[#This Row],[Base price1]]*Tabla22[[#This Row],[Req.]],0)</f>
        <v>7252.4160000000002</v>
      </c>
      <c r="L373" s="73">
        <f>IF(Tabla22[[#This Row],[Req.2]]&gt;0,LOOKUP(Tabla22[[#This Row],[Product2]],$R$18:$R$23,$T$18:$T$23)*Tabla22[[#This Row],[Base price2]]*Tabla22[[#This Row],[Req.2]]*Tabla22[[#This Row],[QualityBonus]],0)</f>
        <v>28772.582400000003</v>
      </c>
      <c r="M373" s="73">
        <f>IFERROR((Tabla22[[#This Row],[Base price1]]-LOOKUP(Tabla22[[#This Row],[Product]],$R$18:$R$23,$S$18:$S$23))*Tabla22[[#This Row],[Req.]],0)</f>
        <v>15940</v>
      </c>
      <c r="N373" s="73">
        <f>IF(Tabla22[[#This Row],[Req.2]]&gt;0,(Tabla22[[#This Row],[Base price2]]-LOOKUP(Tabla22[[#This Row],[Product2]],$R$18:$R$23,$S$18:$S$23))*Tabla22[[#This Row],[Req.2]],0)</f>
        <v>25016</v>
      </c>
      <c r="O373" s="73">
        <f>SUM(Tabla22[[#This Row],[Bonus1]:[p2]])</f>
        <v>76980.998400000011</v>
      </c>
      <c r="P373" s="73">
        <f>IF(Tabla22[[#This Row],[QualityBonus]]&gt;0,Tabla22[[#This Row],[No wages]]-$C$4,"")</f>
        <v>29118.714161557786</v>
      </c>
    </row>
    <row r="374" spans="1:16" x14ac:dyDescent="0.25">
      <c r="A374" s="13">
        <v>358</v>
      </c>
      <c r="B374" s="13" t="s">
        <v>13</v>
      </c>
      <c r="C374" s="66">
        <v>1.7100000000000001E-2</v>
      </c>
      <c r="D374" s="2" t="s">
        <v>55</v>
      </c>
      <c r="E374" s="73">
        <v>85621</v>
      </c>
      <c r="F374" s="5">
        <v>2</v>
      </c>
      <c r="G374" s="2" t="s">
        <v>53</v>
      </c>
      <c r="H374" s="73">
        <v>40140</v>
      </c>
      <c r="I374" s="5">
        <v>5</v>
      </c>
      <c r="J374" s="74">
        <f>Tabla22[[#This Row],[Base price1]]*Tabla22[[#This Row],[Req.]]+Tabla22[[#This Row],[Base price2]]*Tabla22[[#This Row],[Req.2]]</f>
        <v>371942</v>
      </c>
      <c r="K374" s="73">
        <f>IFERROR(LOOKUP(Tabla22[[#This Row],[Product]],$R$18:$R$23,$T$18:$T$23)*Tabla22[[#This Row],[QualityBonus]]*Tabla22[[#This Row],[Base price1]]*Tabla22[[#This Row],[Req.]],0)</f>
        <v>11712.952800000001</v>
      </c>
      <c r="L374" s="73">
        <f>IF(Tabla22[[#This Row],[Req.2]]&gt;0,LOOKUP(Tabla22[[#This Row],[Product2]],$R$18:$R$23,$T$18:$T$23)*Tabla22[[#This Row],[Base price2]]*Tabla22[[#This Row],[Req.2]]*Tabla22[[#This Row],[QualityBonus]],0)</f>
        <v>13727.880000000001</v>
      </c>
      <c r="M374" s="73">
        <f>IFERROR((Tabla22[[#This Row],[Base price1]]-LOOKUP(Tabla22[[#This Row],[Product]],$R$18:$R$23,$S$18:$S$23))*Tabla22[[#This Row],[Req.]],0)</f>
        <v>17242</v>
      </c>
      <c r="N374" s="73">
        <f>IF(Tabla22[[#This Row],[Req.2]]&gt;0,(Tabla22[[#This Row],[Base price2]]-LOOKUP(Tabla22[[#This Row],[Product2]],$R$18:$R$23,$S$18:$S$23))*Tabla22[[#This Row],[Req.2]],0)</f>
        <v>30700</v>
      </c>
      <c r="O374" s="73">
        <f>SUM(Tabla22[[#This Row],[Bonus1]:[p2]])</f>
        <v>73382.832800000004</v>
      </c>
      <c r="P374" s="73">
        <f>IF(Tabla22[[#This Row],[QualityBonus]]&gt;0,Tabla22[[#This Row],[No wages]]-$C$4,"")</f>
        <v>25520.548561557778</v>
      </c>
    </row>
    <row r="375" spans="1:16" x14ac:dyDescent="0.25">
      <c r="A375" s="13">
        <v>359</v>
      </c>
      <c r="B375" s="13" t="s">
        <v>13</v>
      </c>
      <c r="C375" s="66">
        <v>2.87E-2</v>
      </c>
      <c r="D375" s="2" t="s">
        <v>55</v>
      </c>
      <c r="E375" s="73">
        <v>84224</v>
      </c>
      <c r="F375" s="5">
        <v>2</v>
      </c>
      <c r="G375" s="2" t="s">
        <v>53</v>
      </c>
      <c r="H375" s="73">
        <v>40456</v>
      </c>
      <c r="I375" s="5">
        <v>2</v>
      </c>
      <c r="J375" s="74">
        <f>Tabla22[[#This Row],[Base price1]]*Tabla22[[#This Row],[Req.]]+Tabla22[[#This Row],[Base price2]]*Tabla22[[#This Row],[Req.2]]</f>
        <v>249360</v>
      </c>
      <c r="K375" s="73">
        <f>IFERROR(LOOKUP(Tabla22[[#This Row],[Product]],$R$18:$R$23,$T$18:$T$23)*Tabla22[[#This Row],[QualityBonus]]*Tabla22[[#This Row],[Base price1]]*Tabla22[[#This Row],[Req.]],0)</f>
        <v>19337.830399999999</v>
      </c>
      <c r="L375" s="73">
        <f>IF(Tabla22[[#This Row],[Req.2]]&gt;0,LOOKUP(Tabla22[[#This Row],[Product2]],$R$18:$R$23,$T$18:$T$23)*Tabla22[[#This Row],[Base price2]]*Tabla22[[#This Row],[Req.2]]*Tabla22[[#This Row],[QualityBonus]],0)</f>
        <v>9288.6975999999995</v>
      </c>
      <c r="M375" s="73">
        <f>IFERROR((Tabla22[[#This Row],[Base price1]]-LOOKUP(Tabla22[[#This Row],[Product]],$R$18:$R$23,$S$18:$S$23))*Tabla22[[#This Row],[Req.]],0)</f>
        <v>14448</v>
      </c>
      <c r="N375" s="73">
        <f>IF(Tabla22[[#This Row],[Req.2]]&gt;0,(Tabla22[[#This Row],[Base price2]]-LOOKUP(Tabla22[[#This Row],[Product2]],$R$18:$R$23,$S$18:$S$23))*Tabla22[[#This Row],[Req.2]],0)</f>
        <v>12912</v>
      </c>
      <c r="O375" s="73">
        <f>SUM(Tabla22[[#This Row],[Bonus1]:[p2]])</f>
        <v>55986.527999999998</v>
      </c>
      <c r="P375" s="73">
        <f>IF(Tabla22[[#This Row],[QualityBonus]]&gt;0,Tabla22[[#This Row],[No wages]]-$C$4,"")</f>
        <v>8124.2437615577728</v>
      </c>
    </row>
    <row r="376" spans="1:16" x14ac:dyDescent="0.25">
      <c r="A376" s="13">
        <v>360</v>
      </c>
      <c r="B376" s="13" t="s">
        <v>13</v>
      </c>
      <c r="C376" s="66">
        <v>2.1499999999999998E-2</v>
      </c>
      <c r="D376" s="2" t="s">
        <v>53</v>
      </c>
      <c r="E376" s="73">
        <v>41529</v>
      </c>
      <c r="F376" s="5">
        <v>4</v>
      </c>
      <c r="G376" s="2"/>
      <c r="H376" s="73"/>
      <c r="I376" s="5"/>
      <c r="J376" s="74">
        <f>Tabla22[[#This Row],[Base price1]]*Tabla22[[#This Row],[Req.]]+Tabla22[[#This Row],[Base price2]]*Tabla22[[#This Row],[Req.2]]</f>
        <v>166116</v>
      </c>
      <c r="K376" s="73">
        <f>IFERROR(LOOKUP(Tabla22[[#This Row],[Product]],$R$18:$R$23,$T$18:$T$23)*Tabla22[[#This Row],[QualityBonus]]*Tabla22[[#This Row],[Base price1]]*Tabla22[[#This Row],[Req.]],0)</f>
        <v>14285.975999999999</v>
      </c>
      <c r="L376" s="73">
        <f>IF(Tabla22[[#This Row],[Req.2]]&gt;0,LOOKUP(Tabla22[[#This Row],[Product2]],$R$18:$R$23,$T$18:$T$23)*Tabla22[[#This Row],[Base price2]]*Tabla22[[#This Row],[Req.2]]*Tabla22[[#This Row],[QualityBonus]],0)</f>
        <v>0</v>
      </c>
      <c r="M376" s="73">
        <f>IFERROR((Tabla22[[#This Row],[Base price1]]-LOOKUP(Tabla22[[#This Row],[Product]],$R$18:$R$23,$S$18:$S$23))*Tabla22[[#This Row],[Req.]],0)</f>
        <v>30116</v>
      </c>
      <c r="N376" s="73">
        <f>IF(Tabla22[[#This Row],[Req.2]]&gt;0,(Tabla22[[#This Row],[Base price2]]-LOOKUP(Tabla22[[#This Row],[Product2]],$R$18:$R$23,$S$18:$S$23))*Tabla22[[#This Row],[Req.2]],0)</f>
        <v>0</v>
      </c>
      <c r="O376" s="73">
        <f>SUM(Tabla22[[#This Row],[Bonus1]:[p2]])</f>
        <v>44401.975999999995</v>
      </c>
      <c r="P376" s="73">
        <f>IF(Tabla22[[#This Row],[QualityBonus]]&gt;0,Tabla22[[#This Row],[No wages]]-$C$4,"")</f>
        <v>-3460.3082384422305</v>
      </c>
    </row>
    <row r="377" spans="1:16" x14ac:dyDescent="0.25">
      <c r="A377" s="13">
        <v>361</v>
      </c>
      <c r="B377" s="13" t="s">
        <v>13</v>
      </c>
      <c r="C377" s="66">
        <v>2.5899999999999999E-2</v>
      </c>
      <c r="D377" s="2" t="s">
        <v>54</v>
      </c>
      <c r="E377" s="73">
        <v>60001</v>
      </c>
      <c r="F377" s="5">
        <v>1</v>
      </c>
      <c r="G377" s="2" t="s">
        <v>53</v>
      </c>
      <c r="H377" s="73">
        <v>41222</v>
      </c>
      <c r="I377" s="5">
        <v>4</v>
      </c>
      <c r="J377" s="74">
        <f>Tabla22[[#This Row],[Base price1]]*Tabla22[[#This Row],[Req.]]+Tabla22[[#This Row],[Base price2]]*Tabla22[[#This Row],[Req.2]]</f>
        <v>224889</v>
      </c>
      <c r="K377" s="73">
        <f>IFERROR(LOOKUP(Tabla22[[#This Row],[Product]],$R$18:$R$23,$T$18:$T$23)*Tabla22[[#This Row],[QualityBonus]]*Tabla22[[#This Row],[Base price1]]*Tabla22[[#This Row],[Req.]],0)</f>
        <v>7770.1295</v>
      </c>
      <c r="L377" s="73">
        <f>IF(Tabla22[[#This Row],[Req.2]]&gt;0,LOOKUP(Tabla22[[#This Row],[Product2]],$R$18:$R$23,$T$18:$T$23)*Tabla22[[#This Row],[Base price2]]*Tabla22[[#This Row],[Req.2]]*Tabla22[[#This Row],[QualityBonus]],0)</f>
        <v>17082.396799999999</v>
      </c>
      <c r="M377" s="73">
        <f>IFERROR((Tabla22[[#This Row],[Base price1]]-LOOKUP(Tabla22[[#This Row],[Product]],$R$18:$R$23,$S$18:$S$23))*Tabla22[[#This Row],[Req.]],0)</f>
        <v>3501</v>
      </c>
      <c r="N377" s="73">
        <f>IF(Tabla22[[#This Row],[Req.2]]&gt;0,(Tabla22[[#This Row],[Base price2]]-LOOKUP(Tabla22[[#This Row],[Product2]],$R$18:$R$23,$S$18:$S$23))*Tabla22[[#This Row],[Req.2]],0)</f>
        <v>28888</v>
      </c>
      <c r="O377" s="73">
        <f>SUM(Tabla22[[#This Row],[Bonus1]:[p2]])</f>
        <v>57241.526299999998</v>
      </c>
      <c r="P377" s="73">
        <f>IF(Tabla22[[#This Row],[QualityBonus]]&gt;0,Tabla22[[#This Row],[No wages]]-$C$4,"")</f>
        <v>9379.2420615577721</v>
      </c>
    </row>
    <row r="378" spans="1:16" x14ac:dyDescent="0.25">
      <c r="A378" s="13">
        <v>362</v>
      </c>
      <c r="B378" s="13" t="s">
        <v>13</v>
      </c>
      <c r="C378" s="66">
        <v>1.7600000000000001E-2</v>
      </c>
      <c r="D378" s="2" t="s">
        <v>55</v>
      </c>
      <c r="E378" s="73">
        <v>86868</v>
      </c>
      <c r="F378" s="5">
        <v>3</v>
      </c>
      <c r="G378" s="2" t="s">
        <v>53</v>
      </c>
      <c r="H378" s="73">
        <v>41272</v>
      </c>
      <c r="I378" s="5">
        <v>4</v>
      </c>
      <c r="J378" s="74">
        <f>Tabla22[[#This Row],[Base price1]]*Tabla22[[#This Row],[Req.]]+Tabla22[[#This Row],[Base price2]]*Tabla22[[#This Row],[Req.2]]</f>
        <v>425692</v>
      </c>
      <c r="K378" s="73">
        <f>IFERROR(LOOKUP(Tabla22[[#This Row],[Product]],$R$18:$R$23,$T$18:$T$23)*Tabla22[[#This Row],[QualityBonus]]*Tabla22[[#This Row],[Base price1]]*Tabla22[[#This Row],[Req.]],0)</f>
        <v>18346.5216</v>
      </c>
      <c r="L378" s="73">
        <f>IF(Tabla22[[#This Row],[Req.2]]&gt;0,LOOKUP(Tabla22[[#This Row],[Product2]],$R$18:$R$23,$T$18:$T$23)*Tabla22[[#This Row],[Base price2]]*Tabla22[[#This Row],[Req.2]]*Tabla22[[#This Row],[QualityBonus]],0)</f>
        <v>11622.1952</v>
      </c>
      <c r="M378" s="73">
        <f>IFERROR((Tabla22[[#This Row],[Base price1]]-LOOKUP(Tabla22[[#This Row],[Product]],$R$18:$R$23,$S$18:$S$23))*Tabla22[[#This Row],[Req.]],0)</f>
        <v>29604</v>
      </c>
      <c r="N378" s="73">
        <f>IF(Tabla22[[#This Row],[Req.2]]&gt;0,(Tabla22[[#This Row],[Base price2]]-LOOKUP(Tabla22[[#This Row],[Product2]],$R$18:$R$23,$S$18:$S$23))*Tabla22[[#This Row],[Req.2]],0)</f>
        <v>29088</v>
      </c>
      <c r="O378" s="73">
        <f>SUM(Tabla22[[#This Row],[Bonus1]:[p2]])</f>
        <v>88660.716799999995</v>
      </c>
      <c r="P378" s="73">
        <f>IF(Tabla22[[#This Row],[QualityBonus]]&gt;0,Tabla22[[#This Row],[No wages]]-$C$4,"")</f>
        <v>40798.432561557769</v>
      </c>
    </row>
    <row r="379" spans="1:16" x14ac:dyDescent="0.25">
      <c r="A379" s="13">
        <v>363</v>
      </c>
      <c r="B379" s="13" t="s">
        <v>13</v>
      </c>
      <c r="C379" s="66">
        <v>1.8200000000000001E-2</v>
      </c>
      <c r="D379" s="2" t="s">
        <v>55</v>
      </c>
      <c r="E379" s="73">
        <v>84698</v>
      </c>
      <c r="F379" s="5">
        <v>4</v>
      </c>
      <c r="G379" s="2" t="s">
        <v>53</v>
      </c>
      <c r="H379" s="73">
        <v>41912</v>
      </c>
      <c r="I379" s="5">
        <v>2</v>
      </c>
      <c r="J379" s="74">
        <f>Tabla22[[#This Row],[Base price1]]*Tabla22[[#This Row],[Req.]]+Tabla22[[#This Row],[Base price2]]*Tabla22[[#This Row],[Req.2]]</f>
        <v>422616</v>
      </c>
      <c r="K379" s="73">
        <f>IFERROR(LOOKUP(Tabla22[[#This Row],[Product]],$R$18:$R$23,$T$18:$T$23)*Tabla22[[#This Row],[QualityBonus]]*Tabla22[[#This Row],[Base price1]]*Tabla22[[#This Row],[Req.]],0)</f>
        <v>24664.0576</v>
      </c>
      <c r="L379" s="73">
        <f>IF(Tabla22[[#This Row],[Req.2]]&gt;0,LOOKUP(Tabla22[[#This Row],[Product2]],$R$18:$R$23,$T$18:$T$23)*Tabla22[[#This Row],[Base price2]]*Tabla22[[#This Row],[Req.2]]*Tabla22[[#This Row],[QualityBonus]],0)</f>
        <v>6102.3872000000001</v>
      </c>
      <c r="M379" s="73">
        <f>IFERROR((Tabla22[[#This Row],[Base price1]]-LOOKUP(Tabla22[[#This Row],[Product]],$R$18:$R$23,$S$18:$S$23))*Tabla22[[#This Row],[Req.]],0)</f>
        <v>30792</v>
      </c>
      <c r="N379" s="73">
        <f>IF(Tabla22[[#This Row],[Req.2]]&gt;0,(Tabla22[[#This Row],[Base price2]]-LOOKUP(Tabla22[[#This Row],[Product2]],$R$18:$R$23,$S$18:$S$23))*Tabla22[[#This Row],[Req.2]],0)</f>
        <v>15824</v>
      </c>
      <c r="O379" s="73">
        <f>SUM(Tabla22[[#This Row],[Bonus1]:[p2]])</f>
        <v>77382.444799999997</v>
      </c>
      <c r="P379" s="73">
        <f>IF(Tabla22[[#This Row],[QualityBonus]]&gt;0,Tabla22[[#This Row],[No wages]]-$C$4,"")</f>
        <v>29520.160561557772</v>
      </c>
    </row>
    <row r="380" spans="1:16" x14ac:dyDescent="0.25">
      <c r="A380" s="13">
        <v>364</v>
      </c>
      <c r="B380" s="13" t="s">
        <v>13</v>
      </c>
      <c r="C380" s="66">
        <v>1.03E-2</v>
      </c>
      <c r="D380" s="2" t="s">
        <v>53</v>
      </c>
      <c r="E380" s="73">
        <v>42252</v>
      </c>
      <c r="F380" s="5">
        <v>5</v>
      </c>
      <c r="G380" s="2" t="s">
        <v>52</v>
      </c>
      <c r="H380" s="73">
        <v>121381</v>
      </c>
      <c r="I380" s="5">
        <v>1</v>
      </c>
      <c r="J380" s="74">
        <f>Tabla22[[#This Row],[Base price1]]*Tabla22[[#This Row],[Req.]]+Tabla22[[#This Row],[Base price2]]*Tabla22[[#This Row],[Req.2]]</f>
        <v>332641</v>
      </c>
      <c r="K380" s="73">
        <f>IFERROR(LOOKUP(Tabla22[[#This Row],[Product]],$R$18:$R$23,$T$18:$T$23)*Tabla22[[#This Row],[QualityBonus]]*Tabla22[[#This Row],[Base price1]]*Tabla22[[#This Row],[Req.]],0)</f>
        <v>8703.9120000000003</v>
      </c>
      <c r="L380" s="73">
        <f>IF(Tabla22[[#This Row],[Req.2]]&gt;0,LOOKUP(Tabla22[[#This Row],[Product2]],$R$18:$R$23,$T$18:$T$23)*Tabla22[[#This Row],[Base price2]]*Tabla22[[#This Row],[Req.2]]*Tabla22[[#This Row],[QualityBonus]],0)</f>
        <v>7501.3458000000001</v>
      </c>
      <c r="M380" s="73">
        <f>IFERROR((Tabla22[[#This Row],[Base price1]]-LOOKUP(Tabla22[[#This Row],[Product]],$R$18:$R$23,$S$18:$S$23))*Tabla22[[#This Row],[Req.]],0)</f>
        <v>41260</v>
      </c>
      <c r="N380" s="73">
        <f>IF(Tabla22[[#This Row],[Req.2]]&gt;0,(Tabla22[[#This Row],[Base price2]]-LOOKUP(Tabla22[[#This Row],[Product2]],$R$18:$R$23,$S$18:$S$23))*Tabla22[[#This Row],[Req.2]],0)</f>
        <v>5381</v>
      </c>
      <c r="O380" s="73">
        <f>SUM(Tabla22[[#This Row],[Bonus1]:[p2]])</f>
        <v>62846.257799999999</v>
      </c>
      <c r="P380" s="73">
        <f>IF(Tabla22[[#This Row],[QualityBonus]]&gt;0,Tabla22[[#This Row],[No wages]]-$C$4,"")</f>
        <v>14983.973561557774</v>
      </c>
    </row>
    <row r="381" spans="1:16" x14ac:dyDescent="0.25">
      <c r="A381" s="13">
        <v>365</v>
      </c>
      <c r="B381" s="13" t="s">
        <v>13</v>
      </c>
      <c r="C381" s="66">
        <v>1.9699999999999999E-2</v>
      </c>
      <c r="D381" s="2" t="s">
        <v>53</v>
      </c>
      <c r="E381" s="73">
        <v>40952</v>
      </c>
      <c r="F381" s="5">
        <v>2</v>
      </c>
      <c r="G381" s="2" t="s">
        <v>57</v>
      </c>
      <c r="H381" s="73">
        <v>85557</v>
      </c>
      <c r="I381" s="5">
        <v>1</v>
      </c>
      <c r="J381" s="74">
        <f>Tabla22[[#This Row],[Base price1]]*Tabla22[[#This Row],[Req.]]+Tabla22[[#This Row],[Base price2]]*Tabla22[[#This Row],[Req.2]]</f>
        <v>167461</v>
      </c>
      <c r="K381" s="73">
        <f>IFERROR(LOOKUP(Tabla22[[#This Row],[Product]],$R$18:$R$23,$T$18:$T$23)*Tabla22[[#This Row],[QualityBonus]]*Tabla22[[#This Row],[Base price1]]*Tabla22[[#This Row],[Req.]],0)</f>
        <v>6454.0351999999993</v>
      </c>
      <c r="L381" s="73">
        <f>IF(Tabla22[[#This Row],[Req.2]]&gt;0,LOOKUP(Tabla22[[#This Row],[Product2]],$R$18:$R$23,$T$18:$T$23)*Tabla22[[#This Row],[Base price2]]*Tabla22[[#This Row],[Req.2]]*Tabla22[[#This Row],[QualityBonus]],0)</f>
        <v>6741.8915999999999</v>
      </c>
      <c r="M381" s="73">
        <f>IFERROR((Tabla22[[#This Row],[Base price1]]-LOOKUP(Tabla22[[#This Row],[Product]],$R$18:$R$23,$S$18:$S$23))*Tabla22[[#This Row],[Req.]],0)</f>
        <v>13904</v>
      </c>
      <c r="N381" s="73">
        <f>IF(Tabla22[[#This Row],[Req.2]]&gt;0,(Tabla22[[#This Row],[Base price2]]-LOOKUP(Tabla22[[#This Row],[Product2]],$R$18:$R$23,$S$18:$S$23))*Tabla22[[#This Row],[Req.2]],0)</f>
        <v>8557</v>
      </c>
      <c r="O381" s="73">
        <f>SUM(Tabla22[[#This Row],[Bonus1]:[p2]])</f>
        <v>35656.926800000001</v>
      </c>
      <c r="P381" s="73">
        <f>IF(Tabla22[[#This Row],[QualityBonus]]&gt;0,Tabla22[[#This Row],[No wages]]-$C$4,"")</f>
        <v>-12205.357438442225</v>
      </c>
    </row>
    <row r="382" spans="1:16" x14ac:dyDescent="0.25">
      <c r="A382" s="13">
        <v>366</v>
      </c>
      <c r="B382" s="13" t="s">
        <v>13</v>
      </c>
      <c r="C382" s="66">
        <v>2.7400000000000001E-2</v>
      </c>
      <c r="D382" s="2" t="s">
        <v>55</v>
      </c>
      <c r="E382" s="73">
        <v>82680</v>
      </c>
      <c r="F382" s="5">
        <v>4</v>
      </c>
      <c r="G382" s="2" t="s">
        <v>53</v>
      </c>
      <c r="H382" s="73">
        <v>42259</v>
      </c>
      <c r="I382" s="5">
        <v>3</v>
      </c>
      <c r="J382" s="74">
        <f>Tabla22[[#This Row],[Base price1]]*Tabla22[[#This Row],[Req.]]+Tabla22[[#This Row],[Base price2]]*Tabla22[[#This Row],[Req.2]]</f>
        <v>457497</v>
      </c>
      <c r="K382" s="73">
        <f>IFERROR(LOOKUP(Tabla22[[#This Row],[Product]],$R$18:$R$23,$T$18:$T$23)*Tabla22[[#This Row],[QualityBonus]]*Tabla22[[#This Row],[Base price1]]*Tabla22[[#This Row],[Req.]],0)</f>
        <v>36246.912000000004</v>
      </c>
      <c r="L382" s="73">
        <f>IF(Tabla22[[#This Row],[Req.2]]&gt;0,LOOKUP(Tabla22[[#This Row],[Product2]],$R$18:$R$23,$T$18:$T$23)*Tabla22[[#This Row],[Base price2]]*Tabla22[[#This Row],[Req.2]]*Tabla22[[#This Row],[QualityBonus]],0)</f>
        <v>13894.7592</v>
      </c>
      <c r="M382" s="73">
        <f>IFERROR((Tabla22[[#This Row],[Base price1]]-LOOKUP(Tabla22[[#This Row],[Product]],$R$18:$R$23,$S$18:$S$23))*Tabla22[[#This Row],[Req.]],0)</f>
        <v>22720</v>
      </c>
      <c r="N382" s="73">
        <f>IF(Tabla22[[#This Row],[Req.2]]&gt;0,(Tabla22[[#This Row],[Base price2]]-LOOKUP(Tabla22[[#This Row],[Product2]],$R$18:$R$23,$S$18:$S$23))*Tabla22[[#This Row],[Req.2]],0)</f>
        <v>24777</v>
      </c>
      <c r="O382" s="73">
        <f>SUM(Tabla22[[#This Row],[Bonus1]:[p2]])</f>
        <v>97638.671200000012</v>
      </c>
      <c r="P382" s="73">
        <f>IF(Tabla22[[#This Row],[QualityBonus]]&gt;0,Tabla22[[#This Row],[No wages]]-$C$4,"")</f>
        <v>49776.386961557786</v>
      </c>
    </row>
    <row r="383" spans="1:16" x14ac:dyDescent="0.25">
      <c r="A383" s="13">
        <v>367</v>
      </c>
      <c r="B383" s="13" t="s">
        <v>13</v>
      </c>
      <c r="C383" s="66">
        <v>2.9399999999999999E-2</v>
      </c>
      <c r="D383" s="2" t="s">
        <v>53</v>
      </c>
      <c r="E383" s="73">
        <v>42117</v>
      </c>
      <c r="F383" s="5">
        <v>3</v>
      </c>
      <c r="G383" s="2" t="s">
        <v>57</v>
      </c>
      <c r="H383" s="73">
        <v>86300</v>
      </c>
      <c r="I383" s="5">
        <v>3</v>
      </c>
      <c r="J383" s="74">
        <f>Tabla22[[#This Row],[Base price1]]*Tabla22[[#This Row],[Req.]]+Tabla22[[#This Row],[Base price2]]*Tabla22[[#This Row],[Req.2]]</f>
        <v>385251</v>
      </c>
      <c r="K383" s="73">
        <f>IFERROR(LOOKUP(Tabla22[[#This Row],[Product]],$R$18:$R$23,$T$18:$T$23)*Tabla22[[#This Row],[QualityBonus]]*Tabla22[[#This Row],[Base price1]]*Tabla22[[#This Row],[Req.]],0)</f>
        <v>14858.8776</v>
      </c>
      <c r="L383" s="73">
        <f>IF(Tabla22[[#This Row],[Req.2]]&gt;0,LOOKUP(Tabla22[[#This Row],[Product2]],$R$18:$R$23,$T$18:$T$23)*Tabla22[[#This Row],[Base price2]]*Tabla22[[#This Row],[Req.2]]*Tabla22[[#This Row],[QualityBonus]],0)</f>
        <v>30446.639999999999</v>
      </c>
      <c r="M383" s="73">
        <f>IFERROR((Tabla22[[#This Row],[Base price1]]-LOOKUP(Tabla22[[#This Row],[Product]],$R$18:$R$23,$S$18:$S$23))*Tabla22[[#This Row],[Req.]],0)</f>
        <v>24351</v>
      </c>
      <c r="N383" s="73">
        <f>IF(Tabla22[[#This Row],[Req.2]]&gt;0,(Tabla22[[#This Row],[Base price2]]-LOOKUP(Tabla22[[#This Row],[Product2]],$R$18:$R$23,$S$18:$S$23))*Tabla22[[#This Row],[Req.2]],0)</f>
        <v>27900</v>
      </c>
      <c r="O383" s="73">
        <f>SUM(Tabla22[[#This Row],[Bonus1]:[p2]])</f>
        <v>97556.517599999992</v>
      </c>
      <c r="P383" s="73">
        <f>IF(Tabla22[[#This Row],[QualityBonus]]&gt;0,Tabla22[[#This Row],[No wages]]-$C$4,"")</f>
        <v>49694.233361557766</v>
      </c>
    </row>
    <row r="384" spans="1:16" x14ac:dyDescent="0.25">
      <c r="A384" s="13">
        <v>368</v>
      </c>
      <c r="B384" s="13" t="s">
        <v>13</v>
      </c>
      <c r="C384" s="66">
        <v>1.66E-2</v>
      </c>
      <c r="D384" s="2" t="s">
        <v>55</v>
      </c>
      <c r="E384" s="73">
        <v>86386</v>
      </c>
      <c r="F384" s="5">
        <v>1</v>
      </c>
      <c r="G384" s="2" t="s">
        <v>53</v>
      </c>
      <c r="H384" s="73">
        <v>41757</v>
      </c>
      <c r="I384" s="5">
        <v>5</v>
      </c>
      <c r="J384" s="74">
        <f>Tabla22[[#This Row],[Base price1]]*Tabla22[[#This Row],[Req.]]+Tabla22[[#This Row],[Base price2]]*Tabla22[[#This Row],[Req.2]]</f>
        <v>295171</v>
      </c>
      <c r="K384" s="73">
        <f>IFERROR(LOOKUP(Tabla22[[#This Row],[Product]],$R$18:$R$23,$T$18:$T$23)*Tabla22[[#This Row],[QualityBonus]]*Tabla22[[#This Row],[Base price1]]*Tabla22[[#This Row],[Req.]],0)</f>
        <v>5736.0303999999996</v>
      </c>
      <c r="L384" s="73">
        <f>IF(Tabla22[[#This Row],[Req.2]]&gt;0,LOOKUP(Tabla22[[#This Row],[Product2]],$R$18:$R$23,$T$18:$T$23)*Tabla22[[#This Row],[Base price2]]*Tabla22[[#This Row],[Req.2]]*Tabla22[[#This Row],[QualityBonus]],0)</f>
        <v>13863.324000000001</v>
      </c>
      <c r="M384" s="73">
        <f>IFERROR((Tabla22[[#This Row],[Base price1]]-LOOKUP(Tabla22[[#This Row],[Product]],$R$18:$R$23,$S$18:$S$23))*Tabla22[[#This Row],[Req.]],0)</f>
        <v>9386</v>
      </c>
      <c r="N384" s="73">
        <f>IF(Tabla22[[#This Row],[Req.2]]&gt;0,(Tabla22[[#This Row],[Base price2]]-LOOKUP(Tabla22[[#This Row],[Product2]],$R$18:$R$23,$S$18:$S$23))*Tabla22[[#This Row],[Req.2]],0)</f>
        <v>38785</v>
      </c>
      <c r="O384" s="73">
        <f>SUM(Tabla22[[#This Row],[Bonus1]:[p2]])</f>
        <v>67770.354399999997</v>
      </c>
      <c r="P384" s="73">
        <f>IF(Tabla22[[#This Row],[QualityBonus]]&gt;0,Tabla22[[#This Row],[No wages]]-$C$4,"")</f>
        <v>19908.070161557771</v>
      </c>
    </row>
    <row r="385" spans="1:16" x14ac:dyDescent="0.25">
      <c r="A385" s="13">
        <v>369</v>
      </c>
      <c r="B385" s="13" t="s">
        <v>13</v>
      </c>
      <c r="C385" s="66">
        <v>1.5100000000000001E-2</v>
      </c>
      <c r="D385" s="2" t="s">
        <v>52</v>
      </c>
      <c r="E385" s="73">
        <v>117586</v>
      </c>
      <c r="F385" s="5">
        <v>4</v>
      </c>
      <c r="G385" s="2" t="s">
        <v>53</v>
      </c>
      <c r="H385" s="73">
        <v>39633</v>
      </c>
      <c r="I385" s="5">
        <v>3</v>
      </c>
      <c r="J385" s="74">
        <f>Tabla22[[#This Row],[Base price1]]*Tabla22[[#This Row],[Req.]]+Tabla22[[#This Row],[Base price2]]*Tabla22[[#This Row],[Req.2]]</f>
        <v>589243</v>
      </c>
      <c r="K385" s="73">
        <f>IFERROR(LOOKUP(Tabla22[[#This Row],[Product]],$R$18:$R$23,$T$18:$T$23)*Tabla22[[#This Row],[QualityBonus]]*Tabla22[[#This Row],[Base price1]]*Tabla22[[#This Row],[Req.]],0)</f>
        <v>42613.166400000002</v>
      </c>
      <c r="L385" s="73">
        <f>IF(Tabla22[[#This Row],[Req.2]]&gt;0,LOOKUP(Tabla22[[#This Row],[Product2]],$R$18:$R$23,$T$18:$T$23)*Tabla22[[#This Row],[Base price2]]*Tabla22[[#This Row],[Req.2]]*Tabla22[[#This Row],[QualityBonus]],0)</f>
        <v>7181.4996000000001</v>
      </c>
      <c r="M385" s="73">
        <f>IFERROR((Tabla22[[#This Row],[Base price1]]-LOOKUP(Tabla22[[#This Row],[Product]],$R$18:$R$23,$S$18:$S$23))*Tabla22[[#This Row],[Req.]],0)</f>
        <v>6344</v>
      </c>
      <c r="N385" s="73">
        <f>IF(Tabla22[[#This Row],[Req.2]]&gt;0,(Tabla22[[#This Row],[Base price2]]-LOOKUP(Tabla22[[#This Row],[Product2]],$R$18:$R$23,$S$18:$S$23))*Tabla22[[#This Row],[Req.2]],0)</f>
        <v>16899</v>
      </c>
      <c r="O385" s="73">
        <f>SUM(Tabla22[[#This Row],[Bonus1]:[p2]])</f>
        <v>73037.665999999997</v>
      </c>
      <c r="P385" s="73">
        <f>IF(Tabla22[[#This Row],[QualityBonus]]&gt;0,Tabla22[[#This Row],[No wages]]-$C$4,"")</f>
        <v>25175.381761557772</v>
      </c>
    </row>
    <row r="386" spans="1:16" x14ac:dyDescent="0.25">
      <c r="A386" s="13">
        <v>370</v>
      </c>
      <c r="B386" s="13" t="s">
        <v>13</v>
      </c>
      <c r="C386" s="66">
        <v>1.1900000000000001E-2</v>
      </c>
      <c r="D386" s="2" t="s">
        <v>53</v>
      </c>
      <c r="E386" s="73">
        <v>40405</v>
      </c>
      <c r="F386" s="5">
        <v>4</v>
      </c>
      <c r="G386" s="2"/>
      <c r="H386" s="73"/>
      <c r="I386" s="5"/>
      <c r="J386" s="74">
        <f>Tabla22[[#This Row],[Base price1]]*Tabla22[[#This Row],[Req.]]+Tabla22[[#This Row],[Base price2]]*Tabla22[[#This Row],[Req.2]]</f>
        <v>161620</v>
      </c>
      <c r="K386" s="73">
        <f>IFERROR(LOOKUP(Tabla22[[#This Row],[Product]],$R$18:$R$23,$T$18:$T$23)*Tabla22[[#This Row],[QualityBonus]]*Tabla22[[#This Row],[Base price1]]*Tabla22[[#This Row],[Req.]],0)</f>
        <v>7693.112000000001</v>
      </c>
      <c r="L386" s="73">
        <f>IF(Tabla22[[#This Row],[Req.2]]&gt;0,LOOKUP(Tabla22[[#This Row],[Product2]],$R$18:$R$23,$T$18:$T$23)*Tabla22[[#This Row],[Base price2]]*Tabla22[[#This Row],[Req.2]]*Tabla22[[#This Row],[QualityBonus]],0)</f>
        <v>0</v>
      </c>
      <c r="M386" s="73">
        <f>IFERROR((Tabla22[[#This Row],[Base price1]]-LOOKUP(Tabla22[[#This Row],[Product]],$R$18:$R$23,$S$18:$S$23))*Tabla22[[#This Row],[Req.]],0)</f>
        <v>25620</v>
      </c>
      <c r="N386" s="73">
        <f>IF(Tabla22[[#This Row],[Req.2]]&gt;0,(Tabla22[[#This Row],[Base price2]]-LOOKUP(Tabla22[[#This Row],[Product2]],$R$18:$R$23,$S$18:$S$23))*Tabla22[[#This Row],[Req.2]],0)</f>
        <v>0</v>
      </c>
      <c r="O386" s="73">
        <f>SUM(Tabla22[[#This Row],[Bonus1]:[p2]])</f>
        <v>33313.112000000001</v>
      </c>
      <c r="P386" s="73">
        <f>IF(Tabla22[[#This Row],[QualityBonus]]&gt;0,Tabla22[[#This Row],[No wages]]-$C$4,"")</f>
        <v>-14549.172238442225</v>
      </c>
    </row>
    <row r="387" spans="1:16" x14ac:dyDescent="0.25">
      <c r="A387" s="13">
        <v>371</v>
      </c>
      <c r="B387" s="13" t="s">
        <v>13</v>
      </c>
      <c r="C387" s="66">
        <v>2.5499999999999998E-2</v>
      </c>
      <c r="D387" s="2" t="s">
        <v>53</v>
      </c>
      <c r="E387" s="73">
        <v>41459</v>
      </c>
      <c r="F387" s="5">
        <v>3</v>
      </c>
      <c r="G387" s="2" t="s">
        <v>52</v>
      </c>
      <c r="H387" s="73">
        <v>123597</v>
      </c>
      <c r="I387" s="5">
        <v>2</v>
      </c>
      <c r="J387" s="74">
        <f>Tabla22[[#This Row],[Base price1]]*Tabla22[[#This Row],[Req.]]+Tabla22[[#This Row],[Base price2]]*Tabla22[[#This Row],[Req.2]]</f>
        <v>371571</v>
      </c>
      <c r="K387" s="73">
        <f>IFERROR(LOOKUP(Tabla22[[#This Row],[Product]],$R$18:$R$23,$T$18:$T$23)*Tabla22[[#This Row],[QualityBonus]]*Tabla22[[#This Row],[Base price1]]*Tabla22[[#This Row],[Req.]],0)</f>
        <v>12686.453999999998</v>
      </c>
      <c r="L387" s="73">
        <f>IF(Tabla22[[#This Row],[Req.2]]&gt;0,LOOKUP(Tabla22[[#This Row],[Product2]],$R$18:$R$23,$T$18:$T$23)*Tabla22[[#This Row],[Base price2]]*Tabla22[[#This Row],[Req.2]]*Tabla22[[#This Row],[QualityBonus]],0)</f>
        <v>37820.682000000001</v>
      </c>
      <c r="M387" s="73">
        <f>IFERROR((Tabla22[[#This Row],[Base price1]]-LOOKUP(Tabla22[[#This Row],[Product]],$R$18:$R$23,$S$18:$S$23))*Tabla22[[#This Row],[Req.]],0)</f>
        <v>22377</v>
      </c>
      <c r="N387" s="73">
        <f>IF(Tabla22[[#This Row],[Req.2]]&gt;0,(Tabla22[[#This Row],[Base price2]]-LOOKUP(Tabla22[[#This Row],[Product2]],$R$18:$R$23,$S$18:$S$23))*Tabla22[[#This Row],[Req.2]],0)</f>
        <v>15194</v>
      </c>
      <c r="O387" s="73">
        <f>SUM(Tabla22[[#This Row],[Bonus1]:[p2]])</f>
        <v>88078.135999999999</v>
      </c>
      <c r="P387" s="73">
        <f>IF(Tabla22[[#This Row],[QualityBonus]]&gt;0,Tabla22[[#This Row],[No wages]]-$C$4,"")</f>
        <v>40215.851761557773</v>
      </c>
    </row>
    <row r="388" spans="1:16" x14ac:dyDescent="0.25">
      <c r="A388" s="13">
        <v>372</v>
      </c>
      <c r="B388" s="13" t="s">
        <v>13</v>
      </c>
      <c r="C388" s="66">
        <v>1.7600000000000001E-2</v>
      </c>
      <c r="D388" s="2" t="s">
        <v>53</v>
      </c>
      <c r="E388" s="73">
        <v>41574</v>
      </c>
      <c r="F388" s="5">
        <v>3</v>
      </c>
      <c r="G388" s="2" t="s">
        <v>56</v>
      </c>
      <c r="H388" s="73">
        <v>228942</v>
      </c>
      <c r="I388" s="5">
        <v>2</v>
      </c>
      <c r="J388" s="74">
        <f>Tabla22[[#This Row],[Base price1]]*Tabla22[[#This Row],[Req.]]+Tabla22[[#This Row],[Base price2]]*Tabla22[[#This Row],[Req.2]]</f>
        <v>582606</v>
      </c>
      <c r="K388" s="73">
        <f>IFERROR(LOOKUP(Tabla22[[#This Row],[Product]],$R$18:$R$23,$T$18:$T$23)*Tabla22[[#This Row],[QualityBonus]]*Tabla22[[#This Row],[Base price1]]*Tabla22[[#This Row],[Req.]],0)</f>
        <v>8780.4287999999997</v>
      </c>
      <c r="L388" s="73">
        <f>IF(Tabla22[[#This Row],[Req.2]]&gt;0,LOOKUP(Tabla22[[#This Row],[Product2]],$R$18:$R$23,$T$18:$T$23)*Tabla22[[#This Row],[Base price2]]*Tabla22[[#This Row],[Req.2]]*Tabla22[[#This Row],[QualityBonus]],0)</f>
        <v>24176.2752</v>
      </c>
      <c r="M388" s="73">
        <f>IFERROR((Tabla22[[#This Row],[Base price1]]-LOOKUP(Tabla22[[#This Row],[Product]],$R$18:$R$23,$S$18:$S$23))*Tabla22[[#This Row],[Req.]],0)</f>
        <v>22722</v>
      </c>
      <c r="N388" s="73">
        <f>IF(Tabla22[[#This Row],[Req.2]]&gt;0,(Tabla22[[#This Row],[Base price2]]-LOOKUP(Tabla22[[#This Row],[Product2]],$R$18:$R$23,$S$18:$S$23))*Tabla22[[#This Row],[Req.2]],0)</f>
        <v>15884</v>
      </c>
      <c r="O388" s="73">
        <f>SUM(Tabla22[[#This Row],[Bonus1]:[p2]])</f>
        <v>71562.703999999998</v>
      </c>
      <c r="P388" s="73">
        <f>IF(Tabla22[[#This Row],[QualityBonus]]&gt;0,Tabla22[[#This Row],[No wages]]-$C$4,"")</f>
        <v>23700.419761557772</v>
      </c>
    </row>
    <row r="389" spans="1:16" x14ac:dyDescent="0.25">
      <c r="A389" s="13">
        <v>373</v>
      </c>
      <c r="B389" s="13" t="s">
        <v>13</v>
      </c>
      <c r="C389" s="66">
        <v>2.41E-2</v>
      </c>
      <c r="D389" s="2" t="s">
        <v>53</v>
      </c>
      <c r="E389" s="73">
        <v>41169</v>
      </c>
      <c r="F389" s="5">
        <v>2</v>
      </c>
      <c r="G389" s="2"/>
      <c r="H389" s="73"/>
      <c r="I389" s="5"/>
      <c r="J389" s="74">
        <f>Tabla22[[#This Row],[Base price1]]*Tabla22[[#This Row],[Req.]]+Tabla22[[#This Row],[Base price2]]*Tabla22[[#This Row],[Req.2]]</f>
        <v>82338</v>
      </c>
      <c r="K389" s="73">
        <f>IFERROR(LOOKUP(Tabla22[[#This Row],[Product]],$R$18:$R$23,$T$18:$T$23)*Tabla22[[#This Row],[QualityBonus]]*Tabla22[[#This Row],[Base price1]]*Tabla22[[#This Row],[Req.]],0)</f>
        <v>7937.3832000000002</v>
      </c>
      <c r="L389" s="73">
        <f>IF(Tabla22[[#This Row],[Req.2]]&gt;0,LOOKUP(Tabla22[[#This Row],[Product2]],$R$18:$R$23,$T$18:$T$23)*Tabla22[[#This Row],[Base price2]]*Tabla22[[#This Row],[Req.2]]*Tabla22[[#This Row],[QualityBonus]],0)</f>
        <v>0</v>
      </c>
      <c r="M389" s="73">
        <f>IFERROR((Tabla22[[#This Row],[Base price1]]-LOOKUP(Tabla22[[#This Row],[Product]],$R$18:$R$23,$S$18:$S$23))*Tabla22[[#This Row],[Req.]],0)</f>
        <v>14338</v>
      </c>
      <c r="N389" s="73">
        <f>IF(Tabla22[[#This Row],[Req.2]]&gt;0,(Tabla22[[#This Row],[Base price2]]-LOOKUP(Tabla22[[#This Row],[Product2]],$R$18:$R$23,$S$18:$S$23))*Tabla22[[#This Row],[Req.2]],0)</f>
        <v>0</v>
      </c>
      <c r="O389" s="73">
        <f>SUM(Tabla22[[#This Row],[Bonus1]:[p2]])</f>
        <v>22275.3832</v>
      </c>
      <c r="P389" s="73">
        <f>IF(Tabla22[[#This Row],[QualityBonus]]&gt;0,Tabla22[[#This Row],[No wages]]-$C$4,"")</f>
        <v>-25586.901038442225</v>
      </c>
    </row>
    <row r="390" spans="1:16" x14ac:dyDescent="0.25">
      <c r="A390" s="13">
        <v>374</v>
      </c>
      <c r="B390" s="13" t="s">
        <v>13</v>
      </c>
      <c r="C390" s="66">
        <v>1.5800000000000002E-2</v>
      </c>
      <c r="D390" s="2" t="s">
        <v>53</v>
      </c>
      <c r="E390" s="73">
        <v>62563</v>
      </c>
      <c r="F390" s="5">
        <v>2</v>
      </c>
      <c r="G390" s="2" t="s">
        <v>54</v>
      </c>
      <c r="H390" s="73">
        <v>59428</v>
      </c>
      <c r="I390" s="5">
        <v>2</v>
      </c>
      <c r="J390" s="74">
        <f>Tabla22[[#This Row],[Base price1]]*Tabla22[[#This Row],[Req.]]+Tabla22[[#This Row],[Base price2]]*Tabla22[[#This Row],[Req.2]]</f>
        <v>243982</v>
      </c>
      <c r="K390" s="73">
        <f>IFERROR(LOOKUP(Tabla22[[#This Row],[Product]],$R$18:$R$23,$T$18:$T$23)*Tabla22[[#This Row],[QualityBonus]]*Tabla22[[#This Row],[Base price1]]*Tabla22[[#This Row],[Req.]],0)</f>
        <v>7907.9632000000011</v>
      </c>
      <c r="L390" s="73">
        <f>IF(Tabla22[[#This Row],[Req.2]]&gt;0,LOOKUP(Tabla22[[#This Row],[Product2]],$R$18:$R$23,$T$18:$T$23)*Tabla22[[#This Row],[Base price2]]*Tabla22[[#This Row],[Req.2]]*Tabla22[[#This Row],[QualityBonus]],0)</f>
        <v>9389.6240000000016</v>
      </c>
      <c r="M390" s="73">
        <f>IFERROR((Tabla22[[#This Row],[Base price1]]-LOOKUP(Tabla22[[#This Row],[Product]],$R$18:$R$23,$S$18:$S$23))*Tabla22[[#This Row],[Req.]],0)</f>
        <v>57126</v>
      </c>
      <c r="N390" s="73">
        <f>IF(Tabla22[[#This Row],[Req.2]]&gt;0,(Tabla22[[#This Row],[Base price2]]-LOOKUP(Tabla22[[#This Row],[Product2]],$R$18:$R$23,$S$18:$S$23))*Tabla22[[#This Row],[Req.2]],0)</f>
        <v>5856</v>
      </c>
      <c r="O390" s="73">
        <f>SUM(Tabla22[[#This Row],[Bonus1]:[p2]])</f>
        <v>80279.587200000009</v>
      </c>
      <c r="P390" s="73">
        <f>IF(Tabla22[[#This Row],[QualityBonus]]&gt;0,Tabla22[[#This Row],[No wages]]-$C$4,"")</f>
        <v>32417.302961557783</v>
      </c>
    </row>
    <row r="391" spans="1:16" x14ac:dyDescent="0.25">
      <c r="A391" s="13">
        <v>375</v>
      </c>
      <c r="B391" s="13" t="s">
        <v>13</v>
      </c>
      <c r="C391" s="66">
        <v>1.8700000000000001E-2</v>
      </c>
      <c r="D391" s="2" t="s">
        <v>54</v>
      </c>
      <c r="E391" s="73">
        <v>59953</v>
      </c>
      <c r="F391" s="5">
        <v>1</v>
      </c>
      <c r="G391" s="2"/>
      <c r="H391" s="73"/>
      <c r="I391" s="5"/>
      <c r="J391" s="74">
        <f>Tabla22[[#This Row],[Base price1]]*Tabla22[[#This Row],[Req.]]+Tabla22[[#This Row],[Base price2]]*Tabla22[[#This Row],[Req.2]]</f>
        <v>59953</v>
      </c>
      <c r="K391" s="73">
        <f>IFERROR(LOOKUP(Tabla22[[#This Row],[Product]],$R$18:$R$23,$T$18:$T$23)*Tabla22[[#This Row],[QualityBonus]]*Tabla22[[#This Row],[Base price1]]*Tabla22[[#This Row],[Req.]],0)</f>
        <v>5605.6054999999997</v>
      </c>
      <c r="L391" s="73">
        <f>IF(Tabla22[[#This Row],[Req.2]]&gt;0,LOOKUP(Tabla22[[#This Row],[Product2]],$R$18:$R$23,$T$18:$T$23)*Tabla22[[#This Row],[Base price2]]*Tabla22[[#This Row],[Req.2]]*Tabla22[[#This Row],[QualityBonus]],0)</f>
        <v>0</v>
      </c>
      <c r="M391" s="73">
        <f>IFERROR((Tabla22[[#This Row],[Base price1]]-LOOKUP(Tabla22[[#This Row],[Product]],$R$18:$R$23,$S$18:$S$23))*Tabla22[[#This Row],[Req.]],0)</f>
        <v>3453</v>
      </c>
      <c r="N391" s="73">
        <f>IF(Tabla22[[#This Row],[Req.2]]&gt;0,(Tabla22[[#This Row],[Base price2]]-LOOKUP(Tabla22[[#This Row],[Product2]],$R$18:$R$23,$S$18:$S$23))*Tabla22[[#This Row],[Req.2]],0)</f>
        <v>0</v>
      </c>
      <c r="O391" s="73">
        <f>SUM(Tabla22[[#This Row],[Bonus1]:[p2]])</f>
        <v>9058.6054999999997</v>
      </c>
      <c r="P391" s="73">
        <f>IF(Tabla22[[#This Row],[QualityBonus]]&gt;0,Tabla22[[#This Row],[No wages]]-$C$4,"")</f>
        <v>-38803.678738442228</v>
      </c>
    </row>
    <row r="392" spans="1:16" x14ac:dyDescent="0.25">
      <c r="A392" s="13">
        <v>376</v>
      </c>
      <c r="B392" s="13" t="s">
        <v>13</v>
      </c>
      <c r="C392" s="66">
        <v>1.2999999999999999E-2</v>
      </c>
      <c r="D392" s="2" t="s">
        <v>53</v>
      </c>
      <c r="E392" s="73">
        <v>39951</v>
      </c>
      <c r="F392" s="5">
        <v>5</v>
      </c>
      <c r="G392" s="2" t="s">
        <v>54</v>
      </c>
      <c r="H392" s="73">
        <v>60446</v>
      </c>
      <c r="I392" s="5">
        <v>1</v>
      </c>
      <c r="J392" s="74">
        <f>Tabla22[[#This Row],[Base price1]]*Tabla22[[#This Row],[Req.]]+Tabla22[[#This Row],[Base price2]]*Tabla22[[#This Row],[Req.2]]</f>
        <v>260201</v>
      </c>
      <c r="K392" s="73">
        <f>IFERROR(LOOKUP(Tabla22[[#This Row],[Product]],$R$18:$R$23,$T$18:$T$23)*Tabla22[[#This Row],[QualityBonus]]*Tabla22[[#This Row],[Base price1]]*Tabla22[[#This Row],[Req.]],0)</f>
        <v>10387.259999999998</v>
      </c>
      <c r="L392" s="73">
        <f>IF(Tabla22[[#This Row],[Req.2]]&gt;0,LOOKUP(Tabla22[[#This Row],[Product2]],$R$18:$R$23,$T$18:$T$23)*Tabla22[[#This Row],[Base price2]]*Tabla22[[#This Row],[Req.2]]*Tabla22[[#This Row],[QualityBonus]],0)</f>
        <v>3928.99</v>
      </c>
      <c r="M392" s="73">
        <f>IFERROR((Tabla22[[#This Row],[Base price1]]-LOOKUP(Tabla22[[#This Row],[Product]],$R$18:$R$23,$S$18:$S$23))*Tabla22[[#This Row],[Req.]],0)</f>
        <v>29755</v>
      </c>
      <c r="N392" s="73">
        <f>IF(Tabla22[[#This Row],[Req.2]]&gt;0,(Tabla22[[#This Row],[Base price2]]-LOOKUP(Tabla22[[#This Row],[Product2]],$R$18:$R$23,$S$18:$S$23))*Tabla22[[#This Row],[Req.2]],0)</f>
        <v>3946</v>
      </c>
      <c r="O392" s="73">
        <f>SUM(Tabla22[[#This Row],[Bonus1]:[p2]])</f>
        <v>48017.25</v>
      </c>
      <c r="P392" s="73">
        <f>IF(Tabla22[[#This Row],[QualityBonus]]&gt;0,Tabla22[[#This Row],[No wages]]-$C$4,"")</f>
        <v>154.96576155777439</v>
      </c>
    </row>
    <row r="393" spans="1:16" x14ac:dyDescent="0.25">
      <c r="A393" s="13">
        <v>377</v>
      </c>
      <c r="B393" s="13" t="s">
        <v>13</v>
      </c>
      <c r="C393" s="66">
        <v>1.9E-2</v>
      </c>
      <c r="D393" s="2" t="s">
        <v>53</v>
      </c>
      <c r="E393" s="73">
        <v>41050</v>
      </c>
      <c r="F393" s="5">
        <v>5</v>
      </c>
      <c r="G393" s="2" t="s">
        <v>54</v>
      </c>
      <c r="H393" s="73">
        <v>60838</v>
      </c>
      <c r="I393" s="5">
        <v>4</v>
      </c>
      <c r="J393" s="74">
        <f>Tabla22[[#This Row],[Base price1]]*Tabla22[[#This Row],[Req.]]+Tabla22[[#This Row],[Base price2]]*Tabla22[[#This Row],[Req.2]]</f>
        <v>448602</v>
      </c>
      <c r="K393" s="73">
        <f>IFERROR(LOOKUP(Tabla22[[#This Row],[Product]],$R$18:$R$23,$T$18:$T$23)*Tabla22[[#This Row],[QualityBonus]]*Tabla22[[#This Row],[Base price1]]*Tabla22[[#This Row],[Req.]],0)</f>
        <v>15598.999999999998</v>
      </c>
      <c r="L393" s="73">
        <f>IF(Tabla22[[#This Row],[Req.2]]&gt;0,LOOKUP(Tabla22[[#This Row],[Product2]],$R$18:$R$23,$T$18:$T$23)*Tabla22[[#This Row],[Base price2]]*Tabla22[[#This Row],[Req.2]]*Tabla22[[#This Row],[QualityBonus]],0)</f>
        <v>23118.44</v>
      </c>
      <c r="M393" s="73">
        <f>IFERROR((Tabla22[[#This Row],[Base price1]]-LOOKUP(Tabla22[[#This Row],[Product]],$R$18:$R$23,$S$18:$S$23))*Tabla22[[#This Row],[Req.]],0)</f>
        <v>35250</v>
      </c>
      <c r="N393" s="73">
        <f>IF(Tabla22[[#This Row],[Req.2]]&gt;0,(Tabla22[[#This Row],[Base price2]]-LOOKUP(Tabla22[[#This Row],[Product2]],$R$18:$R$23,$S$18:$S$23))*Tabla22[[#This Row],[Req.2]],0)</f>
        <v>17352</v>
      </c>
      <c r="O393" s="73">
        <f>SUM(Tabla22[[#This Row],[Bonus1]:[p2]])</f>
        <v>91319.44</v>
      </c>
      <c r="P393" s="73">
        <f>IF(Tabla22[[#This Row],[QualityBonus]]&gt;0,Tabla22[[#This Row],[No wages]]-$C$4,"")</f>
        <v>43457.155761557777</v>
      </c>
    </row>
    <row r="394" spans="1:16" x14ac:dyDescent="0.25">
      <c r="A394" s="13">
        <v>378</v>
      </c>
      <c r="B394" s="13" t="s">
        <v>13</v>
      </c>
      <c r="C394" s="66">
        <v>2.1000000000000001E-2</v>
      </c>
      <c r="D394" s="2" t="s">
        <v>55</v>
      </c>
      <c r="E394" s="73">
        <v>82848</v>
      </c>
      <c r="F394" s="5">
        <v>2</v>
      </c>
      <c r="G394" s="2" t="s">
        <v>54</v>
      </c>
      <c r="H394" s="73">
        <v>59510</v>
      </c>
      <c r="I394" s="5">
        <v>4</v>
      </c>
      <c r="J394" s="74">
        <f>Tabla22[[#This Row],[Base price1]]*Tabla22[[#This Row],[Req.]]+Tabla22[[#This Row],[Base price2]]*Tabla22[[#This Row],[Req.2]]</f>
        <v>403736</v>
      </c>
      <c r="K394" s="73">
        <f>IFERROR(LOOKUP(Tabla22[[#This Row],[Product]],$R$18:$R$23,$T$18:$T$23)*Tabla22[[#This Row],[QualityBonus]]*Tabla22[[#This Row],[Base price1]]*Tabla22[[#This Row],[Req.]],0)</f>
        <v>13918.464000000002</v>
      </c>
      <c r="L394" s="73">
        <f>IF(Tabla22[[#This Row],[Req.2]]&gt;0,LOOKUP(Tabla22[[#This Row],[Product2]],$R$18:$R$23,$T$18:$T$23)*Tabla22[[#This Row],[Base price2]]*Tabla22[[#This Row],[Req.2]]*Tabla22[[#This Row],[QualityBonus]],0)</f>
        <v>24994.2</v>
      </c>
      <c r="M394" s="73">
        <f>IFERROR((Tabla22[[#This Row],[Base price1]]-LOOKUP(Tabla22[[#This Row],[Product]],$R$18:$R$23,$S$18:$S$23))*Tabla22[[#This Row],[Req.]],0)</f>
        <v>11696</v>
      </c>
      <c r="N394" s="73">
        <f>IF(Tabla22[[#This Row],[Req.2]]&gt;0,(Tabla22[[#This Row],[Base price2]]-LOOKUP(Tabla22[[#This Row],[Product2]],$R$18:$R$23,$S$18:$S$23))*Tabla22[[#This Row],[Req.2]],0)</f>
        <v>12040</v>
      </c>
      <c r="O394" s="73">
        <f>SUM(Tabla22[[#This Row],[Bonus1]:[p2]])</f>
        <v>62648.664000000004</v>
      </c>
      <c r="P394" s="73">
        <f>IF(Tabla22[[#This Row],[QualityBonus]]&gt;0,Tabla22[[#This Row],[No wages]]-$C$4,"")</f>
        <v>14786.379761557779</v>
      </c>
    </row>
    <row r="395" spans="1:16" x14ac:dyDescent="0.25">
      <c r="A395" s="13">
        <v>379</v>
      </c>
      <c r="B395" s="13" t="s">
        <v>13</v>
      </c>
      <c r="C395" s="66">
        <v>1.66E-2</v>
      </c>
      <c r="D395" s="2" t="s">
        <v>53</v>
      </c>
      <c r="E395" s="73">
        <v>41381</v>
      </c>
      <c r="F395" s="5">
        <v>3</v>
      </c>
      <c r="G395" s="2" t="s">
        <v>54</v>
      </c>
      <c r="H395" s="73">
        <v>60193</v>
      </c>
      <c r="I395" s="5">
        <v>3</v>
      </c>
      <c r="J395" s="74">
        <f>Tabla22[[#This Row],[Base price1]]*Tabla22[[#This Row],[Req.]]+Tabla22[[#This Row],[Base price2]]*Tabla22[[#This Row],[Req.2]]</f>
        <v>304722</v>
      </c>
      <c r="K395" s="73">
        <f>IFERROR(LOOKUP(Tabla22[[#This Row],[Product]],$R$18:$R$23,$T$18:$T$23)*Tabla22[[#This Row],[QualityBonus]]*Tabla22[[#This Row],[Base price1]]*Tabla22[[#This Row],[Req.]],0)</f>
        <v>8243.0951999999997</v>
      </c>
      <c r="L395" s="73">
        <f>IF(Tabla22[[#This Row],[Req.2]]&gt;0,LOOKUP(Tabla22[[#This Row],[Product2]],$R$18:$R$23,$T$18:$T$23)*Tabla22[[#This Row],[Base price2]]*Tabla22[[#This Row],[Req.2]]*Tabla22[[#This Row],[QualityBonus]],0)</f>
        <v>14988.057000000001</v>
      </c>
      <c r="M395" s="73">
        <f>IFERROR((Tabla22[[#This Row],[Base price1]]-LOOKUP(Tabla22[[#This Row],[Product]],$R$18:$R$23,$S$18:$S$23))*Tabla22[[#This Row],[Req.]],0)</f>
        <v>22143</v>
      </c>
      <c r="N395" s="73">
        <f>IF(Tabla22[[#This Row],[Req.2]]&gt;0,(Tabla22[[#This Row],[Base price2]]-LOOKUP(Tabla22[[#This Row],[Product2]],$R$18:$R$23,$S$18:$S$23))*Tabla22[[#This Row],[Req.2]],0)</f>
        <v>11079</v>
      </c>
      <c r="O395" s="73">
        <f>SUM(Tabla22[[#This Row],[Bonus1]:[p2]])</f>
        <v>56453.152199999997</v>
      </c>
      <c r="P395" s="73">
        <f>IF(Tabla22[[#This Row],[QualityBonus]]&gt;0,Tabla22[[#This Row],[No wages]]-$C$4,"")</f>
        <v>8590.8679615577712</v>
      </c>
    </row>
    <row r="396" spans="1:16" x14ac:dyDescent="0.25">
      <c r="A396" s="13">
        <v>380</v>
      </c>
      <c r="B396" s="13" t="s">
        <v>13</v>
      </c>
      <c r="C396" s="66">
        <v>1.01E-2</v>
      </c>
      <c r="D396" s="2" t="s">
        <v>54</v>
      </c>
      <c r="E396" s="73">
        <v>62612</v>
      </c>
      <c r="F396" s="5">
        <v>1</v>
      </c>
      <c r="G396" s="2" t="s">
        <v>52</v>
      </c>
      <c r="H396" s="73">
        <v>116596</v>
      </c>
      <c r="I396" s="5">
        <v>4</v>
      </c>
      <c r="J396" s="74">
        <f>Tabla22[[#This Row],[Base price1]]*Tabla22[[#This Row],[Req.]]+Tabla22[[#This Row],[Base price2]]*Tabla22[[#This Row],[Req.2]]</f>
        <v>528996</v>
      </c>
      <c r="K396" s="73">
        <f>IFERROR(LOOKUP(Tabla22[[#This Row],[Product]],$R$18:$R$23,$T$18:$T$23)*Tabla22[[#This Row],[QualityBonus]]*Tabla22[[#This Row],[Base price1]]*Tabla22[[#This Row],[Req.]],0)</f>
        <v>3161.9059999999999</v>
      </c>
      <c r="L396" s="73">
        <f>IF(Tabla22[[#This Row],[Req.2]]&gt;0,LOOKUP(Tabla22[[#This Row],[Product2]],$R$18:$R$23,$T$18:$T$23)*Tabla22[[#This Row],[Base price2]]*Tabla22[[#This Row],[Req.2]]*Tabla22[[#This Row],[QualityBonus]],0)</f>
        <v>28262.8704</v>
      </c>
      <c r="M396" s="73">
        <f>IFERROR((Tabla22[[#This Row],[Base price1]]-LOOKUP(Tabla22[[#This Row],[Product]],$R$18:$R$23,$S$18:$S$23))*Tabla22[[#This Row],[Req.]],0)</f>
        <v>6112</v>
      </c>
      <c r="N396" s="73">
        <f>IF(Tabla22[[#This Row],[Req.2]]&gt;0,(Tabla22[[#This Row],[Base price2]]-LOOKUP(Tabla22[[#This Row],[Product2]],$R$18:$R$23,$S$18:$S$23))*Tabla22[[#This Row],[Req.2]],0)</f>
        <v>2384</v>
      </c>
      <c r="O396" s="73">
        <f>SUM(Tabla22[[#This Row],[Bonus1]:[p2]])</f>
        <v>39920.776400000002</v>
      </c>
      <c r="P396" s="73">
        <f>IF(Tabla22[[#This Row],[QualityBonus]]&gt;0,Tabla22[[#This Row],[No wages]]-$C$4,"")</f>
        <v>-7941.5078384422231</v>
      </c>
    </row>
    <row r="397" spans="1:16" x14ac:dyDescent="0.25">
      <c r="A397" s="13">
        <v>381</v>
      </c>
      <c r="B397" s="13" t="s">
        <v>13</v>
      </c>
      <c r="C397" s="66">
        <v>1.55E-2</v>
      </c>
      <c r="D397" s="2" t="s">
        <v>53</v>
      </c>
      <c r="E397" s="73">
        <v>42464</v>
      </c>
      <c r="F397" s="5">
        <v>4</v>
      </c>
      <c r="G397" s="2" t="s">
        <v>54</v>
      </c>
      <c r="H397" s="73">
        <v>61372</v>
      </c>
      <c r="I397" s="5">
        <v>2</v>
      </c>
      <c r="J397" s="74">
        <f>Tabla22[[#This Row],[Base price1]]*Tabla22[[#This Row],[Req.]]+Tabla22[[#This Row],[Base price2]]*Tabla22[[#This Row],[Req.2]]</f>
        <v>292600</v>
      </c>
      <c r="K397" s="73">
        <f>IFERROR(LOOKUP(Tabla22[[#This Row],[Product]],$R$18:$R$23,$T$18:$T$23)*Tabla22[[#This Row],[QualityBonus]]*Tabla22[[#This Row],[Base price1]]*Tabla22[[#This Row],[Req.]],0)</f>
        <v>10531.072</v>
      </c>
      <c r="L397" s="73">
        <f>IF(Tabla22[[#This Row],[Req.2]]&gt;0,LOOKUP(Tabla22[[#This Row],[Product2]],$R$18:$R$23,$T$18:$T$23)*Tabla22[[#This Row],[Base price2]]*Tabla22[[#This Row],[Req.2]]*Tabla22[[#This Row],[QualityBonus]],0)</f>
        <v>9512.66</v>
      </c>
      <c r="M397" s="73">
        <f>IFERROR((Tabla22[[#This Row],[Base price1]]-LOOKUP(Tabla22[[#This Row],[Product]],$R$18:$R$23,$S$18:$S$23))*Tabla22[[#This Row],[Req.]],0)</f>
        <v>33856</v>
      </c>
      <c r="N397" s="73">
        <f>IF(Tabla22[[#This Row],[Req.2]]&gt;0,(Tabla22[[#This Row],[Base price2]]-LOOKUP(Tabla22[[#This Row],[Product2]],$R$18:$R$23,$S$18:$S$23))*Tabla22[[#This Row],[Req.2]],0)</f>
        <v>9744</v>
      </c>
      <c r="O397" s="73">
        <f>SUM(Tabla22[[#This Row],[Bonus1]:[p2]])</f>
        <v>63643.732000000004</v>
      </c>
      <c r="P397" s="73">
        <f>IF(Tabla22[[#This Row],[QualityBonus]]&gt;0,Tabla22[[#This Row],[No wages]]-$C$4,"")</f>
        <v>15781.447761557778</v>
      </c>
    </row>
    <row r="398" spans="1:16" x14ac:dyDescent="0.25">
      <c r="A398" s="13">
        <v>382</v>
      </c>
      <c r="B398" s="13" t="s">
        <v>13</v>
      </c>
      <c r="C398" s="66">
        <v>2.81E-2</v>
      </c>
      <c r="D398" s="2" t="s">
        <v>53</v>
      </c>
      <c r="E398" s="73">
        <v>42085</v>
      </c>
      <c r="F398" s="5">
        <v>2</v>
      </c>
      <c r="G398" s="2" t="s">
        <v>54</v>
      </c>
      <c r="H398" s="73">
        <v>59069</v>
      </c>
      <c r="I398" s="5">
        <v>4</v>
      </c>
      <c r="J398" s="74">
        <f>Tabla22[[#This Row],[Base price1]]*Tabla22[[#This Row],[Req.]]+Tabla22[[#This Row],[Base price2]]*Tabla22[[#This Row],[Req.2]]</f>
        <v>320446</v>
      </c>
      <c r="K398" s="73">
        <f>IFERROR(LOOKUP(Tabla22[[#This Row],[Product]],$R$18:$R$23,$T$18:$T$23)*Tabla22[[#This Row],[QualityBonus]]*Tabla22[[#This Row],[Base price1]]*Tabla22[[#This Row],[Req.]],0)</f>
        <v>9460.7080000000005</v>
      </c>
      <c r="L398" s="73">
        <f>IF(Tabla22[[#This Row],[Req.2]]&gt;0,LOOKUP(Tabla22[[#This Row],[Product2]],$R$18:$R$23,$T$18:$T$23)*Tabla22[[#This Row],[Base price2]]*Tabla22[[#This Row],[Req.2]]*Tabla22[[#This Row],[QualityBonus]],0)</f>
        <v>33196.777999999998</v>
      </c>
      <c r="M398" s="73">
        <f>IFERROR((Tabla22[[#This Row],[Base price1]]-LOOKUP(Tabla22[[#This Row],[Product]],$R$18:$R$23,$S$18:$S$23))*Tabla22[[#This Row],[Req.]],0)</f>
        <v>16170</v>
      </c>
      <c r="N398" s="73">
        <f>IF(Tabla22[[#This Row],[Req.2]]&gt;0,(Tabla22[[#This Row],[Base price2]]-LOOKUP(Tabla22[[#This Row],[Product2]],$R$18:$R$23,$S$18:$S$23))*Tabla22[[#This Row],[Req.2]],0)</f>
        <v>10276</v>
      </c>
      <c r="O398" s="73">
        <f>SUM(Tabla22[[#This Row],[Bonus1]:[p2]])</f>
        <v>69103.486000000004</v>
      </c>
      <c r="P398" s="73">
        <f>IF(Tabla22[[#This Row],[QualityBonus]]&gt;0,Tabla22[[#This Row],[No wages]]-$C$4,"")</f>
        <v>21241.201761557779</v>
      </c>
    </row>
    <row r="399" spans="1:16" x14ac:dyDescent="0.25">
      <c r="A399" s="13">
        <v>383</v>
      </c>
      <c r="B399" s="13" t="s">
        <v>13</v>
      </c>
      <c r="C399" s="66">
        <v>2.07E-2</v>
      </c>
      <c r="D399" s="2" t="s">
        <v>53</v>
      </c>
      <c r="E399" s="73">
        <v>41801</v>
      </c>
      <c r="F399" s="5">
        <v>2</v>
      </c>
      <c r="G399" s="2" t="s">
        <v>54</v>
      </c>
      <c r="H399" s="73">
        <v>60765</v>
      </c>
      <c r="I399" s="5">
        <v>4</v>
      </c>
      <c r="J399" s="74">
        <f>Tabla22[[#This Row],[Base price1]]*Tabla22[[#This Row],[Req.]]+Tabla22[[#This Row],[Base price2]]*Tabla22[[#This Row],[Req.2]]</f>
        <v>326662</v>
      </c>
      <c r="K399" s="73">
        <f>IFERROR(LOOKUP(Tabla22[[#This Row],[Product]],$R$18:$R$23,$T$18:$T$23)*Tabla22[[#This Row],[QualityBonus]]*Tabla22[[#This Row],[Base price1]]*Tabla22[[#This Row],[Req.]],0)</f>
        <v>6922.2456000000002</v>
      </c>
      <c r="L399" s="73">
        <f>IF(Tabla22[[#This Row],[Req.2]]&gt;0,LOOKUP(Tabla22[[#This Row],[Product2]],$R$18:$R$23,$T$18:$T$23)*Tabla22[[#This Row],[Base price2]]*Tabla22[[#This Row],[Req.2]]*Tabla22[[#This Row],[QualityBonus]],0)</f>
        <v>25156.71</v>
      </c>
      <c r="M399" s="73">
        <f>IFERROR((Tabla22[[#This Row],[Base price1]]-LOOKUP(Tabla22[[#This Row],[Product]],$R$18:$R$23,$S$18:$S$23))*Tabla22[[#This Row],[Req.]],0)</f>
        <v>15602</v>
      </c>
      <c r="N399" s="73">
        <f>IF(Tabla22[[#This Row],[Req.2]]&gt;0,(Tabla22[[#This Row],[Base price2]]-LOOKUP(Tabla22[[#This Row],[Product2]],$R$18:$R$23,$S$18:$S$23))*Tabla22[[#This Row],[Req.2]],0)</f>
        <v>17060</v>
      </c>
      <c r="O399" s="73">
        <f>SUM(Tabla22[[#This Row],[Bonus1]:[p2]])</f>
        <v>64740.955600000001</v>
      </c>
      <c r="P399" s="73">
        <f>IF(Tabla22[[#This Row],[QualityBonus]]&gt;0,Tabla22[[#This Row],[No wages]]-$C$4,"")</f>
        <v>16878.671361557776</v>
      </c>
    </row>
    <row r="400" spans="1:16" x14ac:dyDescent="0.25">
      <c r="A400" s="13">
        <v>384</v>
      </c>
      <c r="B400" s="13" t="s">
        <v>13</v>
      </c>
      <c r="C400" s="66">
        <v>2.4500000000000001E-2</v>
      </c>
      <c r="D400" s="2" t="s">
        <v>54</v>
      </c>
      <c r="E400" s="73">
        <v>59816</v>
      </c>
      <c r="F400" s="5">
        <v>4</v>
      </c>
      <c r="G400" s="2" t="s">
        <v>56</v>
      </c>
      <c r="H400" s="73">
        <v>228181</v>
      </c>
      <c r="I400" s="5">
        <v>4</v>
      </c>
      <c r="J400" s="74">
        <f>Tabla22[[#This Row],[Base price1]]*Tabla22[[#This Row],[Req.]]+Tabla22[[#This Row],[Base price2]]*Tabla22[[#This Row],[Req.2]]</f>
        <v>1151988</v>
      </c>
      <c r="K400" s="73">
        <f>IFERROR(LOOKUP(Tabla22[[#This Row],[Product]],$R$18:$R$23,$T$18:$T$23)*Tabla22[[#This Row],[QualityBonus]]*Tabla22[[#This Row],[Base price1]]*Tabla22[[#This Row],[Req.]],0)</f>
        <v>29309.84</v>
      </c>
      <c r="L400" s="73">
        <f>IF(Tabla22[[#This Row],[Req.2]]&gt;0,LOOKUP(Tabla22[[#This Row],[Product2]],$R$18:$R$23,$T$18:$T$23)*Tabla22[[#This Row],[Base price2]]*Tabla22[[#This Row],[Req.2]]*Tabla22[[#This Row],[QualityBonus]],0)</f>
        <v>67085.214000000007</v>
      </c>
      <c r="M400" s="73">
        <f>IFERROR((Tabla22[[#This Row],[Base price1]]-LOOKUP(Tabla22[[#This Row],[Product]],$R$18:$R$23,$S$18:$S$23))*Tabla22[[#This Row],[Req.]],0)</f>
        <v>13264</v>
      </c>
      <c r="N400" s="73">
        <f>IF(Tabla22[[#This Row],[Req.2]]&gt;0,(Tabla22[[#This Row],[Base price2]]-LOOKUP(Tabla22[[#This Row],[Product2]],$R$18:$R$23,$S$18:$S$23))*Tabla22[[#This Row],[Req.2]],0)</f>
        <v>28724</v>
      </c>
      <c r="O400" s="73">
        <f>SUM(Tabla22[[#This Row],[Bonus1]:[p2]])</f>
        <v>138383.054</v>
      </c>
      <c r="P400" s="73">
        <f>IF(Tabla22[[#This Row],[QualityBonus]]&gt;0,Tabla22[[#This Row],[No wages]]-$C$4,"")</f>
        <v>90520.769761557778</v>
      </c>
    </row>
    <row r="401" spans="1:16" x14ac:dyDescent="0.25">
      <c r="A401" s="13">
        <v>385</v>
      </c>
      <c r="B401" s="13" t="s">
        <v>13</v>
      </c>
      <c r="C401" s="66">
        <v>1.54E-2</v>
      </c>
      <c r="D401" s="2" t="s">
        <v>52</v>
      </c>
      <c r="E401" s="73">
        <v>119808</v>
      </c>
      <c r="F401" s="5">
        <v>3</v>
      </c>
      <c r="G401" s="2" t="s">
        <v>54</v>
      </c>
      <c r="H401" s="73">
        <v>61530</v>
      </c>
      <c r="I401" s="5">
        <v>1</v>
      </c>
      <c r="J401" s="74">
        <f>Tabla22[[#This Row],[Base price1]]*Tabla22[[#This Row],[Req.]]+Tabla22[[#This Row],[Base price2]]*Tabla22[[#This Row],[Req.2]]</f>
        <v>420954</v>
      </c>
      <c r="K401" s="73">
        <f>IFERROR(LOOKUP(Tabla22[[#This Row],[Product]],$R$18:$R$23,$T$18:$T$23)*Tabla22[[#This Row],[QualityBonus]]*Tabla22[[#This Row],[Base price1]]*Tabla22[[#This Row],[Req.]],0)</f>
        <v>33210.777600000001</v>
      </c>
      <c r="L401" s="73">
        <f>IF(Tabla22[[#This Row],[Req.2]]&gt;0,LOOKUP(Tabla22[[#This Row],[Product2]],$R$18:$R$23,$T$18:$T$23)*Tabla22[[#This Row],[Base price2]]*Tabla22[[#This Row],[Req.2]]*Tabla22[[#This Row],[QualityBonus]],0)</f>
        <v>4737.8100000000004</v>
      </c>
      <c r="M401" s="73">
        <f>IFERROR((Tabla22[[#This Row],[Base price1]]-LOOKUP(Tabla22[[#This Row],[Product]],$R$18:$R$23,$S$18:$S$23))*Tabla22[[#This Row],[Req.]],0)</f>
        <v>11424</v>
      </c>
      <c r="N401" s="73">
        <f>IF(Tabla22[[#This Row],[Req.2]]&gt;0,(Tabla22[[#This Row],[Base price2]]-LOOKUP(Tabla22[[#This Row],[Product2]],$R$18:$R$23,$S$18:$S$23))*Tabla22[[#This Row],[Req.2]],0)</f>
        <v>5030</v>
      </c>
      <c r="O401" s="73">
        <f>SUM(Tabla22[[#This Row],[Bonus1]:[p2]])</f>
        <v>54402.587599999999</v>
      </c>
      <c r="P401" s="73">
        <f>IF(Tabla22[[#This Row],[QualityBonus]]&gt;0,Tabla22[[#This Row],[No wages]]-$C$4,"")</f>
        <v>6540.3033615577733</v>
      </c>
    </row>
    <row r="402" spans="1:16" x14ac:dyDescent="0.25">
      <c r="A402" s="13">
        <v>386</v>
      </c>
      <c r="B402" s="13" t="s">
        <v>13</v>
      </c>
      <c r="C402" s="66">
        <v>2.1700000000000001E-2</v>
      </c>
      <c r="D402" s="2" t="s">
        <v>52</v>
      </c>
      <c r="E402" s="73">
        <v>123941</v>
      </c>
      <c r="F402" s="5">
        <v>1</v>
      </c>
      <c r="G402" s="2" t="s">
        <v>54</v>
      </c>
      <c r="H402" s="73">
        <v>61292</v>
      </c>
      <c r="I402" s="5">
        <v>3</v>
      </c>
      <c r="J402" s="74">
        <f>Tabla22[[#This Row],[Base price1]]*Tabla22[[#This Row],[Req.]]+Tabla22[[#This Row],[Base price2]]*Tabla22[[#This Row],[Req.2]]</f>
        <v>307817</v>
      </c>
      <c r="K402" s="73">
        <f>IFERROR(LOOKUP(Tabla22[[#This Row],[Product]],$R$18:$R$23,$T$18:$T$23)*Tabla22[[#This Row],[QualityBonus]]*Tabla22[[#This Row],[Base price1]]*Tabla22[[#This Row],[Req.]],0)</f>
        <v>16137.118200000001</v>
      </c>
      <c r="L402" s="73">
        <f>IF(Tabla22[[#This Row],[Req.2]]&gt;0,LOOKUP(Tabla22[[#This Row],[Product2]],$R$18:$R$23,$T$18:$T$23)*Tabla22[[#This Row],[Base price2]]*Tabla22[[#This Row],[Req.2]]*Tabla22[[#This Row],[QualityBonus]],0)</f>
        <v>19950.546000000002</v>
      </c>
      <c r="M402" s="73">
        <f>IFERROR((Tabla22[[#This Row],[Base price1]]-LOOKUP(Tabla22[[#This Row],[Product]],$R$18:$R$23,$S$18:$S$23))*Tabla22[[#This Row],[Req.]],0)</f>
        <v>7941</v>
      </c>
      <c r="N402" s="73">
        <f>IF(Tabla22[[#This Row],[Req.2]]&gt;0,(Tabla22[[#This Row],[Base price2]]-LOOKUP(Tabla22[[#This Row],[Product2]],$R$18:$R$23,$S$18:$S$23))*Tabla22[[#This Row],[Req.2]],0)</f>
        <v>14376</v>
      </c>
      <c r="O402" s="73">
        <f>SUM(Tabla22[[#This Row],[Bonus1]:[p2]])</f>
        <v>58404.664199999999</v>
      </c>
      <c r="P402" s="73">
        <f>IF(Tabla22[[#This Row],[QualityBonus]]&gt;0,Tabla22[[#This Row],[No wages]]-$C$4,"")</f>
        <v>10542.379961557774</v>
      </c>
    </row>
    <row r="403" spans="1:16" x14ac:dyDescent="0.25">
      <c r="A403" s="13">
        <v>387</v>
      </c>
      <c r="B403" s="13" t="s">
        <v>13</v>
      </c>
      <c r="C403" s="66">
        <v>2.5999999999999999E-2</v>
      </c>
      <c r="D403" s="2" t="s">
        <v>54</v>
      </c>
      <c r="E403" s="73">
        <v>60531</v>
      </c>
      <c r="F403" s="5">
        <v>4</v>
      </c>
      <c r="G403" s="2" t="s">
        <v>53</v>
      </c>
      <c r="H403" s="73">
        <v>40035</v>
      </c>
      <c r="I403" s="5">
        <v>5</v>
      </c>
      <c r="J403" s="74">
        <f>Tabla22[[#This Row],[Base price1]]*Tabla22[[#This Row],[Req.]]+Tabla22[[#This Row],[Base price2]]*Tabla22[[#This Row],[Req.2]]</f>
        <v>442299</v>
      </c>
      <c r="K403" s="73">
        <f>IFERROR(LOOKUP(Tabla22[[#This Row],[Product]],$R$18:$R$23,$T$18:$T$23)*Tabla22[[#This Row],[QualityBonus]]*Tabla22[[#This Row],[Base price1]]*Tabla22[[#This Row],[Req.]],0)</f>
        <v>31476.120000000003</v>
      </c>
      <c r="L403" s="73">
        <f>IF(Tabla22[[#This Row],[Req.2]]&gt;0,LOOKUP(Tabla22[[#This Row],[Product2]],$R$18:$R$23,$T$18:$T$23)*Tabla22[[#This Row],[Base price2]]*Tabla22[[#This Row],[Req.2]]*Tabla22[[#This Row],[QualityBonus]],0)</f>
        <v>20818.2</v>
      </c>
      <c r="M403" s="73">
        <f>IFERROR((Tabla22[[#This Row],[Base price1]]-LOOKUP(Tabla22[[#This Row],[Product]],$R$18:$R$23,$S$18:$S$23))*Tabla22[[#This Row],[Req.]],0)</f>
        <v>16124</v>
      </c>
      <c r="N403" s="73">
        <f>IF(Tabla22[[#This Row],[Req.2]]&gt;0,(Tabla22[[#This Row],[Base price2]]-LOOKUP(Tabla22[[#This Row],[Product2]],$R$18:$R$23,$S$18:$S$23))*Tabla22[[#This Row],[Req.2]],0)</f>
        <v>30175</v>
      </c>
      <c r="O403" s="73">
        <f>SUM(Tabla22[[#This Row],[Bonus1]:[p2]])</f>
        <v>98593.32</v>
      </c>
      <c r="P403" s="73">
        <f>IF(Tabla22[[#This Row],[QualityBonus]]&gt;0,Tabla22[[#This Row],[No wages]]-$C$4,"")</f>
        <v>50731.035761557781</v>
      </c>
    </row>
    <row r="404" spans="1:16" x14ac:dyDescent="0.25">
      <c r="A404" s="13">
        <v>388</v>
      </c>
      <c r="B404" s="13" t="s">
        <v>13</v>
      </c>
      <c r="C404" s="66">
        <v>1.8700000000000001E-2</v>
      </c>
      <c r="D404" s="2" t="s">
        <v>53</v>
      </c>
      <c r="E404" s="73">
        <v>40718</v>
      </c>
      <c r="F404" s="5">
        <v>4</v>
      </c>
      <c r="G404" s="2"/>
      <c r="H404" s="73"/>
      <c r="I404" s="5"/>
      <c r="J404" s="74">
        <f>Tabla22[[#This Row],[Base price1]]*Tabla22[[#This Row],[Req.]]+Tabla22[[#This Row],[Base price2]]*Tabla22[[#This Row],[Req.2]]</f>
        <v>162872</v>
      </c>
      <c r="K404" s="73">
        <f>IFERROR(LOOKUP(Tabla22[[#This Row],[Product]],$R$18:$R$23,$T$18:$T$23)*Tabla22[[#This Row],[QualityBonus]]*Tabla22[[#This Row],[Base price1]]*Tabla22[[#This Row],[Req.]],0)</f>
        <v>12182.8256</v>
      </c>
      <c r="L404" s="73">
        <f>IF(Tabla22[[#This Row],[Req.2]]&gt;0,LOOKUP(Tabla22[[#This Row],[Product2]],$R$18:$R$23,$T$18:$T$23)*Tabla22[[#This Row],[Base price2]]*Tabla22[[#This Row],[Req.2]]*Tabla22[[#This Row],[QualityBonus]],0)</f>
        <v>0</v>
      </c>
      <c r="M404" s="73">
        <f>IFERROR((Tabla22[[#This Row],[Base price1]]-LOOKUP(Tabla22[[#This Row],[Product]],$R$18:$R$23,$S$18:$S$23))*Tabla22[[#This Row],[Req.]],0)</f>
        <v>26872</v>
      </c>
      <c r="N404" s="73">
        <f>IF(Tabla22[[#This Row],[Req.2]]&gt;0,(Tabla22[[#This Row],[Base price2]]-LOOKUP(Tabla22[[#This Row],[Product2]],$R$18:$R$23,$S$18:$S$23))*Tabla22[[#This Row],[Req.2]],0)</f>
        <v>0</v>
      </c>
      <c r="O404" s="73">
        <f>SUM(Tabla22[[#This Row],[Bonus1]:[p2]])</f>
        <v>39054.825599999996</v>
      </c>
      <c r="P404" s="73">
        <f>IF(Tabla22[[#This Row],[QualityBonus]]&gt;0,Tabla22[[#This Row],[No wages]]-$C$4,"")</f>
        <v>-8807.4586384422291</v>
      </c>
    </row>
    <row r="405" spans="1:16" x14ac:dyDescent="0.25">
      <c r="A405" s="13">
        <v>389</v>
      </c>
      <c r="B405" s="13" t="s">
        <v>13</v>
      </c>
      <c r="C405" s="66">
        <v>2.3699999999999999E-2</v>
      </c>
      <c r="D405" s="2" t="s">
        <v>52</v>
      </c>
      <c r="E405" s="73">
        <v>120309</v>
      </c>
      <c r="F405" s="5">
        <v>4</v>
      </c>
      <c r="G405" s="2" t="s">
        <v>57</v>
      </c>
      <c r="H405" s="73">
        <v>84761</v>
      </c>
      <c r="I405" s="5">
        <v>4</v>
      </c>
      <c r="J405" s="74">
        <f>Tabla22[[#This Row],[Base price1]]*Tabla22[[#This Row],[Req.]]+Tabla22[[#This Row],[Base price2]]*Tabla22[[#This Row],[Req.2]]</f>
        <v>820280</v>
      </c>
      <c r="K405" s="73">
        <f>IFERROR(LOOKUP(Tabla22[[#This Row],[Product]],$R$18:$R$23,$T$18:$T$23)*Tabla22[[#This Row],[QualityBonus]]*Tabla22[[#This Row],[Base price1]]*Tabla22[[#This Row],[Req.]],0)</f>
        <v>68431.7592</v>
      </c>
      <c r="L405" s="73">
        <f>IF(Tabla22[[#This Row],[Req.2]]&gt;0,LOOKUP(Tabla22[[#This Row],[Product2]],$R$18:$R$23,$T$18:$T$23)*Tabla22[[#This Row],[Base price2]]*Tabla22[[#This Row],[Req.2]]*Tabla22[[#This Row],[QualityBonus]],0)</f>
        <v>32141.371199999998</v>
      </c>
      <c r="M405" s="73">
        <f>IFERROR((Tabla22[[#This Row],[Base price1]]-LOOKUP(Tabla22[[#This Row],[Product]],$R$18:$R$23,$S$18:$S$23))*Tabla22[[#This Row],[Req.]],0)</f>
        <v>17236</v>
      </c>
      <c r="N405" s="73">
        <f>IF(Tabla22[[#This Row],[Req.2]]&gt;0,(Tabla22[[#This Row],[Base price2]]-LOOKUP(Tabla22[[#This Row],[Product2]],$R$18:$R$23,$S$18:$S$23))*Tabla22[[#This Row],[Req.2]],0)</f>
        <v>31044</v>
      </c>
      <c r="O405" s="73">
        <f>SUM(Tabla22[[#This Row],[Bonus1]:[p2]])</f>
        <v>148853.13039999999</v>
      </c>
      <c r="P405" s="73">
        <f>IF(Tabla22[[#This Row],[QualityBonus]]&gt;0,Tabla22[[#This Row],[No wages]]-$C$4,"")</f>
        <v>100990.84616155777</v>
      </c>
    </row>
    <row r="406" spans="1:16" x14ac:dyDescent="0.25">
      <c r="A406" s="13">
        <v>390</v>
      </c>
      <c r="B406" s="13" t="s">
        <v>13</v>
      </c>
      <c r="C406" s="66">
        <v>1.9400000000000001E-2</v>
      </c>
      <c r="D406" s="2" t="s">
        <v>53</v>
      </c>
      <c r="E406" s="73">
        <v>40193</v>
      </c>
      <c r="F406" s="5">
        <v>5</v>
      </c>
      <c r="G406" s="2" t="s">
        <v>54</v>
      </c>
      <c r="H406" s="73">
        <v>59482</v>
      </c>
      <c r="I406" s="5">
        <v>4</v>
      </c>
      <c r="J406" s="74">
        <f>Tabla22[[#This Row],[Base price1]]*Tabla22[[#This Row],[Req.]]+Tabla22[[#This Row],[Base price2]]*Tabla22[[#This Row],[Req.2]]</f>
        <v>438893</v>
      </c>
      <c r="K406" s="73">
        <f>IFERROR(LOOKUP(Tabla22[[#This Row],[Product]],$R$18:$R$23,$T$18:$T$23)*Tabla22[[#This Row],[QualityBonus]]*Tabla22[[#This Row],[Base price1]]*Tabla22[[#This Row],[Req.]],0)</f>
        <v>15594.884</v>
      </c>
      <c r="L406" s="73">
        <f>IF(Tabla22[[#This Row],[Req.2]]&gt;0,LOOKUP(Tabla22[[#This Row],[Product2]],$R$18:$R$23,$T$18:$T$23)*Tabla22[[#This Row],[Base price2]]*Tabla22[[#This Row],[Req.2]]*Tabla22[[#This Row],[QualityBonus]],0)</f>
        <v>23079.016</v>
      </c>
      <c r="M406" s="73">
        <f>IFERROR((Tabla22[[#This Row],[Base price1]]-LOOKUP(Tabla22[[#This Row],[Product]],$R$18:$R$23,$S$18:$S$23))*Tabla22[[#This Row],[Req.]],0)</f>
        <v>30965</v>
      </c>
      <c r="N406" s="73">
        <f>IF(Tabla22[[#This Row],[Req.2]]&gt;0,(Tabla22[[#This Row],[Base price2]]-LOOKUP(Tabla22[[#This Row],[Product2]],$R$18:$R$23,$S$18:$S$23))*Tabla22[[#This Row],[Req.2]],0)</f>
        <v>11928</v>
      </c>
      <c r="O406" s="73">
        <f>SUM(Tabla22[[#This Row],[Bonus1]:[p2]])</f>
        <v>81566.899999999994</v>
      </c>
      <c r="P406" s="73">
        <f>IF(Tabla22[[#This Row],[QualityBonus]]&gt;0,Tabla22[[#This Row],[No wages]]-$C$4,"")</f>
        <v>33704.615761557769</v>
      </c>
    </row>
    <row r="407" spans="1:16" x14ac:dyDescent="0.25">
      <c r="A407" s="13">
        <v>391</v>
      </c>
      <c r="B407" s="13" t="s">
        <v>13</v>
      </c>
      <c r="C407" s="66">
        <v>2.3599999999999999E-2</v>
      </c>
      <c r="D407" s="2" t="s">
        <v>54</v>
      </c>
      <c r="E407" s="73">
        <v>59249</v>
      </c>
      <c r="F407" s="5">
        <v>1</v>
      </c>
      <c r="G407" s="2" t="s">
        <v>53</v>
      </c>
      <c r="H407" s="73">
        <v>41084</v>
      </c>
      <c r="I407" s="5">
        <v>5</v>
      </c>
      <c r="J407" s="74">
        <f>Tabla22[[#This Row],[Base price1]]*Tabla22[[#This Row],[Req.]]+Tabla22[[#This Row],[Base price2]]*Tabla22[[#This Row],[Req.2]]</f>
        <v>264669</v>
      </c>
      <c r="K407" s="73">
        <f>IFERROR(LOOKUP(Tabla22[[#This Row],[Product]],$R$18:$R$23,$T$18:$T$23)*Tabla22[[#This Row],[QualityBonus]]*Tabla22[[#This Row],[Base price1]]*Tabla22[[#This Row],[Req.]],0)</f>
        <v>6991.3819999999996</v>
      </c>
      <c r="L407" s="73">
        <f>IF(Tabla22[[#This Row],[Req.2]]&gt;0,LOOKUP(Tabla22[[#This Row],[Product2]],$R$18:$R$23,$T$18:$T$23)*Tabla22[[#This Row],[Base price2]]*Tabla22[[#This Row],[Req.2]]*Tabla22[[#This Row],[QualityBonus]],0)</f>
        <v>19391.648000000001</v>
      </c>
      <c r="M407" s="73">
        <f>IFERROR((Tabla22[[#This Row],[Base price1]]-LOOKUP(Tabla22[[#This Row],[Product]],$R$18:$R$23,$S$18:$S$23))*Tabla22[[#This Row],[Req.]],0)</f>
        <v>2749</v>
      </c>
      <c r="N407" s="73">
        <f>IF(Tabla22[[#This Row],[Req.2]]&gt;0,(Tabla22[[#This Row],[Base price2]]-LOOKUP(Tabla22[[#This Row],[Product2]],$R$18:$R$23,$S$18:$S$23))*Tabla22[[#This Row],[Req.2]],0)</f>
        <v>35420</v>
      </c>
      <c r="O407" s="73">
        <f>SUM(Tabla22[[#This Row],[Bonus1]:[p2]])</f>
        <v>64552.03</v>
      </c>
      <c r="P407" s="73">
        <f>IF(Tabla22[[#This Row],[QualityBonus]]&gt;0,Tabla22[[#This Row],[No wages]]-$C$4,"")</f>
        <v>16689.745761557773</v>
      </c>
    </row>
    <row r="408" spans="1:16" x14ac:dyDescent="0.25">
      <c r="A408" s="13">
        <v>392</v>
      </c>
      <c r="B408" s="13" t="s">
        <v>13</v>
      </c>
      <c r="C408" s="66">
        <v>1.37E-2</v>
      </c>
      <c r="D408" s="2" t="s">
        <v>54</v>
      </c>
      <c r="E408" s="73">
        <v>62703</v>
      </c>
      <c r="F408" s="5">
        <v>4</v>
      </c>
      <c r="G408" s="2"/>
      <c r="H408" s="73"/>
      <c r="I408" s="5"/>
      <c r="J408" s="74">
        <f>Tabla22[[#This Row],[Base price1]]*Tabla22[[#This Row],[Req.]]+Tabla22[[#This Row],[Base price2]]*Tabla22[[#This Row],[Req.2]]</f>
        <v>250812</v>
      </c>
      <c r="K408" s="73">
        <f>IFERROR(LOOKUP(Tabla22[[#This Row],[Product]],$R$18:$R$23,$T$18:$T$23)*Tabla22[[#This Row],[QualityBonus]]*Tabla22[[#This Row],[Base price1]]*Tabla22[[#This Row],[Req.]],0)</f>
        <v>17180.622000000003</v>
      </c>
      <c r="L408" s="73">
        <f>IF(Tabla22[[#This Row],[Req.2]]&gt;0,LOOKUP(Tabla22[[#This Row],[Product2]],$R$18:$R$23,$T$18:$T$23)*Tabla22[[#This Row],[Base price2]]*Tabla22[[#This Row],[Req.2]]*Tabla22[[#This Row],[QualityBonus]],0)</f>
        <v>0</v>
      </c>
      <c r="M408" s="73">
        <f>IFERROR((Tabla22[[#This Row],[Base price1]]-LOOKUP(Tabla22[[#This Row],[Product]],$R$18:$R$23,$S$18:$S$23))*Tabla22[[#This Row],[Req.]],0)</f>
        <v>24812</v>
      </c>
      <c r="N408" s="73">
        <f>IF(Tabla22[[#This Row],[Req.2]]&gt;0,(Tabla22[[#This Row],[Base price2]]-LOOKUP(Tabla22[[#This Row],[Product2]],$R$18:$R$23,$S$18:$S$23))*Tabla22[[#This Row],[Req.2]],0)</f>
        <v>0</v>
      </c>
      <c r="O408" s="73">
        <f>SUM(Tabla22[[#This Row],[Bonus1]:[p2]])</f>
        <v>41992.622000000003</v>
      </c>
      <c r="P408" s="73">
        <f>IF(Tabla22[[#This Row],[QualityBonus]]&gt;0,Tabla22[[#This Row],[No wages]]-$C$4,"")</f>
        <v>-5869.6622384422226</v>
      </c>
    </row>
    <row r="409" spans="1:16" x14ac:dyDescent="0.25">
      <c r="A409" s="13">
        <v>393</v>
      </c>
      <c r="B409" s="13" t="s">
        <v>13</v>
      </c>
      <c r="C409" s="66">
        <v>1.8499999999999999E-2</v>
      </c>
      <c r="D409" s="2" t="s">
        <v>53</v>
      </c>
      <c r="E409" s="73">
        <v>41911</v>
      </c>
      <c r="F409" s="5">
        <v>5</v>
      </c>
      <c r="G409" s="2" t="s">
        <v>54</v>
      </c>
      <c r="H409" s="73">
        <v>60648</v>
      </c>
      <c r="I409" s="5">
        <v>2</v>
      </c>
      <c r="J409" s="74">
        <f>Tabla22[[#This Row],[Base price1]]*Tabla22[[#This Row],[Req.]]+Tabla22[[#This Row],[Base price2]]*Tabla22[[#This Row],[Req.2]]</f>
        <v>330851</v>
      </c>
      <c r="K409" s="73">
        <f>IFERROR(LOOKUP(Tabla22[[#This Row],[Product]],$R$18:$R$23,$T$18:$T$23)*Tabla22[[#This Row],[QualityBonus]]*Tabla22[[#This Row],[Base price1]]*Tabla22[[#This Row],[Req.]],0)</f>
        <v>15507.07</v>
      </c>
      <c r="L409" s="73">
        <f>IF(Tabla22[[#This Row],[Req.2]]&gt;0,LOOKUP(Tabla22[[#This Row],[Product2]],$R$18:$R$23,$T$18:$T$23)*Tabla22[[#This Row],[Base price2]]*Tabla22[[#This Row],[Req.2]]*Tabla22[[#This Row],[QualityBonus]],0)</f>
        <v>11219.88</v>
      </c>
      <c r="M409" s="73">
        <f>IFERROR((Tabla22[[#This Row],[Base price1]]-LOOKUP(Tabla22[[#This Row],[Product]],$R$18:$R$23,$S$18:$S$23))*Tabla22[[#This Row],[Req.]],0)</f>
        <v>39555</v>
      </c>
      <c r="N409" s="73">
        <f>IF(Tabla22[[#This Row],[Req.2]]&gt;0,(Tabla22[[#This Row],[Base price2]]-LOOKUP(Tabla22[[#This Row],[Product2]],$R$18:$R$23,$S$18:$S$23))*Tabla22[[#This Row],[Req.2]],0)</f>
        <v>8296</v>
      </c>
      <c r="O409" s="73">
        <f>SUM(Tabla22[[#This Row],[Bonus1]:[p2]])</f>
        <v>74577.95</v>
      </c>
      <c r="P409" s="73">
        <f>IF(Tabla22[[#This Row],[QualityBonus]]&gt;0,Tabla22[[#This Row],[No wages]]-$C$4,"")</f>
        <v>26715.665761557771</v>
      </c>
    </row>
    <row r="410" spans="1:16" x14ac:dyDescent="0.25">
      <c r="A410" s="13">
        <v>394</v>
      </c>
      <c r="B410" s="13" t="s">
        <v>13</v>
      </c>
      <c r="C410" s="66">
        <v>1.5800000000000002E-2</v>
      </c>
      <c r="D410" s="2" t="s">
        <v>54</v>
      </c>
      <c r="E410" s="73">
        <v>59689</v>
      </c>
      <c r="F410" s="5">
        <v>4</v>
      </c>
      <c r="G410" s="2" t="s">
        <v>52</v>
      </c>
      <c r="H410" s="73">
        <v>120692</v>
      </c>
      <c r="I410" s="5">
        <v>1</v>
      </c>
      <c r="J410" s="74">
        <f>Tabla22[[#This Row],[Base price1]]*Tabla22[[#This Row],[Req.]]+Tabla22[[#This Row],[Base price2]]*Tabla22[[#This Row],[Req.2]]</f>
        <v>359448</v>
      </c>
      <c r="K410" s="73">
        <f>IFERROR(LOOKUP(Tabla22[[#This Row],[Product]],$R$18:$R$23,$T$18:$T$23)*Tabla22[[#This Row],[QualityBonus]]*Tabla22[[#This Row],[Base price1]]*Tabla22[[#This Row],[Req.]],0)</f>
        <v>18861.724000000002</v>
      </c>
      <c r="L410" s="73">
        <f>IF(Tabla22[[#This Row],[Req.2]]&gt;0,LOOKUP(Tabla22[[#This Row],[Product2]],$R$18:$R$23,$T$18:$T$23)*Tabla22[[#This Row],[Base price2]]*Tabla22[[#This Row],[Req.2]]*Tabla22[[#This Row],[QualityBonus]],0)</f>
        <v>11441.601600000002</v>
      </c>
      <c r="M410" s="73">
        <f>IFERROR((Tabla22[[#This Row],[Base price1]]-LOOKUP(Tabla22[[#This Row],[Product]],$R$18:$R$23,$S$18:$S$23))*Tabla22[[#This Row],[Req.]],0)</f>
        <v>12756</v>
      </c>
      <c r="N410" s="73">
        <f>IF(Tabla22[[#This Row],[Req.2]]&gt;0,(Tabla22[[#This Row],[Base price2]]-LOOKUP(Tabla22[[#This Row],[Product2]],$R$18:$R$23,$S$18:$S$23))*Tabla22[[#This Row],[Req.2]],0)</f>
        <v>4692</v>
      </c>
      <c r="O410" s="73">
        <f>SUM(Tabla22[[#This Row],[Bonus1]:[p2]])</f>
        <v>47751.325600000004</v>
      </c>
      <c r="P410" s="73">
        <f>IF(Tabla22[[#This Row],[QualityBonus]]&gt;0,Tabla22[[#This Row],[No wages]]-$C$4,"")</f>
        <v>-110.95863844222185</v>
      </c>
    </row>
    <row r="411" spans="1:16" x14ac:dyDescent="0.25">
      <c r="A411" s="13">
        <v>395</v>
      </c>
      <c r="B411" s="13" t="s">
        <v>13</v>
      </c>
      <c r="C411" s="66">
        <v>1.2E-2</v>
      </c>
      <c r="D411" s="2" t="s">
        <v>54</v>
      </c>
      <c r="E411" s="73">
        <v>61960</v>
      </c>
      <c r="F411" s="5">
        <v>4</v>
      </c>
      <c r="G411" s="2"/>
      <c r="H411" s="73"/>
      <c r="I411" s="5"/>
      <c r="J411" s="74">
        <f>Tabla22[[#This Row],[Base price1]]*Tabla22[[#This Row],[Req.]]+Tabla22[[#This Row],[Base price2]]*Tabla22[[#This Row],[Req.2]]</f>
        <v>247840</v>
      </c>
      <c r="K411" s="73">
        <f>IFERROR(LOOKUP(Tabla22[[#This Row],[Product]],$R$18:$R$23,$T$18:$T$23)*Tabla22[[#This Row],[QualityBonus]]*Tabla22[[#This Row],[Base price1]]*Tabla22[[#This Row],[Req.]],0)</f>
        <v>14870.4</v>
      </c>
      <c r="L411" s="73">
        <f>IF(Tabla22[[#This Row],[Req.2]]&gt;0,LOOKUP(Tabla22[[#This Row],[Product2]],$R$18:$R$23,$T$18:$T$23)*Tabla22[[#This Row],[Base price2]]*Tabla22[[#This Row],[Req.2]]*Tabla22[[#This Row],[QualityBonus]],0)</f>
        <v>0</v>
      </c>
      <c r="M411" s="73">
        <f>IFERROR((Tabla22[[#This Row],[Base price1]]-LOOKUP(Tabla22[[#This Row],[Product]],$R$18:$R$23,$S$18:$S$23))*Tabla22[[#This Row],[Req.]],0)</f>
        <v>21840</v>
      </c>
      <c r="N411" s="73">
        <f>IF(Tabla22[[#This Row],[Req.2]]&gt;0,(Tabla22[[#This Row],[Base price2]]-LOOKUP(Tabla22[[#This Row],[Product2]],$R$18:$R$23,$S$18:$S$23))*Tabla22[[#This Row],[Req.2]],0)</f>
        <v>0</v>
      </c>
      <c r="O411" s="73">
        <f>SUM(Tabla22[[#This Row],[Bonus1]:[p2]])</f>
        <v>36710.400000000001</v>
      </c>
      <c r="P411" s="73">
        <f>IF(Tabla22[[#This Row],[QualityBonus]]&gt;0,Tabla22[[#This Row],[No wages]]-$C$4,"")</f>
        <v>-11151.884238442224</v>
      </c>
    </row>
    <row r="412" spans="1:16" x14ac:dyDescent="0.25">
      <c r="A412" s="13">
        <v>396</v>
      </c>
      <c r="B412" s="13" t="s">
        <v>13</v>
      </c>
      <c r="C412" s="66">
        <v>2.3900000000000001E-2</v>
      </c>
      <c r="D412" s="2" t="s">
        <v>52</v>
      </c>
      <c r="E412" s="73">
        <v>121312</v>
      </c>
      <c r="F412" s="5">
        <v>3</v>
      </c>
      <c r="G412" s="2" t="s">
        <v>54</v>
      </c>
      <c r="H412" s="73">
        <v>62535</v>
      </c>
      <c r="I412" s="5">
        <v>2</v>
      </c>
      <c r="J412" s="74">
        <f>Tabla22[[#This Row],[Base price1]]*Tabla22[[#This Row],[Req.]]+Tabla22[[#This Row],[Base price2]]*Tabla22[[#This Row],[Req.2]]</f>
        <v>489006</v>
      </c>
      <c r="K412" s="73">
        <f>IFERROR(LOOKUP(Tabla22[[#This Row],[Product]],$R$18:$R$23,$T$18:$T$23)*Tabla22[[#This Row],[QualityBonus]]*Tabla22[[#This Row],[Base price1]]*Tabla22[[#This Row],[Req.]],0)</f>
        <v>52188.422400000003</v>
      </c>
      <c r="L412" s="73">
        <f>IF(Tabla22[[#This Row],[Req.2]]&gt;0,LOOKUP(Tabla22[[#This Row],[Product2]],$R$18:$R$23,$T$18:$T$23)*Tabla22[[#This Row],[Base price2]]*Tabla22[[#This Row],[Req.2]]*Tabla22[[#This Row],[QualityBonus]],0)</f>
        <v>14945.865000000002</v>
      </c>
      <c r="M412" s="73">
        <f>IFERROR((Tabla22[[#This Row],[Base price1]]-LOOKUP(Tabla22[[#This Row],[Product]],$R$18:$R$23,$S$18:$S$23))*Tabla22[[#This Row],[Req.]],0)</f>
        <v>15936</v>
      </c>
      <c r="N412" s="73">
        <f>IF(Tabla22[[#This Row],[Req.2]]&gt;0,(Tabla22[[#This Row],[Base price2]]-LOOKUP(Tabla22[[#This Row],[Product2]],$R$18:$R$23,$S$18:$S$23))*Tabla22[[#This Row],[Req.2]],0)</f>
        <v>12070</v>
      </c>
      <c r="O412" s="73">
        <f>SUM(Tabla22[[#This Row],[Bonus1]:[p2]])</f>
        <v>95140.287400000001</v>
      </c>
      <c r="P412" s="73">
        <f>IF(Tabla22[[#This Row],[QualityBonus]]&gt;0,Tabla22[[#This Row],[No wages]]-$C$4,"")</f>
        <v>47278.003161557775</v>
      </c>
    </row>
    <row r="413" spans="1:16" x14ac:dyDescent="0.25">
      <c r="A413" s="13">
        <v>397</v>
      </c>
      <c r="B413" s="13" t="s">
        <v>13</v>
      </c>
      <c r="C413" s="66">
        <v>1.15E-2</v>
      </c>
      <c r="D413" s="2" t="s">
        <v>52</v>
      </c>
      <c r="E413" s="73">
        <v>118042</v>
      </c>
      <c r="F413" s="5">
        <v>2</v>
      </c>
      <c r="G413" s="2" t="s">
        <v>54</v>
      </c>
      <c r="H413" s="73">
        <v>59125</v>
      </c>
      <c r="I413" s="5">
        <v>2</v>
      </c>
      <c r="J413" s="74">
        <f>Tabla22[[#This Row],[Base price1]]*Tabla22[[#This Row],[Req.]]+Tabla22[[#This Row],[Base price2]]*Tabla22[[#This Row],[Req.2]]</f>
        <v>354334</v>
      </c>
      <c r="K413" s="73">
        <f>IFERROR(LOOKUP(Tabla22[[#This Row],[Product]],$R$18:$R$23,$T$18:$T$23)*Tabla22[[#This Row],[QualityBonus]]*Tabla22[[#This Row],[Base price1]]*Tabla22[[#This Row],[Req.]],0)</f>
        <v>16289.796000000002</v>
      </c>
      <c r="L413" s="73">
        <f>IF(Tabla22[[#This Row],[Req.2]]&gt;0,LOOKUP(Tabla22[[#This Row],[Product2]],$R$18:$R$23,$T$18:$T$23)*Tabla22[[#This Row],[Base price2]]*Tabla22[[#This Row],[Req.2]]*Tabla22[[#This Row],[QualityBonus]],0)</f>
        <v>6799.375</v>
      </c>
      <c r="M413" s="73">
        <f>IFERROR((Tabla22[[#This Row],[Base price1]]-LOOKUP(Tabla22[[#This Row],[Product]],$R$18:$R$23,$S$18:$S$23))*Tabla22[[#This Row],[Req.]],0)</f>
        <v>4084</v>
      </c>
      <c r="N413" s="73">
        <f>IF(Tabla22[[#This Row],[Req.2]]&gt;0,(Tabla22[[#This Row],[Base price2]]-LOOKUP(Tabla22[[#This Row],[Product2]],$R$18:$R$23,$S$18:$S$23))*Tabla22[[#This Row],[Req.2]],0)</f>
        <v>5250</v>
      </c>
      <c r="O413" s="73">
        <f>SUM(Tabla22[[#This Row],[Bonus1]:[p2]])</f>
        <v>32423.171000000002</v>
      </c>
      <c r="P413" s="73">
        <f>IF(Tabla22[[#This Row],[QualityBonus]]&gt;0,Tabla22[[#This Row],[No wages]]-$C$4,"")</f>
        <v>-15439.113238442224</v>
      </c>
    </row>
    <row r="414" spans="1:16" x14ac:dyDescent="0.25">
      <c r="A414" s="13">
        <v>398</v>
      </c>
      <c r="B414" s="13" t="s">
        <v>13</v>
      </c>
      <c r="C414" s="66">
        <v>2.92E-2</v>
      </c>
      <c r="D414" s="2" t="s">
        <v>53</v>
      </c>
      <c r="E414" s="73">
        <v>39705</v>
      </c>
      <c r="F414" s="5">
        <v>2</v>
      </c>
      <c r="G414" s="2" t="s">
        <v>27</v>
      </c>
      <c r="H414" s="73">
        <v>841134</v>
      </c>
      <c r="I414" s="5">
        <v>3</v>
      </c>
      <c r="J414" s="74">
        <f>Tabla22[[#This Row],[Base price1]]*Tabla22[[#This Row],[Req.]]+Tabla22[[#This Row],[Base price2]]*Tabla22[[#This Row],[Req.2]]</f>
        <v>2602812</v>
      </c>
      <c r="K414" s="73">
        <f>IFERROR(LOOKUP(Tabla22[[#This Row],[Product]],$R$18:$R$23,$T$18:$T$23)*Tabla22[[#This Row],[QualityBonus]]*Tabla22[[#This Row],[Base price1]]*Tabla22[[#This Row],[Req.]],0)</f>
        <v>9275.0879999999997</v>
      </c>
      <c r="L414" s="73">
        <f>IF(Tabla22[[#This Row],[Req.2]]&gt;0,LOOKUP(Tabla22[[#This Row],[Product2]],$R$18:$R$23,$T$18:$T$23)*Tabla22[[#This Row],[Base price2]]*Tabla22[[#This Row],[Req.2]]*Tabla22[[#This Row],[QualityBonus]],0)</f>
        <v>442100.03039999999</v>
      </c>
      <c r="M414" s="73">
        <f>IFERROR((Tabla22[[#This Row],[Base price1]]-LOOKUP(Tabla22[[#This Row],[Product]],$R$18:$R$23,$S$18:$S$23))*Tabla22[[#This Row],[Req.]],0)</f>
        <v>11410</v>
      </c>
      <c r="N414" s="73">
        <f>IF(Tabla22[[#This Row],[Req.2]]&gt;0,(Tabla22[[#This Row],[Base price2]]-LOOKUP(Tabla22[[#This Row],[Product2]],$R$18:$R$23,$S$18:$S$23))*Tabla22[[#This Row],[Req.2]],0)</f>
        <v>6402</v>
      </c>
      <c r="O414" s="73">
        <f>SUM(Tabla22[[#This Row],[Bonus1]:[p2]])</f>
        <v>469187.11839999998</v>
      </c>
      <c r="P414" s="73">
        <f>IF(Tabla22[[#This Row],[QualityBonus]]&gt;0,Tabla22[[#This Row],[No wages]]-$C$4,"")</f>
        <v>421324.83416155772</v>
      </c>
    </row>
    <row r="415" spans="1:16" x14ac:dyDescent="0.25">
      <c r="A415" s="13">
        <v>399</v>
      </c>
      <c r="B415" s="13" t="s">
        <v>13</v>
      </c>
      <c r="C415" s="66"/>
      <c r="D415" s="2"/>
      <c r="E415" s="73"/>
      <c r="G415" s="2"/>
      <c r="H415" s="73"/>
      <c r="I415" s="5"/>
      <c r="J415" s="74">
        <f>Tabla22[[#This Row],[Base price1]]*Tabla22[[#This Row],[Req.]]+Tabla22[[#This Row],[Base price2]]*Tabla22[[#This Row],[Req.2]]</f>
        <v>0</v>
      </c>
      <c r="K415" s="73">
        <f>IFERROR(LOOKUP(Tabla22[[#This Row],[Product]],$R$18:$R$23,$T$18:$T$23)*Tabla22[[#This Row],[QualityBonus]]*Tabla22[[#This Row],[Base price1]]*Tabla22[[#This Row],[Req.]],0)</f>
        <v>0</v>
      </c>
      <c r="L415" s="73">
        <f>IF(Tabla22[[#This Row],[Req.2]]&gt;0,LOOKUP(Tabla22[[#This Row],[Product2]],$R$18:$R$23,$T$18:$T$23)*Tabla22[[#This Row],[Base price2]]*Tabla22[[#This Row],[Req.2]]*Tabla22[[#This Row],[QualityBonus]],0)</f>
        <v>0</v>
      </c>
      <c r="M415" s="73">
        <f>IFERROR((Tabla22[[#This Row],[Base price1]]-LOOKUP(Tabla22[[#This Row],[Product]],$R$18:$R$23,$S$18:$S$23))*Tabla22[[#This Row],[Req.]],0)</f>
        <v>0</v>
      </c>
      <c r="N415" s="73">
        <f>IF(Tabla22[[#This Row],[Req.2]]&gt;0,(Tabla22[[#This Row],[Base price2]]-LOOKUP(Tabla22[[#This Row],[Product2]],$R$18:$R$23,$S$18:$S$23))*Tabla22[[#This Row],[Req.2]],0)</f>
        <v>0</v>
      </c>
      <c r="O415" s="73">
        <f>SUM(Tabla22[[#This Row],[Bonus1]:[p2]])</f>
        <v>0</v>
      </c>
      <c r="P415" s="73" t="str">
        <f>IF(Tabla22[[#This Row],[QualityBonus]]&gt;0,Tabla22[[#This Row],[No wages]]-$C$4,"")</f>
        <v/>
      </c>
    </row>
    <row r="416" spans="1:16" x14ac:dyDescent="0.25">
      <c r="A416" s="13">
        <v>400</v>
      </c>
      <c r="B416" s="13" t="s">
        <v>13</v>
      </c>
      <c r="C416" s="66"/>
      <c r="D416" s="2"/>
      <c r="E416" s="73"/>
      <c r="G416" s="2"/>
      <c r="H416" s="73"/>
      <c r="I416" s="5"/>
      <c r="J416" s="74">
        <f>Tabla22[[#This Row],[Base price1]]*Tabla22[[#This Row],[Req.]]+Tabla22[[#This Row],[Base price2]]*Tabla22[[#This Row],[Req.2]]</f>
        <v>0</v>
      </c>
      <c r="K416" s="73">
        <f>IFERROR(LOOKUP(Tabla22[[#This Row],[Product]],$R$18:$R$23,$T$18:$T$23)*Tabla22[[#This Row],[QualityBonus]]*Tabla22[[#This Row],[Base price1]]*Tabla22[[#This Row],[Req.]],0)</f>
        <v>0</v>
      </c>
      <c r="L416" s="73">
        <f>IF(Tabla22[[#This Row],[Req.2]]&gt;0,LOOKUP(Tabla22[[#This Row],[Product2]],$R$18:$R$23,$T$18:$T$23)*Tabla22[[#This Row],[Base price2]]*Tabla22[[#This Row],[Req.2]]*Tabla22[[#This Row],[QualityBonus]],0)</f>
        <v>0</v>
      </c>
      <c r="M416" s="73">
        <f>IFERROR((Tabla22[[#This Row],[Base price1]]-LOOKUP(Tabla22[[#This Row],[Product]],$R$18:$R$23,$S$18:$S$23))*Tabla22[[#This Row],[Req.]],0)</f>
        <v>0</v>
      </c>
      <c r="N416" s="73">
        <f>IF(Tabla22[[#This Row],[Req.2]]&gt;0,(Tabla22[[#This Row],[Base price2]]-LOOKUP(Tabla22[[#This Row],[Product2]],$R$18:$R$23,$S$18:$S$23))*Tabla22[[#This Row],[Req.2]],0)</f>
        <v>0</v>
      </c>
      <c r="O416" s="73">
        <f>SUM(Tabla22[[#This Row],[Bonus1]:[p2]])</f>
        <v>0</v>
      </c>
      <c r="P416" s="73" t="str">
        <f>IF(Tabla22[[#This Row],[QualityBonus]]&gt;0,Tabla22[[#This Row],[No wages]]-$C$4,"")</f>
        <v/>
      </c>
    </row>
    <row r="417" spans="1:16" x14ac:dyDescent="0.25">
      <c r="A417" s="13">
        <v>401</v>
      </c>
      <c r="B417" s="13" t="s">
        <v>13</v>
      </c>
      <c r="C417" s="66"/>
      <c r="D417" s="2"/>
      <c r="E417" s="73"/>
      <c r="G417" s="2"/>
      <c r="H417" s="73"/>
      <c r="I417" s="5"/>
      <c r="J417" s="74">
        <f>Tabla22[[#This Row],[Base price1]]*Tabla22[[#This Row],[Req.]]+Tabla22[[#This Row],[Base price2]]*Tabla22[[#This Row],[Req.2]]</f>
        <v>0</v>
      </c>
      <c r="K417" s="73">
        <f>IFERROR(LOOKUP(Tabla22[[#This Row],[Product]],$R$18:$R$23,$T$18:$T$23)*Tabla22[[#This Row],[QualityBonus]]*Tabla22[[#This Row],[Base price1]]*Tabla22[[#This Row],[Req.]],0)</f>
        <v>0</v>
      </c>
      <c r="L417" s="73">
        <f>IF(Tabla22[[#This Row],[Req.2]]&gt;0,LOOKUP(Tabla22[[#This Row],[Product2]],$R$18:$R$23,$T$18:$T$23)*Tabla22[[#This Row],[Base price2]]*Tabla22[[#This Row],[Req.2]]*Tabla22[[#This Row],[QualityBonus]],0)</f>
        <v>0</v>
      </c>
      <c r="M417" s="73">
        <f>IFERROR((Tabla22[[#This Row],[Base price1]]-LOOKUP(Tabla22[[#This Row],[Product]],$R$18:$R$23,$S$18:$S$23))*Tabla22[[#This Row],[Req.]],0)</f>
        <v>0</v>
      </c>
      <c r="N417" s="73">
        <f>IF(Tabla22[[#This Row],[Req.2]]&gt;0,(Tabla22[[#This Row],[Base price2]]-LOOKUP(Tabla22[[#This Row],[Product2]],$R$18:$R$23,$S$18:$S$23))*Tabla22[[#This Row],[Req.2]],0)</f>
        <v>0</v>
      </c>
      <c r="O417" s="73">
        <f>SUM(Tabla22[[#This Row],[Bonus1]:[p2]])</f>
        <v>0</v>
      </c>
      <c r="P417" s="73" t="str">
        <f>IF(Tabla22[[#This Row],[QualityBonus]]&gt;0,Tabla22[[#This Row],[No wages]]-$C$4,"")</f>
        <v/>
      </c>
    </row>
    <row r="418" spans="1:16" x14ac:dyDescent="0.25">
      <c r="A418" s="13">
        <v>402</v>
      </c>
      <c r="B418" s="13" t="s">
        <v>13</v>
      </c>
      <c r="C418" s="66"/>
      <c r="D418" s="2"/>
      <c r="E418" s="73"/>
      <c r="G418" s="2"/>
      <c r="H418" s="73"/>
      <c r="I418" s="5"/>
      <c r="J418" s="74">
        <f>Tabla22[[#This Row],[Base price1]]*Tabla22[[#This Row],[Req.]]+Tabla22[[#This Row],[Base price2]]*Tabla22[[#This Row],[Req.2]]</f>
        <v>0</v>
      </c>
      <c r="K418" s="73">
        <f>IFERROR(LOOKUP(Tabla22[[#This Row],[Product]],$R$18:$R$23,$T$18:$T$23)*Tabla22[[#This Row],[QualityBonus]]*Tabla22[[#This Row],[Base price1]]*Tabla22[[#This Row],[Req.]],0)</f>
        <v>0</v>
      </c>
      <c r="L418" s="73">
        <f>IF(Tabla22[[#This Row],[Req.2]]&gt;0,LOOKUP(Tabla22[[#This Row],[Product2]],$R$18:$R$23,$T$18:$T$23)*Tabla22[[#This Row],[Base price2]]*Tabla22[[#This Row],[Req.2]]*Tabla22[[#This Row],[QualityBonus]],0)</f>
        <v>0</v>
      </c>
      <c r="M418" s="73">
        <f>IFERROR((Tabla22[[#This Row],[Base price1]]-LOOKUP(Tabla22[[#This Row],[Product]],$R$18:$R$23,$S$18:$S$23))*Tabla22[[#This Row],[Req.]],0)</f>
        <v>0</v>
      </c>
      <c r="N418" s="73">
        <f>IF(Tabla22[[#This Row],[Req.2]]&gt;0,(Tabla22[[#This Row],[Base price2]]-LOOKUP(Tabla22[[#This Row],[Product2]],$R$18:$R$23,$S$18:$S$23))*Tabla22[[#This Row],[Req.2]],0)</f>
        <v>0</v>
      </c>
      <c r="O418" s="73">
        <f>SUM(Tabla22[[#This Row],[Bonus1]:[p2]])</f>
        <v>0</v>
      </c>
      <c r="P418" s="73" t="str">
        <f>IF(Tabla22[[#This Row],[QualityBonus]]&gt;0,Tabla22[[#This Row],[No wages]]-$C$4,"")</f>
        <v/>
      </c>
    </row>
    <row r="419" spans="1:16" x14ac:dyDescent="0.25">
      <c r="A419" s="13">
        <v>403</v>
      </c>
      <c r="B419" s="13" t="s">
        <v>13</v>
      </c>
      <c r="C419" s="66"/>
      <c r="D419" s="2"/>
      <c r="E419" s="73"/>
      <c r="G419" s="2"/>
      <c r="H419" s="73"/>
      <c r="I419" s="5"/>
      <c r="J419" s="74">
        <f>Tabla22[[#This Row],[Base price1]]*Tabla22[[#This Row],[Req.]]+Tabla22[[#This Row],[Base price2]]*Tabla22[[#This Row],[Req.2]]</f>
        <v>0</v>
      </c>
      <c r="K419" s="73">
        <f>IFERROR(LOOKUP(Tabla22[[#This Row],[Product]],$R$18:$R$23,$T$18:$T$23)*Tabla22[[#This Row],[QualityBonus]]*Tabla22[[#This Row],[Base price1]]*Tabla22[[#This Row],[Req.]],0)</f>
        <v>0</v>
      </c>
      <c r="L419" s="73">
        <f>IF(Tabla22[[#This Row],[Req.2]]&gt;0,LOOKUP(Tabla22[[#This Row],[Product2]],$R$18:$R$23,$T$18:$T$23)*Tabla22[[#This Row],[Base price2]]*Tabla22[[#This Row],[Req.2]]*Tabla22[[#This Row],[QualityBonus]],0)</f>
        <v>0</v>
      </c>
      <c r="M419" s="73">
        <f>IFERROR((Tabla22[[#This Row],[Base price1]]-LOOKUP(Tabla22[[#This Row],[Product]],$R$18:$R$23,$S$18:$S$23))*Tabla22[[#This Row],[Req.]],0)</f>
        <v>0</v>
      </c>
      <c r="N419" s="73">
        <f>IF(Tabla22[[#This Row],[Req.2]]&gt;0,(Tabla22[[#This Row],[Base price2]]-LOOKUP(Tabla22[[#This Row],[Product2]],$R$18:$R$23,$S$18:$S$23))*Tabla22[[#This Row],[Req.2]],0)</f>
        <v>0</v>
      </c>
      <c r="O419" s="73">
        <f>SUM(Tabla22[[#This Row],[Bonus1]:[p2]])</f>
        <v>0</v>
      </c>
      <c r="P419" s="73" t="str">
        <f>IF(Tabla22[[#This Row],[QualityBonus]]&gt;0,Tabla22[[#This Row],[No wages]]-$C$4,"")</f>
        <v/>
      </c>
    </row>
    <row r="420" spans="1:16" x14ac:dyDescent="0.25">
      <c r="A420" s="13">
        <v>404</v>
      </c>
      <c r="B420" s="13" t="s">
        <v>13</v>
      </c>
      <c r="C420" s="66"/>
      <c r="D420" s="2"/>
      <c r="E420" s="73"/>
      <c r="G420" s="2"/>
      <c r="H420" s="73"/>
      <c r="I420" s="5"/>
      <c r="J420" s="74">
        <f>Tabla22[[#This Row],[Base price1]]*Tabla22[[#This Row],[Req.]]+Tabla22[[#This Row],[Base price2]]*Tabla22[[#This Row],[Req.2]]</f>
        <v>0</v>
      </c>
      <c r="K420" s="73">
        <f>IFERROR(LOOKUP(Tabla22[[#This Row],[Product]],$R$18:$R$23,$T$18:$T$23)*Tabla22[[#This Row],[QualityBonus]]*Tabla22[[#This Row],[Base price1]]*Tabla22[[#This Row],[Req.]],0)</f>
        <v>0</v>
      </c>
      <c r="L420" s="73">
        <f>IF(Tabla22[[#This Row],[Req.2]]&gt;0,LOOKUP(Tabla22[[#This Row],[Product2]],$R$18:$R$23,$T$18:$T$23)*Tabla22[[#This Row],[Base price2]]*Tabla22[[#This Row],[Req.2]]*Tabla22[[#This Row],[QualityBonus]],0)</f>
        <v>0</v>
      </c>
      <c r="M420" s="73">
        <f>IFERROR((Tabla22[[#This Row],[Base price1]]-LOOKUP(Tabla22[[#This Row],[Product]],$R$18:$R$23,$S$18:$S$23))*Tabla22[[#This Row],[Req.]],0)</f>
        <v>0</v>
      </c>
      <c r="N420" s="73">
        <f>IF(Tabla22[[#This Row],[Req.2]]&gt;0,(Tabla22[[#This Row],[Base price2]]-LOOKUP(Tabla22[[#This Row],[Product2]],$R$18:$R$23,$S$18:$S$23))*Tabla22[[#This Row],[Req.2]],0)</f>
        <v>0</v>
      </c>
      <c r="O420" s="73">
        <f>SUM(Tabla22[[#This Row],[Bonus1]:[p2]])</f>
        <v>0</v>
      </c>
      <c r="P420" s="73" t="str">
        <f>IF(Tabla22[[#This Row],[QualityBonus]]&gt;0,Tabla22[[#This Row],[No wages]]-$C$4,"")</f>
        <v/>
      </c>
    </row>
    <row r="421" spans="1:16" x14ac:dyDescent="0.25">
      <c r="A421" s="13">
        <v>405</v>
      </c>
      <c r="B421" s="13" t="s">
        <v>13</v>
      </c>
      <c r="C421" s="66"/>
      <c r="D421" s="2"/>
      <c r="E421" s="73"/>
      <c r="G421" s="2"/>
      <c r="H421" s="73"/>
      <c r="I421" s="5"/>
      <c r="J421" s="74">
        <f>Tabla22[[#This Row],[Base price1]]*Tabla22[[#This Row],[Req.]]+Tabla22[[#This Row],[Base price2]]*Tabla22[[#This Row],[Req.2]]</f>
        <v>0</v>
      </c>
      <c r="K421" s="73">
        <f>IFERROR(LOOKUP(Tabla22[[#This Row],[Product]],$R$18:$R$23,$T$18:$T$23)*Tabla22[[#This Row],[QualityBonus]]*Tabla22[[#This Row],[Base price1]]*Tabla22[[#This Row],[Req.]],0)</f>
        <v>0</v>
      </c>
      <c r="L421" s="73">
        <f>IF(Tabla22[[#This Row],[Req.2]]&gt;0,LOOKUP(Tabla22[[#This Row],[Product2]],$R$18:$R$23,$T$18:$T$23)*Tabla22[[#This Row],[Base price2]]*Tabla22[[#This Row],[Req.2]]*Tabla22[[#This Row],[QualityBonus]],0)</f>
        <v>0</v>
      </c>
      <c r="M421" s="73">
        <f>IFERROR((Tabla22[[#This Row],[Base price1]]-LOOKUP(Tabla22[[#This Row],[Product]],$R$18:$R$23,$S$18:$S$23))*Tabla22[[#This Row],[Req.]],0)</f>
        <v>0</v>
      </c>
      <c r="N421" s="73">
        <f>IF(Tabla22[[#This Row],[Req.2]]&gt;0,(Tabla22[[#This Row],[Base price2]]-LOOKUP(Tabla22[[#This Row],[Product2]],$R$18:$R$23,$S$18:$S$23))*Tabla22[[#This Row],[Req.2]],0)</f>
        <v>0</v>
      </c>
      <c r="O421" s="73">
        <f>SUM(Tabla22[[#This Row],[Bonus1]:[p2]])</f>
        <v>0</v>
      </c>
      <c r="P421" s="73" t="str">
        <f>IF(Tabla22[[#This Row],[QualityBonus]]&gt;0,Tabla22[[#This Row],[No wages]]-$C$4,"")</f>
        <v/>
      </c>
    </row>
    <row r="422" spans="1:16" x14ac:dyDescent="0.25">
      <c r="A422" s="13">
        <v>406</v>
      </c>
      <c r="B422" s="13" t="s">
        <v>13</v>
      </c>
      <c r="C422" s="66"/>
      <c r="D422" s="2"/>
      <c r="E422" s="73"/>
      <c r="G422" s="2"/>
      <c r="H422" s="73"/>
      <c r="I422" s="5"/>
      <c r="J422" s="74">
        <f>Tabla22[[#This Row],[Base price1]]*Tabla22[[#This Row],[Req.]]+Tabla22[[#This Row],[Base price2]]*Tabla22[[#This Row],[Req.2]]</f>
        <v>0</v>
      </c>
      <c r="K422" s="73">
        <f>IFERROR(LOOKUP(Tabla22[[#This Row],[Product]],$R$18:$R$23,$T$18:$T$23)*Tabla22[[#This Row],[QualityBonus]]*Tabla22[[#This Row],[Base price1]]*Tabla22[[#This Row],[Req.]],0)</f>
        <v>0</v>
      </c>
      <c r="L422" s="73">
        <f>IF(Tabla22[[#This Row],[Req.2]]&gt;0,LOOKUP(Tabla22[[#This Row],[Product2]],$R$18:$R$23,$T$18:$T$23)*Tabla22[[#This Row],[Base price2]]*Tabla22[[#This Row],[Req.2]]*Tabla22[[#This Row],[QualityBonus]],0)</f>
        <v>0</v>
      </c>
      <c r="M422" s="73">
        <f>IFERROR((Tabla22[[#This Row],[Base price1]]-LOOKUP(Tabla22[[#This Row],[Product]],$R$18:$R$23,$S$18:$S$23))*Tabla22[[#This Row],[Req.]],0)</f>
        <v>0</v>
      </c>
      <c r="N422" s="73">
        <f>IF(Tabla22[[#This Row],[Req.2]]&gt;0,(Tabla22[[#This Row],[Base price2]]-LOOKUP(Tabla22[[#This Row],[Product2]],$R$18:$R$23,$S$18:$S$23))*Tabla22[[#This Row],[Req.2]],0)</f>
        <v>0</v>
      </c>
      <c r="O422" s="73">
        <f>SUM(Tabla22[[#This Row],[Bonus1]:[p2]])</f>
        <v>0</v>
      </c>
      <c r="P422" s="73" t="str">
        <f>IF(Tabla22[[#This Row],[QualityBonus]]&gt;0,Tabla22[[#This Row],[No wages]]-$C$4,"")</f>
        <v/>
      </c>
    </row>
    <row r="423" spans="1:16" x14ac:dyDescent="0.25">
      <c r="A423" s="13">
        <v>407</v>
      </c>
      <c r="B423" s="13" t="s">
        <v>13</v>
      </c>
      <c r="C423" s="66"/>
      <c r="D423" s="2"/>
      <c r="E423" s="73"/>
      <c r="G423" s="2"/>
      <c r="H423" s="73"/>
      <c r="I423" s="5"/>
      <c r="J423" s="74">
        <f>Tabla22[[#This Row],[Base price1]]*Tabla22[[#This Row],[Req.]]+Tabla22[[#This Row],[Base price2]]*Tabla22[[#This Row],[Req.2]]</f>
        <v>0</v>
      </c>
      <c r="K423" s="73">
        <f>IFERROR(LOOKUP(Tabla22[[#This Row],[Product]],$R$18:$R$23,$T$18:$T$23)*Tabla22[[#This Row],[QualityBonus]]*Tabla22[[#This Row],[Base price1]]*Tabla22[[#This Row],[Req.]],0)</f>
        <v>0</v>
      </c>
      <c r="L423" s="73">
        <f>IF(Tabla22[[#This Row],[Req.2]]&gt;0,LOOKUP(Tabla22[[#This Row],[Product2]],$R$18:$R$23,$T$18:$T$23)*Tabla22[[#This Row],[Base price2]]*Tabla22[[#This Row],[Req.2]]*Tabla22[[#This Row],[QualityBonus]],0)</f>
        <v>0</v>
      </c>
      <c r="M423" s="73">
        <f>IFERROR((Tabla22[[#This Row],[Base price1]]-LOOKUP(Tabla22[[#This Row],[Product]],$R$18:$R$23,$S$18:$S$23))*Tabla22[[#This Row],[Req.]],0)</f>
        <v>0</v>
      </c>
      <c r="N423" s="73">
        <f>IF(Tabla22[[#This Row],[Req.2]]&gt;0,(Tabla22[[#This Row],[Base price2]]-LOOKUP(Tabla22[[#This Row],[Product2]],$R$18:$R$23,$S$18:$S$23))*Tabla22[[#This Row],[Req.2]],0)</f>
        <v>0</v>
      </c>
      <c r="O423" s="73">
        <f>SUM(Tabla22[[#This Row],[Bonus1]:[p2]])</f>
        <v>0</v>
      </c>
      <c r="P423" s="73" t="str">
        <f>IF(Tabla22[[#This Row],[QualityBonus]]&gt;0,Tabla22[[#This Row],[No wages]]-$C$4,"")</f>
        <v/>
      </c>
    </row>
    <row r="424" spans="1:16" x14ac:dyDescent="0.25">
      <c r="A424" s="13">
        <v>408</v>
      </c>
      <c r="B424" s="13" t="s">
        <v>13</v>
      </c>
      <c r="C424" s="66"/>
      <c r="D424" s="2"/>
      <c r="E424" s="73"/>
      <c r="G424" s="2"/>
      <c r="H424" s="73"/>
      <c r="I424" s="5"/>
      <c r="J424" s="74">
        <f>Tabla22[[#This Row],[Base price1]]*Tabla22[[#This Row],[Req.]]+Tabla22[[#This Row],[Base price2]]*Tabla22[[#This Row],[Req.2]]</f>
        <v>0</v>
      </c>
      <c r="K424" s="73">
        <f>IFERROR(LOOKUP(Tabla22[[#This Row],[Product]],$R$18:$R$23,$T$18:$T$23)*Tabla22[[#This Row],[QualityBonus]]*Tabla22[[#This Row],[Base price1]]*Tabla22[[#This Row],[Req.]],0)</f>
        <v>0</v>
      </c>
      <c r="L424" s="73">
        <f>IF(Tabla22[[#This Row],[Req.2]]&gt;0,LOOKUP(Tabla22[[#This Row],[Product2]],$R$18:$R$23,$T$18:$T$23)*Tabla22[[#This Row],[Base price2]]*Tabla22[[#This Row],[Req.2]]*Tabla22[[#This Row],[QualityBonus]],0)</f>
        <v>0</v>
      </c>
      <c r="M424" s="73">
        <f>IFERROR((Tabla22[[#This Row],[Base price1]]-LOOKUP(Tabla22[[#This Row],[Product]],$R$18:$R$23,$S$18:$S$23))*Tabla22[[#This Row],[Req.]],0)</f>
        <v>0</v>
      </c>
      <c r="N424" s="73">
        <f>IF(Tabla22[[#This Row],[Req.2]]&gt;0,(Tabla22[[#This Row],[Base price2]]-LOOKUP(Tabla22[[#This Row],[Product2]],$R$18:$R$23,$S$18:$S$23))*Tabla22[[#This Row],[Req.2]],0)</f>
        <v>0</v>
      </c>
      <c r="O424" s="73">
        <f>SUM(Tabla22[[#This Row],[Bonus1]:[p2]])</f>
        <v>0</v>
      </c>
      <c r="P424" s="73" t="str">
        <f>IF(Tabla22[[#This Row],[QualityBonus]]&gt;0,Tabla22[[#This Row],[No wages]]-$C$4,"")</f>
        <v/>
      </c>
    </row>
    <row r="425" spans="1:16" x14ac:dyDescent="0.25">
      <c r="A425" s="13">
        <v>409</v>
      </c>
      <c r="B425" s="13" t="s">
        <v>13</v>
      </c>
      <c r="C425" s="66"/>
      <c r="D425" s="2"/>
      <c r="E425" s="73"/>
      <c r="G425" s="2"/>
      <c r="H425" s="73"/>
      <c r="I425" s="5"/>
      <c r="J425" s="74">
        <f>Tabla22[[#This Row],[Base price1]]*Tabla22[[#This Row],[Req.]]+Tabla22[[#This Row],[Base price2]]*Tabla22[[#This Row],[Req.2]]</f>
        <v>0</v>
      </c>
      <c r="K425" s="73">
        <f>IFERROR(LOOKUP(Tabla22[[#This Row],[Product]],$R$18:$R$23,$T$18:$T$23)*Tabla22[[#This Row],[QualityBonus]]*Tabla22[[#This Row],[Base price1]]*Tabla22[[#This Row],[Req.]],0)</f>
        <v>0</v>
      </c>
      <c r="L425" s="73">
        <f>IF(Tabla22[[#This Row],[Req.2]]&gt;0,LOOKUP(Tabla22[[#This Row],[Product2]],$R$18:$R$23,$T$18:$T$23)*Tabla22[[#This Row],[Base price2]]*Tabla22[[#This Row],[Req.2]]*Tabla22[[#This Row],[QualityBonus]],0)</f>
        <v>0</v>
      </c>
      <c r="M425" s="73">
        <f>IFERROR((Tabla22[[#This Row],[Base price1]]-LOOKUP(Tabla22[[#This Row],[Product]],$R$18:$R$23,$S$18:$S$23))*Tabla22[[#This Row],[Req.]],0)</f>
        <v>0</v>
      </c>
      <c r="N425" s="73">
        <f>IF(Tabla22[[#This Row],[Req.2]]&gt;0,(Tabla22[[#This Row],[Base price2]]-LOOKUP(Tabla22[[#This Row],[Product2]],$R$18:$R$23,$S$18:$S$23))*Tabla22[[#This Row],[Req.2]],0)</f>
        <v>0</v>
      </c>
      <c r="O425" s="73">
        <f>SUM(Tabla22[[#This Row],[Bonus1]:[p2]])</f>
        <v>0</v>
      </c>
      <c r="P425" s="73" t="str">
        <f>IF(Tabla22[[#This Row],[QualityBonus]]&gt;0,Tabla22[[#This Row],[No wages]]-$C$4,"")</f>
        <v/>
      </c>
    </row>
    <row r="426" spans="1:16" x14ac:dyDescent="0.25">
      <c r="A426" s="13">
        <v>410</v>
      </c>
      <c r="B426" s="13" t="s">
        <v>13</v>
      </c>
      <c r="C426" s="66"/>
      <c r="D426" s="2"/>
      <c r="E426" s="73"/>
      <c r="G426" s="2"/>
      <c r="H426" s="73"/>
      <c r="I426" s="5"/>
      <c r="J426" s="74">
        <f>Tabla22[[#This Row],[Base price1]]*Tabla22[[#This Row],[Req.]]+Tabla22[[#This Row],[Base price2]]*Tabla22[[#This Row],[Req.2]]</f>
        <v>0</v>
      </c>
      <c r="K426" s="73">
        <f>IFERROR(LOOKUP(Tabla22[[#This Row],[Product]],$R$18:$R$23,$T$18:$T$23)*Tabla22[[#This Row],[QualityBonus]]*Tabla22[[#This Row],[Base price1]]*Tabla22[[#This Row],[Req.]],0)</f>
        <v>0</v>
      </c>
      <c r="L426" s="73">
        <f>IF(Tabla22[[#This Row],[Req.2]]&gt;0,LOOKUP(Tabla22[[#This Row],[Product2]],$R$18:$R$23,$T$18:$T$23)*Tabla22[[#This Row],[Base price2]]*Tabla22[[#This Row],[Req.2]]*Tabla22[[#This Row],[QualityBonus]],0)</f>
        <v>0</v>
      </c>
      <c r="M426" s="73">
        <f>IFERROR((Tabla22[[#This Row],[Base price1]]-LOOKUP(Tabla22[[#This Row],[Product]],$R$18:$R$23,$S$18:$S$23))*Tabla22[[#This Row],[Req.]],0)</f>
        <v>0</v>
      </c>
      <c r="N426" s="73">
        <f>IF(Tabla22[[#This Row],[Req.2]]&gt;0,(Tabla22[[#This Row],[Base price2]]-LOOKUP(Tabla22[[#This Row],[Product2]],$R$18:$R$23,$S$18:$S$23))*Tabla22[[#This Row],[Req.2]],0)</f>
        <v>0</v>
      </c>
      <c r="O426" s="73">
        <f>SUM(Tabla22[[#This Row],[Bonus1]:[p2]])</f>
        <v>0</v>
      </c>
      <c r="P426" s="73" t="str">
        <f>IF(Tabla22[[#This Row],[QualityBonus]]&gt;0,Tabla22[[#This Row],[No wages]]-$C$4,"")</f>
        <v/>
      </c>
    </row>
    <row r="427" spans="1:16" x14ac:dyDescent="0.25">
      <c r="A427" s="13">
        <v>411</v>
      </c>
      <c r="B427" s="13" t="s">
        <v>13</v>
      </c>
      <c r="C427" s="66"/>
      <c r="D427" s="2"/>
      <c r="E427" s="73"/>
      <c r="G427" s="2"/>
      <c r="H427" s="73"/>
      <c r="I427" s="5"/>
      <c r="J427" s="74">
        <f>Tabla22[[#This Row],[Base price1]]*Tabla22[[#This Row],[Req.]]+Tabla22[[#This Row],[Base price2]]*Tabla22[[#This Row],[Req.2]]</f>
        <v>0</v>
      </c>
      <c r="K427" s="73">
        <f>IFERROR(LOOKUP(Tabla22[[#This Row],[Product]],$R$18:$R$23,$T$18:$T$23)*Tabla22[[#This Row],[QualityBonus]]*Tabla22[[#This Row],[Base price1]]*Tabla22[[#This Row],[Req.]],0)</f>
        <v>0</v>
      </c>
      <c r="L427" s="73">
        <f>IF(Tabla22[[#This Row],[Req.2]]&gt;0,LOOKUP(Tabla22[[#This Row],[Product2]],$R$18:$R$23,$T$18:$T$23)*Tabla22[[#This Row],[Base price2]]*Tabla22[[#This Row],[Req.2]]*Tabla22[[#This Row],[QualityBonus]],0)</f>
        <v>0</v>
      </c>
      <c r="M427" s="73">
        <f>IFERROR((Tabla22[[#This Row],[Base price1]]-LOOKUP(Tabla22[[#This Row],[Product]],$R$18:$R$23,$S$18:$S$23))*Tabla22[[#This Row],[Req.]],0)</f>
        <v>0</v>
      </c>
      <c r="N427" s="73">
        <f>IF(Tabla22[[#This Row],[Req.2]]&gt;0,(Tabla22[[#This Row],[Base price2]]-LOOKUP(Tabla22[[#This Row],[Product2]],$R$18:$R$23,$S$18:$S$23))*Tabla22[[#This Row],[Req.2]],0)</f>
        <v>0</v>
      </c>
      <c r="O427" s="73">
        <f>SUM(Tabla22[[#This Row],[Bonus1]:[p2]])</f>
        <v>0</v>
      </c>
      <c r="P427" s="73" t="str">
        <f>IF(Tabla22[[#This Row],[QualityBonus]]&gt;0,Tabla22[[#This Row],[No wages]]-$C$4,"")</f>
        <v/>
      </c>
    </row>
    <row r="428" spans="1:16" x14ac:dyDescent="0.25">
      <c r="A428" s="13">
        <v>412</v>
      </c>
      <c r="B428" s="13" t="s">
        <v>13</v>
      </c>
      <c r="C428" s="66"/>
      <c r="D428" s="2"/>
      <c r="E428" s="73"/>
      <c r="G428" s="2"/>
      <c r="H428" s="73"/>
      <c r="I428" s="5"/>
      <c r="J428" s="74">
        <f>Tabla22[[#This Row],[Base price1]]*Tabla22[[#This Row],[Req.]]+Tabla22[[#This Row],[Base price2]]*Tabla22[[#This Row],[Req.2]]</f>
        <v>0</v>
      </c>
      <c r="K428" s="73">
        <f>IFERROR(LOOKUP(Tabla22[[#This Row],[Product]],$R$18:$R$23,$T$18:$T$23)*Tabla22[[#This Row],[QualityBonus]]*Tabla22[[#This Row],[Base price1]]*Tabla22[[#This Row],[Req.]],0)</f>
        <v>0</v>
      </c>
      <c r="L428" s="73">
        <f>IF(Tabla22[[#This Row],[Req.2]]&gt;0,LOOKUP(Tabla22[[#This Row],[Product2]],$R$18:$R$23,$T$18:$T$23)*Tabla22[[#This Row],[Base price2]]*Tabla22[[#This Row],[Req.2]]*Tabla22[[#This Row],[QualityBonus]],0)</f>
        <v>0</v>
      </c>
      <c r="M428" s="73">
        <f>IFERROR((Tabla22[[#This Row],[Base price1]]-LOOKUP(Tabla22[[#This Row],[Product]],$R$18:$R$23,$S$18:$S$23))*Tabla22[[#This Row],[Req.]],0)</f>
        <v>0</v>
      </c>
      <c r="N428" s="73">
        <f>IF(Tabla22[[#This Row],[Req.2]]&gt;0,(Tabla22[[#This Row],[Base price2]]-LOOKUP(Tabla22[[#This Row],[Product2]],$R$18:$R$23,$S$18:$S$23))*Tabla22[[#This Row],[Req.2]],0)</f>
        <v>0</v>
      </c>
      <c r="O428" s="73">
        <f>SUM(Tabla22[[#This Row],[Bonus1]:[p2]])</f>
        <v>0</v>
      </c>
      <c r="P428" s="73" t="str">
        <f>IF(Tabla22[[#This Row],[QualityBonus]]&gt;0,Tabla22[[#This Row],[No wages]]-$C$4,"")</f>
        <v/>
      </c>
    </row>
    <row r="429" spans="1:16" x14ac:dyDescent="0.25">
      <c r="A429" s="13">
        <v>413</v>
      </c>
      <c r="B429" s="13" t="s">
        <v>13</v>
      </c>
      <c r="C429" s="66"/>
      <c r="D429" s="2"/>
      <c r="E429" s="73"/>
      <c r="G429" s="2"/>
      <c r="H429" s="73"/>
      <c r="I429" s="5"/>
      <c r="J429" s="74">
        <f>Tabla22[[#This Row],[Base price1]]*Tabla22[[#This Row],[Req.]]+Tabla22[[#This Row],[Base price2]]*Tabla22[[#This Row],[Req.2]]</f>
        <v>0</v>
      </c>
      <c r="K429" s="73">
        <f>IFERROR(LOOKUP(Tabla22[[#This Row],[Product]],$R$18:$R$23,$T$18:$T$23)*Tabla22[[#This Row],[QualityBonus]]*Tabla22[[#This Row],[Base price1]]*Tabla22[[#This Row],[Req.]],0)</f>
        <v>0</v>
      </c>
      <c r="L429" s="73">
        <f>IF(Tabla22[[#This Row],[Req.2]]&gt;0,LOOKUP(Tabla22[[#This Row],[Product2]],$R$18:$R$23,$T$18:$T$23)*Tabla22[[#This Row],[Base price2]]*Tabla22[[#This Row],[Req.2]]*Tabla22[[#This Row],[QualityBonus]],0)</f>
        <v>0</v>
      </c>
      <c r="M429" s="73">
        <f>IFERROR((Tabla22[[#This Row],[Base price1]]-LOOKUP(Tabla22[[#This Row],[Product]],$R$18:$R$23,$S$18:$S$23))*Tabla22[[#This Row],[Req.]],0)</f>
        <v>0</v>
      </c>
      <c r="N429" s="73">
        <f>IF(Tabla22[[#This Row],[Req.2]]&gt;0,(Tabla22[[#This Row],[Base price2]]-LOOKUP(Tabla22[[#This Row],[Product2]],$R$18:$R$23,$S$18:$S$23))*Tabla22[[#This Row],[Req.2]],0)</f>
        <v>0</v>
      </c>
      <c r="O429" s="73">
        <f>SUM(Tabla22[[#This Row],[Bonus1]:[p2]])</f>
        <v>0</v>
      </c>
      <c r="P429" s="73" t="str">
        <f>IF(Tabla22[[#This Row],[QualityBonus]]&gt;0,Tabla22[[#This Row],[No wages]]-$C$4,"")</f>
        <v/>
      </c>
    </row>
    <row r="430" spans="1:16" x14ac:dyDescent="0.25">
      <c r="A430" s="13">
        <v>414</v>
      </c>
      <c r="B430" s="13" t="s">
        <v>13</v>
      </c>
      <c r="C430" s="66"/>
      <c r="D430" s="2"/>
      <c r="E430" s="73"/>
      <c r="G430" s="2"/>
      <c r="H430" s="73"/>
      <c r="I430" s="5"/>
      <c r="J430" s="74">
        <f>Tabla22[[#This Row],[Base price1]]*Tabla22[[#This Row],[Req.]]+Tabla22[[#This Row],[Base price2]]*Tabla22[[#This Row],[Req.2]]</f>
        <v>0</v>
      </c>
      <c r="K430" s="73">
        <f>IFERROR(LOOKUP(Tabla22[[#This Row],[Product]],$R$18:$R$23,$T$18:$T$23)*Tabla22[[#This Row],[QualityBonus]]*Tabla22[[#This Row],[Base price1]]*Tabla22[[#This Row],[Req.]],0)</f>
        <v>0</v>
      </c>
      <c r="L430" s="73">
        <f>IF(Tabla22[[#This Row],[Req.2]]&gt;0,LOOKUP(Tabla22[[#This Row],[Product2]],$R$18:$R$23,$T$18:$T$23)*Tabla22[[#This Row],[Base price2]]*Tabla22[[#This Row],[Req.2]]*Tabla22[[#This Row],[QualityBonus]],0)</f>
        <v>0</v>
      </c>
      <c r="M430" s="73">
        <f>IFERROR((Tabla22[[#This Row],[Base price1]]-LOOKUP(Tabla22[[#This Row],[Product]],$R$18:$R$23,$S$18:$S$23))*Tabla22[[#This Row],[Req.]],0)</f>
        <v>0</v>
      </c>
      <c r="N430" s="73">
        <f>IF(Tabla22[[#This Row],[Req.2]]&gt;0,(Tabla22[[#This Row],[Base price2]]-LOOKUP(Tabla22[[#This Row],[Product2]],$R$18:$R$23,$S$18:$S$23))*Tabla22[[#This Row],[Req.2]],0)</f>
        <v>0</v>
      </c>
      <c r="O430" s="73">
        <f>SUM(Tabla22[[#This Row],[Bonus1]:[p2]])</f>
        <v>0</v>
      </c>
      <c r="P430" s="73" t="str">
        <f>IF(Tabla22[[#This Row],[QualityBonus]]&gt;0,Tabla22[[#This Row],[No wages]]-$C$4,"")</f>
        <v/>
      </c>
    </row>
    <row r="431" spans="1:16" x14ac:dyDescent="0.25">
      <c r="A431" s="13">
        <v>415</v>
      </c>
      <c r="B431" s="13" t="s">
        <v>13</v>
      </c>
      <c r="C431" s="66"/>
      <c r="D431" s="2"/>
      <c r="E431" s="73"/>
      <c r="G431" s="2"/>
      <c r="H431" s="73"/>
      <c r="I431" s="5"/>
      <c r="J431" s="74">
        <f>Tabla22[[#This Row],[Base price1]]*Tabla22[[#This Row],[Req.]]+Tabla22[[#This Row],[Base price2]]*Tabla22[[#This Row],[Req.2]]</f>
        <v>0</v>
      </c>
      <c r="K431" s="73">
        <f>IFERROR(LOOKUP(Tabla22[[#This Row],[Product]],$R$18:$R$23,$T$18:$T$23)*Tabla22[[#This Row],[QualityBonus]]*Tabla22[[#This Row],[Base price1]]*Tabla22[[#This Row],[Req.]],0)</f>
        <v>0</v>
      </c>
      <c r="L431" s="73">
        <f>IF(Tabla22[[#This Row],[Req.2]]&gt;0,LOOKUP(Tabla22[[#This Row],[Product2]],$R$18:$R$23,$T$18:$T$23)*Tabla22[[#This Row],[Base price2]]*Tabla22[[#This Row],[Req.2]]*Tabla22[[#This Row],[QualityBonus]],0)</f>
        <v>0</v>
      </c>
      <c r="M431" s="73">
        <f>IFERROR((Tabla22[[#This Row],[Base price1]]-LOOKUP(Tabla22[[#This Row],[Product]],$R$18:$R$23,$S$18:$S$23))*Tabla22[[#This Row],[Req.]],0)</f>
        <v>0</v>
      </c>
      <c r="N431" s="73">
        <f>IF(Tabla22[[#This Row],[Req.2]]&gt;0,(Tabla22[[#This Row],[Base price2]]-LOOKUP(Tabla22[[#This Row],[Product2]],$R$18:$R$23,$S$18:$S$23))*Tabla22[[#This Row],[Req.2]],0)</f>
        <v>0</v>
      </c>
      <c r="O431" s="73">
        <f>SUM(Tabla22[[#This Row],[Bonus1]:[p2]])</f>
        <v>0</v>
      </c>
      <c r="P431" s="73" t="str">
        <f>IF(Tabla22[[#This Row],[QualityBonus]]&gt;0,Tabla22[[#This Row],[No wages]]-$C$4,"")</f>
        <v/>
      </c>
    </row>
    <row r="432" spans="1:16" x14ac:dyDescent="0.25">
      <c r="A432" s="13">
        <v>416</v>
      </c>
      <c r="B432" s="13" t="s">
        <v>13</v>
      </c>
      <c r="C432" s="66"/>
      <c r="D432" s="2"/>
      <c r="E432" s="73"/>
      <c r="G432" s="2"/>
      <c r="H432" s="73"/>
      <c r="I432" s="5"/>
      <c r="J432" s="74">
        <f>Tabla22[[#This Row],[Base price1]]*Tabla22[[#This Row],[Req.]]+Tabla22[[#This Row],[Base price2]]*Tabla22[[#This Row],[Req.2]]</f>
        <v>0</v>
      </c>
      <c r="K432" s="73">
        <f>IFERROR(LOOKUP(Tabla22[[#This Row],[Product]],$R$18:$R$23,$T$18:$T$23)*Tabla22[[#This Row],[QualityBonus]]*Tabla22[[#This Row],[Base price1]]*Tabla22[[#This Row],[Req.]],0)</f>
        <v>0</v>
      </c>
      <c r="L432" s="73">
        <f>IF(Tabla22[[#This Row],[Req.2]]&gt;0,LOOKUP(Tabla22[[#This Row],[Product2]],$R$18:$R$23,$T$18:$T$23)*Tabla22[[#This Row],[Base price2]]*Tabla22[[#This Row],[Req.2]]*Tabla22[[#This Row],[QualityBonus]],0)</f>
        <v>0</v>
      </c>
      <c r="M432" s="73">
        <f>IFERROR((Tabla22[[#This Row],[Base price1]]-LOOKUP(Tabla22[[#This Row],[Product]],$R$18:$R$23,$S$18:$S$23))*Tabla22[[#This Row],[Req.]],0)</f>
        <v>0</v>
      </c>
      <c r="N432" s="73">
        <f>IF(Tabla22[[#This Row],[Req.2]]&gt;0,(Tabla22[[#This Row],[Base price2]]-LOOKUP(Tabla22[[#This Row],[Product2]],$R$18:$R$23,$S$18:$S$23))*Tabla22[[#This Row],[Req.2]],0)</f>
        <v>0</v>
      </c>
      <c r="O432" s="73">
        <f>SUM(Tabla22[[#This Row],[Bonus1]:[p2]])</f>
        <v>0</v>
      </c>
      <c r="P432" s="73" t="str">
        <f>IF(Tabla22[[#This Row],[QualityBonus]]&gt;0,Tabla22[[#This Row],[No wages]]-$C$4,"")</f>
        <v/>
      </c>
    </row>
    <row r="433" spans="1:16" x14ac:dyDescent="0.25">
      <c r="A433" s="13">
        <v>417</v>
      </c>
      <c r="B433" s="13" t="s">
        <v>13</v>
      </c>
      <c r="C433" s="66"/>
      <c r="D433" s="2"/>
      <c r="E433" s="73"/>
      <c r="G433" s="2"/>
      <c r="H433" s="73"/>
      <c r="I433" s="5"/>
      <c r="J433" s="74">
        <f>Tabla22[[#This Row],[Base price1]]*Tabla22[[#This Row],[Req.]]+Tabla22[[#This Row],[Base price2]]*Tabla22[[#This Row],[Req.2]]</f>
        <v>0</v>
      </c>
      <c r="K433" s="73">
        <f>IFERROR(LOOKUP(Tabla22[[#This Row],[Product]],$R$18:$R$23,$T$18:$T$23)*Tabla22[[#This Row],[QualityBonus]]*Tabla22[[#This Row],[Base price1]]*Tabla22[[#This Row],[Req.]],0)</f>
        <v>0</v>
      </c>
      <c r="L433" s="73">
        <f>IF(Tabla22[[#This Row],[Req.2]]&gt;0,LOOKUP(Tabla22[[#This Row],[Product2]],$R$18:$R$23,$T$18:$T$23)*Tabla22[[#This Row],[Base price2]]*Tabla22[[#This Row],[Req.2]]*Tabla22[[#This Row],[QualityBonus]],0)</f>
        <v>0</v>
      </c>
      <c r="M433" s="73">
        <f>IFERROR((Tabla22[[#This Row],[Base price1]]-LOOKUP(Tabla22[[#This Row],[Product]],$R$18:$R$23,$S$18:$S$23))*Tabla22[[#This Row],[Req.]],0)</f>
        <v>0</v>
      </c>
      <c r="N433" s="73">
        <f>IF(Tabla22[[#This Row],[Req.2]]&gt;0,(Tabla22[[#This Row],[Base price2]]-LOOKUP(Tabla22[[#This Row],[Product2]],$R$18:$R$23,$S$18:$S$23))*Tabla22[[#This Row],[Req.2]],0)</f>
        <v>0</v>
      </c>
      <c r="O433" s="73">
        <f>SUM(Tabla22[[#This Row],[Bonus1]:[p2]])</f>
        <v>0</v>
      </c>
      <c r="P433" s="73" t="str">
        <f>IF(Tabla22[[#This Row],[QualityBonus]]&gt;0,Tabla22[[#This Row],[No wages]]-$C$4,"")</f>
        <v/>
      </c>
    </row>
    <row r="434" spans="1:16" x14ac:dyDescent="0.25">
      <c r="A434" s="13">
        <v>418</v>
      </c>
      <c r="B434" s="13" t="s">
        <v>13</v>
      </c>
      <c r="C434" s="66"/>
      <c r="D434" s="2"/>
      <c r="E434" s="73"/>
      <c r="G434" s="2"/>
      <c r="H434" s="73"/>
      <c r="I434" s="5"/>
      <c r="J434" s="74">
        <f>Tabla22[[#This Row],[Base price1]]*Tabla22[[#This Row],[Req.]]+Tabla22[[#This Row],[Base price2]]*Tabla22[[#This Row],[Req.2]]</f>
        <v>0</v>
      </c>
      <c r="K434" s="73">
        <f>IFERROR(LOOKUP(Tabla22[[#This Row],[Product]],$R$18:$R$23,$T$18:$T$23)*Tabla22[[#This Row],[QualityBonus]]*Tabla22[[#This Row],[Base price1]]*Tabla22[[#This Row],[Req.]],0)</f>
        <v>0</v>
      </c>
      <c r="L434" s="73">
        <f>IF(Tabla22[[#This Row],[Req.2]]&gt;0,LOOKUP(Tabla22[[#This Row],[Product2]],$R$18:$R$23,$T$18:$T$23)*Tabla22[[#This Row],[Base price2]]*Tabla22[[#This Row],[Req.2]]*Tabla22[[#This Row],[QualityBonus]],0)</f>
        <v>0</v>
      </c>
      <c r="M434" s="73">
        <f>IFERROR((Tabla22[[#This Row],[Base price1]]-LOOKUP(Tabla22[[#This Row],[Product]],$R$18:$R$23,$S$18:$S$23))*Tabla22[[#This Row],[Req.]],0)</f>
        <v>0</v>
      </c>
      <c r="N434" s="73">
        <f>IF(Tabla22[[#This Row],[Req.2]]&gt;0,(Tabla22[[#This Row],[Base price2]]-LOOKUP(Tabla22[[#This Row],[Product2]],$R$18:$R$23,$S$18:$S$23))*Tabla22[[#This Row],[Req.2]],0)</f>
        <v>0</v>
      </c>
      <c r="O434" s="73">
        <f>SUM(Tabla22[[#This Row],[Bonus1]:[p2]])</f>
        <v>0</v>
      </c>
      <c r="P434" s="73" t="str">
        <f>IF(Tabla22[[#This Row],[QualityBonus]]&gt;0,Tabla22[[#This Row],[No wages]]-$C$4,"")</f>
        <v/>
      </c>
    </row>
    <row r="435" spans="1:16" x14ac:dyDescent="0.25">
      <c r="A435" s="13">
        <v>419</v>
      </c>
      <c r="B435" s="13" t="s">
        <v>13</v>
      </c>
      <c r="C435" s="66"/>
      <c r="D435" s="2"/>
      <c r="E435" s="73"/>
      <c r="G435" s="2"/>
      <c r="H435" s="73"/>
      <c r="I435" s="5"/>
      <c r="J435" s="74">
        <f>Tabla22[[#This Row],[Base price1]]*Tabla22[[#This Row],[Req.]]+Tabla22[[#This Row],[Base price2]]*Tabla22[[#This Row],[Req.2]]</f>
        <v>0</v>
      </c>
      <c r="K435" s="73">
        <f>IFERROR(LOOKUP(Tabla22[[#This Row],[Product]],$R$18:$R$23,$T$18:$T$23)*Tabla22[[#This Row],[QualityBonus]]*Tabla22[[#This Row],[Base price1]]*Tabla22[[#This Row],[Req.]],0)</f>
        <v>0</v>
      </c>
      <c r="L435" s="73">
        <f>IF(Tabla22[[#This Row],[Req.2]]&gt;0,LOOKUP(Tabla22[[#This Row],[Product2]],$R$18:$R$23,$T$18:$T$23)*Tabla22[[#This Row],[Base price2]]*Tabla22[[#This Row],[Req.2]]*Tabla22[[#This Row],[QualityBonus]],0)</f>
        <v>0</v>
      </c>
      <c r="M435" s="73">
        <f>IFERROR((Tabla22[[#This Row],[Base price1]]-LOOKUP(Tabla22[[#This Row],[Product]],$R$18:$R$23,$S$18:$S$23))*Tabla22[[#This Row],[Req.]],0)</f>
        <v>0</v>
      </c>
      <c r="N435" s="73">
        <f>IF(Tabla22[[#This Row],[Req.2]]&gt;0,(Tabla22[[#This Row],[Base price2]]-LOOKUP(Tabla22[[#This Row],[Product2]],$R$18:$R$23,$S$18:$S$23))*Tabla22[[#This Row],[Req.2]],0)</f>
        <v>0</v>
      </c>
      <c r="O435" s="73">
        <f>SUM(Tabla22[[#This Row],[Bonus1]:[p2]])</f>
        <v>0</v>
      </c>
      <c r="P435" s="73" t="str">
        <f>IF(Tabla22[[#This Row],[QualityBonus]]&gt;0,Tabla22[[#This Row],[No wages]]-$C$4,"")</f>
        <v/>
      </c>
    </row>
    <row r="436" spans="1:16" x14ac:dyDescent="0.25">
      <c r="A436" s="13">
        <v>420</v>
      </c>
      <c r="B436" s="13" t="s">
        <v>13</v>
      </c>
      <c r="C436" s="66"/>
      <c r="D436" s="2"/>
      <c r="E436" s="73"/>
      <c r="G436" s="2"/>
      <c r="H436" s="73"/>
      <c r="I436" s="5"/>
      <c r="J436" s="74">
        <f>Tabla22[[#This Row],[Base price1]]*Tabla22[[#This Row],[Req.]]+Tabla22[[#This Row],[Base price2]]*Tabla22[[#This Row],[Req.2]]</f>
        <v>0</v>
      </c>
      <c r="K436" s="73">
        <f>IFERROR(LOOKUP(Tabla22[[#This Row],[Product]],$R$18:$R$23,$T$18:$T$23)*Tabla22[[#This Row],[QualityBonus]]*Tabla22[[#This Row],[Base price1]]*Tabla22[[#This Row],[Req.]],0)</f>
        <v>0</v>
      </c>
      <c r="L436" s="73">
        <f>IF(Tabla22[[#This Row],[Req.2]]&gt;0,LOOKUP(Tabla22[[#This Row],[Product2]],$R$18:$R$23,$T$18:$T$23)*Tabla22[[#This Row],[Base price2]]*Tabla22[[#This Row],[Req.2]]*Tabla22[[#This Row],[QualityBonus]],0)</f>
        <v>0</v>
      </c>
      <c r="M436" s="73">
        <f>IFERROR((Tabla22[[#This Row],[Base price1]]-LOOKUP(Tabla22[[#This Row],[Product]],$R$18:$R$23,$S$18:$S$23))*Tabla22[[#This Row],[Req.]],0)</f>
        <v>0</v>
      </c>
      <c r="N436" s="73">
        <f>IF(Tabla22[[#This Row],[Req.2]]&gt;0,(Tabla22[[#This Row],[Base price2]]-LOOKUP(Tabla22[[#This Row],[Product2]],$R$18:$R$23,$S$18:$S$23))*Tabla22[[#This Row],[Req.2]],0)</f>
        <v>0</v>
      </c>
      <c r="O436" s="73">
        <f>SUM(Tabla22[[#This Row],[Bonus1]:[p2]])</f>
        <v>0</v>
      </c>
      <c r="P436" s="73" t="str">
        <f>IF(Tabla22[[#This Row],[QualityBonus]]&gt;0,Tabla22[[#This Row],[No wages]]-$C$4,"")</f>
        <v/>
      </c>
    </row>
    <row r="437" spans="1:16" x14ac:dyDescent="0.25">
      <c r="A437" s="13">
        <v>421</v>
      </c>
      <c r="B437" s="13" t="s">
        <v>13</v>
      </c>
      <c r="C437" s="66"/>
      <c r="D437" s="2"/>
      <c r="E437" s="73"/>
      <c r="G437" s="2"/>
      <c r="H437" s="73"/>
      <c r="I437" s="5"/>
      <c r="J437" s="74">
        <f>Tabla22[[#This Row],[Base price1]]*Tabla22[[#This Row],[Req.]]+Tabla22[[#This Row],[Base price2]]*Tabla22[[#This Row],[Req.2]]</f>
        <v>0</v>
      </c>
      <c r="K437" s="73">
        <f>IFERROR(LOOKUP(Tabla22[[#This Row],[Product]],$R$18:$R$23,$T$18:$T$23)*Tabla22[[#This Row],[QualityBonus]]*Tabla22[[#This Row],[Base price1]]*Tabla22[[#This Row],[Req.]],0)</f>
        <v>0</v>
      </c>
      <c r="L437" s="73">
        <f>IF(Tabla22[[#This Row],[Req.2]]&gt;0,LOOKUP(Tabla22[[#This Row],[Product2]],$R$18:$R$23,$T$18:$T$23)*Tabla22[[#This Row],[Base price2]]*Tabla22[[#This Row],[Req.2]]*Tabla22[[#This Row],[QualityBonus]],0)</f>
        <v>0</v>
      </c>
      <c r="M437" s="73">
        <f>IFERROR((Tabla22[[#This Row],[Base price1]]-LOOKUP(Tabla22[[#This Row],[Product]],$R$18:$R$23,$S$18:$S$23))*Tabla22[[#This Row],[Req.]],0)</f>
        <v>0</v>
      </c>
      <c r="N437" s="73">
        <f>IF(Tabla22[[#This Row],[Req.2]]&gt;0,(Tabla22[[#This Row],[Base price2]]-LOOKUP(Tabla22[[#This Row],[Product2]],$R$18:$R$23,$S$18:$S$23))*Tabla22[[#This Row],[Req.2]],0)</f>
        <v>0</v>
      </c>
      <c r="O437" s="73">
        <f>SUM(Tabla22[[#This Row],[Bonus1]:[p2]])</f>
        <v>0</v>
      </c>
      <c r="P437" s="73" t="str">
        <f>IF(Tabla22[[#This Row],[QualityBonus]]&gt;0,Tabla22[[#This Row],[No wages]]-$C$4,"")</f>
        <v/>
      </c>
    </row>
    <row r="438" spans="1:16" x14ac:dyDescent="0.25">
      <c r="A438" s="13">
        <v>422</v>
      </c>
      <c r="B438" s="13" t="s">
        <v>13</v>
      </c>
      <c r="C438" s="66"/>
      <c r="D438" s="2"/>
      <c r="E438" s="73"/>
      <c r="G438" s="2"/>
      <c r="H438" s="73"/>
      <c r="I438" s="5"/>
      <c r="J438" s="74">
        <f>Tabla22[[#This Row],[Base price1]]*Tabla22[[#This Row],[Req.]]+Tabla22[[#This Row],[Base price2]]*Tabla22[[#This Row],[Req.2]]</f>
        <v>0</v>
      </c>
      <c r="K438" s="73">
        <f>IFERROR(LOOKUP(Tabla22[[#This Row],[Product]],$R$18:$R$23,$T$18:$T$23)*Tabla22[[#This Row],[QualityBonus]]*Tabla22[[#This Row],[Base price1]]*Tabla22[[#This Row],[Req.]],0)</f>
        <v>0</v>
      </c>
      <c r="L438" s="73">
        <f>IF(Tabla22[[#This Row],[Req.2]]&gt;0,LOOKUP(Tabla22[[#This Row],[Product2]],$R$18:$R$23,$T$18:$T$23)*Tabla22[[#This Row],[Base price2]]*Tabla22[[#This Row],[Req.2]]*Tabla22[[#This Row],[QualityBonus]],0)</f>
        <v>0</v>
      </c>
      <c r="M438" s="73">
        <f>IFERROR((Tabla22[[#This Row],[Base price1]]-LOOKUP(Tabla22[[#This Row],[Product]],$R$18:$R$23,$S$18:$S$23))*Tabla22[[#This Row],[Req.]],0)</f>
        <v>0</v>
      </c>
      <c r="N438" s="73">
        <f>IF(Tabla22[[#This Row],[Req.2]]&gt;0,(Tabla22[[#This Row],[Base price2]]-LOOKUP(Tabla22[[#This Row],[Product2]],$R$18:$R$23,$S$18:$S$23))*Tabla22[[#This Row],[Req.2]],0)</f>
        <v>0</v>
      </c>
      <c r="O438" s="73">
        <f>SUM(Tabla22[[#This Row],[Bonus1]:[p2]])</f>
        <v>0</v>
      </c>
      <c r="P438" s="73" t="str">
        <f>IF(Tabla22[[#This Row],[QualityBonus]]&gt;0,Tabla22[[#This Row],[No wages]]-$C$4,"")</f>
        <v/>
      </c>
    </row>
    <row r="439" spans="1:16" x14ac:dyDescent="0.25">
      <c r="A439" s="13">
        <v>423</v>
      </c>
      <c r="B439" s="13" t="s">
        <v>13</v>
      </c>
      <c r="C439" s="66"/>
      <c r="D439" s="2"/>
      <c r="E439" s="73"/>
      <c r="G439" s="2"/>
      <c r="H439" s="73"/>
      <c r="I439" s="5"/>
      <c r="J439" s="74">
        <f>Tabla22[[#This Row],[Base price1]]*Tabla22[[#This Row],[Req.]]+Tabla22[[#This Row],[Base price2]]*Tabla22[[#This Row],[Req.2]]</f>
        <v>0</v>
      </c>
      <c r="K439" s="73">
        <f>IFERROR(LOOKUP(Tabla22[[#This Row],[Product]],$R$18:$R$23,$T$18:$T$23)*Tabla22[[#This Row],[QualityBonus]]*Tabla22[[#This Row],[Base price1]]*Tabla22[[#This Row],[Req.]],0)</f>
        <v>0</v>
      </c>
      <c r="L439" s="73">
        <f>IF(Tabla22[[#This Row],[Req.2]]&gt;0,LOOKUP(Tabla22[[#This Row],[Product2]],$R$18:$R$23,$T$18:$T$23)*Tabla22[[#This Row],[Base price2]]*Tabla22[[#This Row],[Req.2]]*Tabla22[[#This Row],[QualityBonus]],0)</f>
        <v>0</v>
      </c>
      <c r="M439" s="73">
        <f>IFERROR((Tabla22[[#This Row],[Base price1]]-LOOKUP(Tabla22[[#This Row],[Product]],$R$18:$R$23,$S$18:$S$23))*Tabla22[[#This Row],[Req.]],0)</f>
        <v>0</v>
      </c>
      <c r="N439" s="73">
        <f>IF(Tabla22[[#This Row],[Req.2]]&gt;0,(Tabla22[[#This Row],[Base price2]]-LOOKUP(Tabla22[[#This Row],[Product2]],$R$18:$R$23,$S$18:$S$23))*Tabla22[[#This Row],[Req.2]],0)</f>
        <v>0</v>
      </c>
      <c r="O439" s="73">
        <f>SUM(Tabla22[[#This Row],[Bonus1]:[p2]])</f>
        <v>0</v>
      </c>
      <c r="P439" s="73" t="str">
        <f>IF(Tabla22[[#This Row],[QualityBonus]]&gt;0,Tabla22[[#This Row],[No wages]]-$C$4,"")</f>
        <v/>
      </c>
    </row>
    <row r="440" spans="1:16" x14ac:dyDescent="0.25">
      <c r="A440" s="13">
        <v>424</v>
      </c>
      <c r="B440" s="13" t="s">
        <v>13</v>
      </c>
      <c r="C440" s="66"/>
      <c r="D440" s="2"/>
      <c r="E440" s="73"/>
      <c r="G440" s="2"/>
      <c r="H440" s="73"/>
      <c r="I440" s="5"/>
      <c r="J440" s="74">
        <f>Tabla22[[#This Row],[Base price1]]*Tabla22[[#This Row],[Req.]]+Tabla22[[#This Row],[Base price2]]*Tabla22[[#This Row],[Req.2]]</f>
        <v>0</v>
      </c>
      <c r="K440" s="73">
        <f>IFERROR(LOOKUP(Tabla22[[#This Row],[Product]],$R$18:$R$23,$T$18:$T$23)*Tabla22[[#This Row],[QualityBonus]]*Tabla22[[#This Row],[Base price1]]*Tabla22[[#This Row],[Req.]],0)</f>
        <v>0</v>
      </c>
      <c r="L440" s="73">
        <f>IF(Tabla22[[#This Row],[Req.2]]&gt;0,LOOKUP(Tabla22[[#This Row],[Product2]],$R$18:$R$23,$T$18:$T$23)*Tabla22[[#This Row],[Base price2]]*Tabla22[[#This Row],[Req.2]]*Tabla22[[#This Row],[QualityBonus]],0)</f>
        <v>0</v>
      </c>
      <c r="M440" s="73">
        <f>IFERROR((Tabla22[[#This Row],[Base price1]]-LOOKUP(Tabla22[[#This Row],[Product]],$R$18:$R$23,$S$18:$S$23))*Tabla22[[#This Row],[Req.]],0)</f>
        <v>0</v>
      </c>
      <c r="N440" s="73">
        <f>IF(Tabla22[[#This Row],[Req.2]]&gt;0,(Tabla22[[#This Row],[Base price2]]-LOOKUP(Tabla22[[#This Row],[Product2]],$R$18:$R$23,$S$18:$S$23))*Tabla22[[#This Row],[Req.2]],0)</f>
        <v>0</v>
      </c>
      <c r="O440" s="73">
        <f>SUM(Tabla22[[#This Row],[Bonus1]:[p2]])</f>
        <v>0</v>
      </c>
      <c r="P440" s="73" t="str">
        <f>IF(Tabla22[[#This Row],[QualityBonus]]&gt;0,Tabla22[[#This Row],[No wages]]-$C$4,"")</f>
        <v/>
      </c>
    </row>
    <row r="441" spans="1:16" x14ac:dyDescent="0.25">
      <c r="A441" s="13">
        <v>425</v>
      </c>
      <c r="B441" s="13" t="s">
        <v>13</v>
      </c>
      <c r="C441" s="66"/>
      <c r="D441" s="2"/>
      <c r="E441" s="73"/>
      <c r="G441" s="2"/>
      <c r="H441" s="73"/>
      <c r="I441" s="5"/>
      <c r="J441" s="74">
        <f>Tabla22[[#This Row],[Base price1]]*Tabla22[[#This Row],[Req.]]+Tabla22[[#This Row],[Base price2]]*Tabla22[[#This Row],[Req.2]]</f>
        <v>0</v>
      </c>
      <c r="K441" s="73">
        <f>IFERROR(LOOKUP(Tabla22[[#This Row],[Product]],$R$18:$R$23,$T$18:$T$23)*Tabla22[[#This Row],[QualityBonus]]*Tabla22[[#This Row],[Base price1]]*Tabla22[[#This Row],[Req.]],0)</f>
        <v>0</v>
      </c>
      <c r="L441" s="73">
        <f>IF(Tabla22[[#This Row],[Req.2]]&gt;0,LOOKUP(Tabla22[[#This Row],[Product2]],$R$18:$R$23,$T$18:$T$23)*Tabla22[[#This Row],[Base price2]]*Tabla22[[#This Row],[Req.2]]*Tabla22[[#This Row],[QualityBonus]],0)</f>
        <v>0</v>
      </c>
      <c r="M441" s="73">
        <f>IFERROR((Tabla22[[#This Row],[Base price1]]-LOOKUP(Tabla22[[#This Row],[Product]],$R$18:$R$23,$S$18:$S$23))*Tabla22[[#This Row],[Req.]],0)</f>
        <v>0</v>
      </c>
      <c r="N441" s="73">
        <f>IF(Tabla22[[#This Row],[Req.2]]&gt;0,(Tabla22[[#This Row],[Base price2]]-LOOKUP(Tabla22[[#This Row],[Product2]],$R$18:$R$23,$S$18:$S$23))*Tabla22[[#This Row],[Req.2]],0)</f>
        <v>0</v>
      </c>
      <c r="O441" s="73">
        <f>SUM(Tabla22[[#This Row],[Bonus1]:[p2]])</f>
        <v>0</v>
      </c>
      <c r="P441" s="73" t="str">
        <f>IF(Tabla22[[#This Row],[QualityBonus]]&gt;0,Tabla22[[#This Row],[No wages]]-$C$4,"")</f>
        <v/>
      </c>
    </row>
    <row r="442" spans="1:16" x14ac:dyDescent="0.25">
      <c r="A442" s="13">
        <v>426</v>
      </c>
      <c r="B442" s="13" t="s">
        <v>13</v>
      </c>
      <c r="C442" s="66"/>
      <c r="D442" s="2"/>
      <c r="E442" s="73"/>
      <c r="G442" s="2"/>
      <c r="H442" s="73"/>
      <c r="I442" s="5"/>
      <c r="J442" s="74">
        <f>Tabla22[[#This Row],[Base price1]]*Tabla22[[#This Row],[Req.]]+Tabla22[[#This Row],[Base price2]]*Tabla22[[#This Row],[Req.2]]</f>
        <v>0</v>
      </c>
      <c r="K442" s="73">
        <f>IFERROR(LOOKUP(Tabla22[[#This Row],[Product]],$R$18:$R$23,$T$18:$T$23)*Tabla22[[#This Row],[QualityBonus]]*Tabla22[[#This Row],[Base price1]]*Tabla22[[#This Row],[Req.]],0)</f>
        <v>0</v>
      </c>
      <c r="L442" s="73">
        <f>IF(Tabla22[[#This Row],[Req.2]]&gt;0,LOOKUP(Tabla22[[#This Row],[Product2]],$R$18:$R$23,$T$18:$T$23)*Tabla22[[#This Row],[Base price2]]*Tabla22[[#This Row],[Req.2]]*Tabla22[[#This Row],[QualityBonus]],0)</f>
        <v>0</v>
      </c>
      <c r="M442" s="73">
        <f>IFERROR((Tabla22[[#This Row],[Base price1]]-LOOKUP(Tabla22[[#This Row],[Product]],$R$18:$R$23,$S$18:$S$23))*Tabla22[[#This Row],[Req.]],0)</f>
        <v>0</v>
      </c>
      <c r="N442" s="73">
        <f>IF(Tabla22[[#This Row],[Req.2]]&gt;0,(Tabla22[[#This Row],[Base price2]]-LOOKUP(Tabla22[[#This Row],[Product2]],$R$18:$R$23,$S$18:$S$23))*Tabla22[[#This Row],[Req.2]],0)</f>
        <v>0</v>
      </c>
      <c r="O442" s="73">
        <f>SUM(Tabla22[[#This Row],[Bonus1]:[p2]])</f>
        <v>0</v>
      </c>
      <c r="P442" s="73" t="str">
        <f>IF(Tabla22[[#This Row],[QualityBonus]]&gt;0,Tabla22[[#This Row],[No wages]]-$C$4,"")</f>
        <v/>
      </c>
    </row>
    <row r="443" spans="1:16" x14ac:dyDescent="0.25">
      <c r="A443" s="13">
        <v>427</v>
      </c>
      <c r="B443" s="13" t="s">
        <v>13</v>
      </c>
      <c r="C443" s="66"/>
      <c r="D443" s="2"/>
      <c r="E443" s="73"/>
      <c r="G443" s="2"/>
      <c r="H443" s="73"/>
      <c r="I443" s="5"/>
      <c r="J443" s="74">
        <f>Tabla22[[#This Row],[Base price1]]*Tabla22[[#This Row],[Req.]]+Tabla22[[#This Row],[Base price2]]*Tabla22[[#This Row],[Req.2]]</f>
        <v>0</v>
      </c>
      <c r="K443" s="73">
        <f>IFERROR(LOOKUP(Tabla22[[#This Row],[Product]],$R$18:$R$23,$T$18:$T$23)*Tabla22[[#This Row],[QualityBonus]]*Tabla22[[#This Row],[Base price1]]*Tabla22[[#This Row],[Req.]],0)</f>
        <v>0</v>
      </c>
      <c r="L443" s="73">
        <f>IF(Tabla22[[#This Row],[Req.2]]&gt;0,LOOKUP(Tabla22[[#This Row],[Product2]],$R$18:$R$23,$T$18:$T$23)*Tabla22[[#This Row],[Base price2]]*Tabla22[[#This Row],[Req.2]]*Tabla22[[#This Row],[QualityBonus]],0)</f>
        <v>0</v>
      </c>
      <c r="M443" s="73">
        <f>IFERROR((Tabla22[[#This Row],[Base price1]]-LOOKUP(Tabla22[[#This Row],[Product]],$R$18:$R$23,$S$18:$S$23))*Tabla22[[#This Row],[Req.]],0)</f>
        <v>0</v>
      </c>
      <c r="N443" s="73">
        <f>IF(Tabla22[[#This Row],[Req.2]]&gt;0,(Tabla22[[#This Row],[Base price2]]-LOOKUP(Tabla22[[#This Row],[Product2]],$R$18:$R$23,$S$18:$S$23))*Tabla22[[#This Row],[Req.2]],0)</f>
        <v>0</v>
      </c>
      <c r="O443" s="73">
        <f>SUM(Tabla22[[#This Row],[Bonus1]:[p2]])</f>
        <v>0</v>
      </c>
      <c r="P443" s="73" t="str">
        <f>IF(Tabla22[[#This Row],[QualityBonus]]&gt;0,Tabla22[[#This Row],[No wages]]-$C$4,"")</f>
        <v/>
      </c>
    </row>
    <row r="444" spans="1:16" x14ac:dyDescent="0.25">
      <c r="A444" s="13">
        <v>428</v>
      </c>
      <c r="B444" s="13" t="s">
        <v>13</v>
      </c>
      <c r="C444" s="66"/>
      <c r="D444" s="2"/>
      <c r="E444" s="73"/>
      <c r="G444" s="2"/>
      <c r="H444" s="73"/>
      <c r="I444" s="5"/>
      <c r="J444" s="74">
        <f>Tabla22[[#This Row],[Base price1]]*Tabla22[[#This Row],[Req.]]+Tabla22[[#This Row],[Base price2]]*Tabla22[[#This Row],[Req.2]]</f>
        <v>0</v>
      </c>
      <c r="K444" s="73">
        <f>IFERROR(LOOKUP(Tabla22[[#This Row],[Product]],$R$18:$R$23,$T$18:$T$23)*Tabla22[[#This Row],[QualityBonus]]*Tabla22[[#This Row],[Base price1]]*Tabla22[[#This Row],[Req.]],0)</f>
        <v>0</v>
      </c>
      <c r="L444" s="73">
        <f>IF(Tabla22[[#This Row],[Req.2]]&gt;0,LOOKUP(Tabla22[[#This Row],[Product2]],$R$18:$R$23,$T$18:$T$23)*Tabla22[[#This Row],[Base price2]]*Tabla22[[#This Row],[Req.2]]*Tabla22[[#This Row],[QualityBonus]],0)</f>
        <v>0</v>
      </c>
      <c r="M444" s="73">
        <f>IFERROR((Tabla22[[#This Row],[Base price1]]-LOOKUP(Tabla22[[#This Row],[Product]],$R$18:$R$23,$S$18:$S$23))*Tabla22[[#This Row],[Req.]],0)</f>
        <v>0</v>
      </c>
      <c r="N444" s="73">
        <f>IF(Tabla22[[#This Row],[Req.2]]&gt;0,(Tabla22[[#This Row],[Base price2]]-LOOKUP(Tabla22[[#This Row],[Product2]],$R$18:$R$23,$S$18:$S$23))*Tabla22[[#This Row],[Req.2]],0)</f>
        <v>0</v>
      </c>
      <c r="O444" s="73">
        <f>SUM(Tabla22[[#This Row],[Bonus1]:[p2]])</f>
        <v>0</v>
      </c>
      <c r="P444" s="73" t="str">
        <f>IF(Tabla22[[#This Row],[QualityBonus]]&gt;0,Tabla22[[#This Row],[No wages]]-$C$4,"")</f>
        <v/>
      </c>
    </row>
    <row r="445" spans="1:16" x14ac:dyDescent="0.25">
      <c r="A445" s="13">
        <v>429</v>
      </c>
      <c r="B445" s="13" t="s">
        <v>13</v>
      </c>
      <c r="C445" s="66"/>
      <c r="D445" s="2"/>
      <c r="E445" s="73"/>
      <c r="G445" s="2"/>
      <c r="H445" s="73"/>
      <c r="I445" s="5"/>
      <c r="J445" s="74">
        <f>Tabla22[[#This Row],[Base price1]]*Tabla22[[#This Row],[Req.]]+Tabla22[[#This Row],[Base price2]]*Tabla22[[#This Row],[Req.2]]</f>
        <v>0</v>
      </c>
      <c r="K445" s="73">
        <f>IFERROR(LOOKUP(Tabla22[[#This Row],[Product]],$R$18:$R$23,$T$18:$T$23)*Tabla22[[#This Row],[QualityBonus]]*Tabla22[[#This Row],[Base price1]]*Tabla22[[#This Row],[Req.]],0)</f>
        <v>0</v>
      </c>
      <c r="L445" s="73">
        <f>IF(Tabla22[[#This Row],[Req.2]]&gt;0,LOOKUP(Tabla22[[#This Row],[Product2]],$R$18:$R$23,$T$18:$T$23)*Tabla22[[#This Row],[Base price2]]*Tabla22[[#This Row],[Req.2]]*Tabla22[[#This Row],[QualityBonus]],0)</f>
        <v>0</v>
      </c>
      <c r="M445" s="73">
        <f>IFERROR((Tabla22[[#This Row],[Base price1]]-LOOKUP(Tabla22[[#This Row],[Product]],$R$18:$R$23,$S$18:$S$23))*Tabla22[[#This Row],[Req.]],0)</f>
        <v>0</v>
      </c>
      <c r="N445" s="73">
        <f>IF(Tabla22[[#This Row],[Req.2]]&gt;0,(Tabla22[[#This Row],[Base price2]]-LOOKUP(Tabla22[[#This Row],[Product2]],$R$18:$R$23,$S$18:$S$23))*Tabla22[[#This Row],[Req.2]],0)</f>
        <v>0</v>
      </c>
      <c r="O445" s="73">
        <f>SUM(Tabla22[[#This Row],[Bonus1]:[p2]])</f>
        <v>0</v>
      </c>
      <c r="P445" s="73" t="str">
        <f>IF(Tabla22[[#This Row],[QualityBonus]]&gt;0,Tabla22[[#This Row],[No wages]]-$C$4,"")</f>
        <v/>
      </c>
    </row>
    <row r="446" spans="1:16" x14ac:dyDescent="0.25">
      <c r="A446" s="13">
        <v>430</v>
      </c>
      <c r="B446" s="13" t="s">
        <v>13</v>
      </c>
      <c r="C446" s="66"/>
      <c r="D446" s="2"/>
      <c r="E446" s="73"/>
      <c r="G446" s="2"/>
      <c r="H446" s="73"/>
      <c r="I446" s="5"/>
      <c r="J446" s="74">
        <f>Tabla22[[#This Row],[Base price1]]*Tabla22[[#This Row],[Req.]]+Tabla22[[#This Row],[Base price2]]*Tabla22[[#This Row],[Req.2]]</f>
        <v>0</v>
      </c>
      <c r="K446" s="73">
        <f>IFERROR(LOOKUP(Tabla22[[#This Row],[Product]],$R$18:$R$23,$T$18:$T$23)*Tabla22[[#This Row],[QualityBonus]]*Tabla22[[#This Row],[Base price1]]*Tabla22[[#This Row],[Req.]],0)</f>
        <v>0</v>
      </c>
      <c r="L446" s="73">
        <f>IF(Tabla22[[#This Row],[Req.2]]&gt;0,LOOKUP(Tabla22[[#This Row],[Product2]],$R$18:$R$23,$T$18:$T$23)*Tabla22[[#This Row],[Base price2]]*Tabla22[[#This Row],[Req.2]]*Tabla22[[#This Row],[QualityBonus]],0)</f>
        <v>0</v>
      </c>
      <c r="M446" s="73">
        <f>IFERROR((Tabla22[[#This Row],[Base price1]]-LOOKUP(Tabla22[[#This Row],[Product]],$R$18:$R$23,$S$18:$S$23))*Tabla22[[#This Row],[Req.]],0)</f>
        <v>0</v>
      </c>
      <c r="N446" s="73">
        <f>IF(Tabla22[[#This Row],[Req.2]]&gt;0,(Tabla22[[#This Row],[Base price2]]-LOOKUP(Tabla22[[#This Row],[Product2]],$R$18:$R$23,$S$18:$S$23))*Tabla22[[#This Row],[Req.2]],0)</f>
        <v>0</v>
      </c>
      <c r="O446" s="73">
        <f>SUM(Tabla22[[#This Row],[Bonus1]:[p2]])</f>
        <v>0</v>
      </c>
      <c r="P446" s="73" t="str">
        <f>IF(Tabla22[[#This Row],[QualityBonus]]&gt;0,Tabla22[[#This Row],[No wages]]-$C$4,"")</f>
        <v/>
      </c>
    </row>
    <row r="447" spans="1:16" x14ac:dyDescent="0.25">
      <c r="A447" s="13">
        <v>431</v>
      </c>
      <c r="B447" s="13" t="s">
        <v>13</v>
      </c>
      <c r="C447" s="66"/>
      <c r="D447" s="2"/>
      <c r="E447" s="73"/>
      <c r="G447" s="2"/>
      <c r="H447" s="73"/>
      <c r="I447" s="5"/>
      <c r="J447" s="74">
        <f>Tabla22[[#This Row],[Base price1]]*Tabla22[[#This Row],[Req.]]+Tabla22[[#This Row],[Base price2]]*Tabla22[[#This Row],[Req.2]]</f>
        <v>0</v>
      </c>
      <c r="K447" s="73">
        <f>IFERROR(LOOKUP(Tabla22[[#This Row],[Product]],$R$18:$R$23,$T$18:$T$23)*Tabla22[[#This Row],[QualityBonus]]*Tabla22[[#This Row],[Base price1]]*Tabla22[[#This Row],[Req.]],0)</f>
        <v>0</v>
      </c>
      <c r="L447" s="73">
        <f>IF(Tabla22[[#This Row],[Req.2]]&gt;0,LOOKUP(Tabla22[[#This Row],[Product2]],$R$18:$R$23,$T$18:$T$23)*Tabla22[[#This Row],[Base price2]]*Tabla22[[#This Row],[Req.2]]*Tabla22[[#This Row],[QualityBonus]],0)</f>
        <v>0</v>
      </c>
      <c r="M447" s="73">
        <f>IFERROR((Tabla22[[#This Row],[Base price1]]-LOOKUP(Tabla22[[#This Row],[Product]],$R$18:$R$23,$S$18:$S$23))*Tabla22[[#This Row],[Req.]],0)</f>
        <v>0</v>
      </c>
      <c r="N447" s="73">
        <f>IF(Tabla22[[#This Row],[Req.2]]&gt;0,(Tabla22[[#This Row],[Base price2]]-LOOKUP(Tabla22[[#This Row],[Product2]],$R$18:$R$23,$S$18:$S$23))*Tabla22[[#This Row],[Req.2]],0)</f>
        <v>0</v>
      </c>
      <c r="O447" s="73">
        <f>SUM(Tabla22[[#This Row],[Bonus1]:[p2]])</f>
        <v>0</v>
      </c>
      <c r="P447" s="73" t="str">
        <f>IF(Tabla22[[#This Row],[QualityBonus]]&gt;0,Tabla22[[#This Row],[No wages]]-$C$4,"")</f>
        <v/>
      </c>
    </row>
    <row r="448" spans="1:16" x14ac:dyDescent="0.25">
      <c r="A448" s="13">
        <v>432</v>
      </c>
      <c r="B448" s="13" t="s">
        <v>13</v>
      </c>
      <c r="C448" s="66"/>
      <c r="D448" s="2"/>
      <c r="E448" s="73"/>
      <c r="G448" s="2"/>
      <c r="H448" s="73"/>
      <c r="I448" s="5"/>
      <c r="J448" s="74">
        <f>Tabla22[[#This Row],[Base price1]]*Tabla22[[#This Row],[Req.]]+Tabla22[[#This Row],[Base price2]]*Tabla22[[#This Row],[Req.2]]</f>
        <v>0</v>
      </c>
      <c r="K448" s="73">
        <f>IFERROR(LOOKUP(Tabla22[[#This Row],[Product]],$R$18:$R$23,$T$18:$T$23)*Tabla22[[#This Row],[QualityBonus]]*Tabla22[[#This Row],[Base price1]]*Tabla22[[#This Row],[Req.]],0)</f>
        <v>0</v>
      </c>
      <c r="L448" s="73">
        <f>IF(Tabla22[[#This Row],[Req.2]]&gt;0,LOOKUP(Tabla22[[#This Row],[Product2]],$R$18:$R$23,$T$18:$T$23)*Tabla22[[#This Row],[Base price2]]*Tabla22[[#This Row],[Req.2]]*Tabla22[[#This Row],[QualityBonus]],0)</f>
        <v>0</v>
      </c>
      <c r="M448" s="73">
        <f>IFERROR((Tabla22[[#This Row],[Base price1]]-LOOKUP(Tabla22[[#This Row],[Product]],$R$18:$R$23,$S$18:$S$23))*Tabla22[[#This Row],[Req.]],0)</f>
        <v>0</v>
      </c>
      <c r="N448" s="73">
        <f>IF(Tabla22[[#This Row],[Req.2]]&gt;0,(Tabla22[[#This Row],[Base price2]]-LOOKUP(Tabla22[[#This Row],[Product2]],$R$18:$R$23,$S$18:$S$23))*Tabla22[[#This Row],[Req.2]],0)</f>
        <v>0</v>
      </c>
      <c r="O448" s="73">
        <f>SUM(Tabla22[[#This Row],[Bonus1]:[p2]])</f>
        <v>0</v>
      </c>
      <c r="P448" s="73" t="str">
        <f>IF(Tabla22[[#This Row],[QualityBonus]]&gt;0,Tabla22[[#This Row],[No wages]]-$C$4,"")</f>
        <v/>
      </c>
    </row>
    <row r="449" spans="1:16" x14ac:dyDescent="0.25">
      <c r="A449" s="13">
        <v>433</v>
      </c>
      <c r="B449" s="13" t="s">
        <v>13</v>
      </c>
      <c r="C449" s="66"/>
      <c r="D449" s="2"/>
      <c r="E449" s="73"/>
      <c r="G449" s="2"/>
      <c r="H449" s="73"/>
      <c r="I449" s="5"/>
      <c r="J449" s="74">
        <f>Tabla22[[#This Row],[Base price1]]*Tabla22[[#This Row],[Req.]]+Tabla22[[#This Row],[Base price2]]*Tabla22[[#This Row],[Req.2]]</f>
        <v>0</v>
      </c>
      <c r="K449" s="73">
        <f>IFERROR(LOOKUP(Tabla22[[#This Row],[Product]],$R$18:$R$23,$T$18:$T$23)*Tabla22[[#This Row],[QualityBonus]]*Tabla22[[#This Row],[Base price1]]*Tabla22[[#This Row],[Req.]],0)</f>
        <v>0</v>
      </c>
      <c r="L449" s="73">
        <f>IF(Tabla22[[#This Row],[Req.2]]&gt;0,LOOKUP(Tabla22[[#This Row],[Product2]],$R$18:$R$23,$T$18:$T$23)*Tabla22[[#This Row],[Base price2]]*Tabla22[[#This Row],[Req.2]]*Tabla22[[#This Row],[QualityBonus]],0)</f>
        <v>0</v>
      </c>
      <c r="M449" s="73">
        <f>IFERROR((Tabla22[[#This Row],[Base price1]]-LOOKUP(Tabla22[[#This Row],[Product]],$R$18:$R$23,$S$18:$S$23))*Tabla22[[#This Row],[Req.]],0)</f>
        <v>0</v>
      </c>
      <c r="N449" s="73">
        <f>IF(Tabla22[[#This Row],[Req.2]]&gt;0,(Tabla22[[#This Row],[Base price2]]-LOOKUP(Tabla22[[#This Row],[Product2]],$R$18:$R$23,$S$18:$S$23))*Tabla22[[#This Row],[Req.2]],0)</f>
        <v>0</v>
      </c>
      <c r="O449" s="73">
        <f>SUM(Tabla22[[#This Row],[Bonus1]:[p2]])</f>
        <v>0</v>
      </c>
      <c r="P449" s="73" t="str">
        <f>IF(Tabla22[[#This Row],[QualityBonus]]&gt;0,Tabla22[[#This Row],[No wages]]-$C$4,"")</f>
        <v/>
      </c>
    </row>
    <row r="450" spans="1:16" x14ac:dyDescent="0.25">
      <c r="A450" s="13">
        <v>434</v>
      </c>
      <c r="B450" s="13" t="s">
        <v>13</v>
      </c>
      <c r="C450" s="66"/>
      <c r="D450" s="2"/>
      <c r="E450" s="73"/>
      <c r="G450" s="2"/>
      <c r="H450" s="73"/>
      <c r="I450" s="5"/>
      <c r="J450" s="74">
        <f>Tabla22[[#This Row],[Base price1]]*Tabla22[[#This Row],[Req.]]+Tabla22[[#This Row],[Base price2]]*Tabla22[[#This Row],[Req.2]]</f>
        <v>0</v>
      </c>
      <c r="K450" s="73">
        <f>IFERROR(LOOKUP(Tabla22[[#This Row],[Product]],$R$18:$R$23,$T$18:$T$23)*Tabla22[[#This Row],[QualityBonus]]*Tabla22[[#This Row],[Base price1]]*Tabla22[[#This Row],[Req.]],0)</f>
        <v>0</v>
      </c>
      <c r="L450" s="73">
        <f>IF(Tabla22[[#This Row],[Req.2]]&gt;0,LOOKUP(Tabla22[[#This Row],[Product2]],$R$18:$R$23,$T$18:$T$23)*Tabla22[[#This Row],[Base price2]]*Tabla22[[#This Row],[Req.2]]*Tabla22[[#This Row],[QualityBonus]],0)</f>
        <v>0</v>
      </c>
      <c r="M450" s="73">
        <f>IFERROR((Tabla22[[#This Row],[Base price1]]-LOOKUP(Tabla22[[#This Row],[Product]],$R$18:$R$23,$S$18:$S$23))*Tabla22[[#This Row],[Req.]],0)</f>
        <v>0</v>
      </c>
      <c r="N450" s="73">
        <f>IF(Tabla22[[#This Row],[Req.2]]&gt;0,(Tabla22[[#This Row],[Base price2]]-LOOKUP(Tabla22[[#This Row],[Product2]],$R$18:$R$23,$S$18:$S$23))*Tabla22[[#This Row],[Req.2]],0)</f>
        <v>0</v>
      </c>
      <c r="O450" s="73">
        <f>SUM(Tabla22[[#This Row],[Bonus1]:[p2]])</f>
        <v>0</v>
      </c>
      <c r="P450" s="73" t="str">
        <f>IF(Tabla22[[#This Row],[QualityBonus]]&gt;0,Tabla22[[#This Row],[No wages]]-$C$4,"")</f>
        <v/>
      </c>
    </row>
    <row r="451" spans="1:16" x14ac:dyDescent="0.25">
      <c r="A451" s="13">
        <v>435</v>
      </c>
      <c r="B451" s="13" t="s">
        <v>13</v>
      </c>
      <c r="C451" s="66"/>
      <c r="D451" s="2"/>
      <c r="E451" s="73"/>
      <c r="G451" s="2"/>
      <c r="H451" s="73"/>
      <c r="I451" s="5"/>
      <c r="J451" s="74">
        <f>Tabla22[[#This Row],[Base price1]]*Tabla22[[#This Row],[Req.]]+Tabla22[[#This Row],[Base price2]]*Tabla22[[#This Row],[Req.2]]</f>
        <v>0</v>
      </c>
      <c r="K451" s="73">
        <f>IFERROR(LOOKUP(Tabla22[[#This Row],[Product]],$R$18:$R$23,$T$18:$T$23)*Tabla22[[#This Row],[QualityBonus]]*Tabla22[[#This Row],[Base price1]]*Tabla22[[#This Row],[Req.]],0)</f>
        <v>0</v>
      </c>
      <c r="L451" s="73">
        <f>IF(Tabla22[[#This Row],[Req.2]]&gt;0,LOOKUP(Tabla22[[#This Row],[Product2]],$R$18:$R$23,$T$18:$T$23)*Tabla22[[#This Row],[Base price2]]*Tabla22[[#This Row],[Req.2]]*Tabla22[[#This Row],[QualityBonus]],0)</f>
        <v>0</v>
      </c>
      <c r="M451" s="73">
        <f>IFERROR((Tabla22[[#This Row],[Base price1]]-LOOKUP(Tabla22[[#This Row],[Product]],$R$18:$R$23,$S$18:$S$23))*Tabla22[[#This Row],[Req.]],0)</f>
        <v>0</v>
      </c>
      <c r="N451" s="73">
        <f>IF(Tabla22[[#This Row],[Req.2]]&gt;0,(Tabla22[[#This Row],[Base price2]]-LOOKUP(Tabla22[[#This Row],[Product2]],$R$18:$R$23,$S$18:$S$23))*Tabla22[[#This Row],[Req.2]],0)</f>
        <v>0</v>
      </c>
      <c r="O451" s="73">
        <f>SUM(Tabla22[[#This Row],[Bonus1]:[p2]])</f>
        <v>0</v>
      </c>
      <c r="P451" s="73" t="str">
        <f>IF(Tabla22[[#This Row],[QualityBonus]]&gt;0,Tabla22[[#This Row],[No wages]]-$C$4,"")</f>
        <v/>
      </c>
    </row>
    <row r="452" spans="1:16" x14ac:dyDescent="0.25">
      <c r="A452" s="13">
        <v>436</v>
      </c>
      <c r="B452" s="13" t="s">
        <v>13</v>
      </c>
      <c r="C452" s="66"/>
      <c r="D452" s="2"/>
      <c r="E452" s="73"/>
      <c r="G452" s="2"/>
      <c r="H452" s="73"/>
      <c r="I452" s="5"/>
      <c r="J452" s="74">
        <f>Tabla22[[#This Row],[Base price1]]*Tabla22[[#This Row],[Req.]]+Tabla22[[#This Row],[Base price2]]*Tabla22[[#This Row],[Req.2]]</f>
        <v>0</v>
      </c>
      <c r="K452" s="73">
        <f>IFERROR(LOOKUP(Tabla22[[#This Row],[Product]],$R$18:$R$23,$T$18:$T$23)*Tabla22[[#This Row],[QualityBonus]]*Tabla22[[#This Row],[Base price1]]*Tabla22[[#This Row],[Req.]],0)</f>
        <v>0</v>
      </c>
      <c r="L452" s="73">
        <f>IF(Tabla22[[#This Row],[Req.2]]&gt;0,LOOKUP(Tabla22[[#This Row],[Product2]],$R$18:$R$23,$T$18:$T$23)*Tabla22[[#This Row],[Base price2]]*Tabla22[[#This Row],[Req.2]]*Tabla22[[#This Row],[QualityBonus]],0)</f>
        <v>0</v>
      </c>
      <c r="M452" s="73">
        <f>IFERROR((Tabla22[[#This Row],[Base price1]]-LOOKUP(Tabla22[[#This Row],[Product]],$R$18:$R$23,$S$18:$S$23))*Tabla22[[#This Row],[Req.]],0)</f>
        <v>0</v>
      </c>
      <c r="N452" s="73">
        <f>IF(Tabla22[[#This Row],[Req.2]]&gt;0,(Tabla22[[#This Row],[Base price2]]-LOOKUP(Tabla22[[#This Row],[Product2]],$R$18:$R$23,$S$18:$S$23))*Tabla22[[#This Row],[Req.2]],0)</f>
        <v>0</v>
      </c>
      <c r="O452" s="73">
        <f>SUM(Tabla22[[#This Row],[Bonus1]:[p2]])</f>
        <v>0</v>
      </c>
      <c r="P452" s="73" t="str">
        <f>IF(Tabla22[[#This Row],[QualityBonus]]&gt;0,Tabla22[[#This Row],[No wages]]-$C$4,"")</f>
        <v/>
      </c>
    </row>
    <row r="453" spans="1:16" x14ac:dyDescent="0.25">
      <c r="A453" s="13">
        <v>437</v>
      </c>
      <c r="B453" s="13" t="s">
        <v>13</v>
      </c>
      <c r="C453" s="66"/>
      <c r="D453" s="2"/>
      <c r="E453" s="73"/>
      <c r="G453" s="2"/>
      <c r="H453" s="73"/>
      <c r="I453" s="5"/>
      <c r="J453" s="74">
        <f>Tabla22[[#This Row],[Base price1]]*Tabla22[[#This Row],[Req.]]+Tabla22[[#This Row],[Base price2]]*Tabla22[[#This Row],[Req.2]]</f>
        <v>0</v>
      </c>
      <c r="K453" s="73">
        <f>IFERROR(LOOKUP(Tabla22[[#This Row],[Product]],$R$18:$R$23,$T$18:$T$23)*Tabla22[[#This Row],[QualityBonus]]*Tabla22[[#This Row],[Base price1]]*Tabla22[[#This Row],[Req.]],0)</f>
        <v>0</v>
      </c>
      <c r="L453" s="73">
        <f>IF(Tabla22[[#This Row],[Req.2]]&gt;0,LOOKUP(Tabla22[[#This Row],[Product2]],$R$18:$R$23,$T$18:$T$23)*Tabla22[[#This Row],[Base price2]]*Tabla22[[#This Row],[Req.2]]*Tabla22[[#This Row],[QualityBonus]],0)</f>
        <v>0</v>
      </c>
      <c r="M453" s="73">
        <f>IFERROR((Tabla22[[#This Row],[Base price1]]-LOOKUP(Tabla22[[#This Row],[Product]],$R$18:$R$23,$S$18:$S$23))*Tabla22[[#This Row],[Req.]],0)</f>
        <v>0</v>
      </c>
      <c r="N453" s="73">
        <f>IF(Tabla22[[#This Row],[Req.2]]&gt;0,(Tabla22[[#This Row],[Base price2]]-LOOKUP(Tabla22[[#This Row],[Product2]],$R$18:$R$23,$S$18:$S$23))*Tabla22[[#This Row],[Req.2]],0)</f>
        <v>0</v>
      </c>
      <c r="O453" s="73">
        <f>SUM(Tabla22[[#This Row],[Bonus1]:[p2]])</f>
        <v>0</v>
      </c>
      <c r="P453" s="73" t="str">
        <f>IF(Tabla22[[#This Row],[QualityBonus]]&gt;0,Tabla22[[#This Row],[No wages]]-$C$4,"")</f>
        <v/>
      </c>
    </row>
    <row r="454" spans="1:16" x14ac:dyDescent="0.25">
      <c r="A454" s="13">
        <v>438</v>
      </c>
      <c r="B454" s="13" t="s">
        <v>13</v>
      </c>
      <c r="C454" s="66"/>
      <c r="D454" s="2"/>
      <c r="E454" s="73"/>
      <c r="G454" s="2"/>
      <c r="H454" s="73"/>
      <c r="I454" s="5"/>
      <c r="J454" s="74">
        <f>Tabla22[[#This Row],[Base price1]]*Tabla22[[#This Row],[Req.]]+Tabla22[[#This Row],[Base price2]]*Tabla22[[#This Row],[Req.2]]</f>
        <v>0</v>
      </c>
      <c r="K454" s="73">
        <f>IFERROR(LOOKUP(Tabla22[[#This Row],[Product]],$R$18:$R$23,$T$18:$T$23)*Tabla22[[#This Row],[QualityBonus]]*Tabla22[[#This Row],[Base price1]]*Tabla22[[#This Row],[Req.]],0)</f>
        <v>0</v>
      </c>
      <c r="L454" s="73">
        <f>IF(Tabla22[[#This Row],[Req.2]]&gt;0,LOOKUP(Tabla22[[#This Row],[Product2]],$R$18:$R$23,$T$18:$T$23)*Tabla22[[#This Row],[Base price2]]*Tabla22[[#This Row],[Req.2]]*Tabla22[[#This Row],[QualityBonus]],0)</f>
        <v>0</v>
      </c>
      <c r="M454" s="73">
        <f>IFERROR((Tabla22[[#This Row],[Base price1]]-LOOKUP(Tabla22[[#This Row],[Product]],$R$18:$R$23,$S$18:$S$23))*Tabla22[[#This Row],[Req.]],0)</f>
        <v>0</v>
      </c>
      <c r="N454" s="73">
        <f>IF(Tabla22[[#This Row],[Req.2]]&gt;0,(Tabla22[[#This Row],[Base price2]]-LOOKUP(Tabla22[[#This Row],[Product2]],$R$18:$R$23,$S$18:$S$23))*Tabla22[[#This Row],[Req.2]],0)</f>
        <v>0</v>
      </c>
      <c r="O454" s="73">
        <f>SUM(Tabla22[[#This Row],[Bonus1]:[p2]])</f>
        <v>0</v>
      </c>
      <c r="P454" s="73" t="str">
        <f>IF(Tabla22[[#This Row],[QualityBonus]]&gt;0,Tabla22[[#This Row],[No wages]]-$C$4,"")</f>
        <v/>
      </c>
    </row>
    <row r="455" spans="1:16" x14ac:dyDescent="0.25">
      <c r="A455" s="13">
        <v>439</v>
      </c>
      <c r="B455" s="13" t="s">
        <v>13</v>
      </c>
      <c r="C455" s="66"/>
      <c r="D455" s="2"/>
      <c r="E455" s="73"/>
      <c r="G455" s="2"/>
      <c r="H455" s="73"/>
      <c r="I455" s="5"/>
      <c r="J455" s="74">
        <f>Tabla22[[#This Row],[Base price1]]*Tabla22[[#This Row],[Req.]]+Tabla22[[#This Row],[Base price2]]*Tabla22[[#This Row],[Req.2]]</f>
        <v>0</v>
      </c>
      <c r="K455" s="73">
        <f>IFERROR(LOOKUP(Tabla22[[#This Row],[Product]],$R$18:$R$23,$T$18:$T$23)*Tabla22[[#This Row],[QualityBonus]]*Tabla22[[#This Row],[Base price1]]*Tabla22[[#This Row],[Req.]],0)</f>
        <v>0</v>
      </c>
      <c r="L455" s="73">
        <f>IF(Tabla22[[#This Row],[Req.2]]&gt;0,LOOKUP(Tabla22[[#This Row],[Product2]],$R$18:$R$23,$T$18:$T$23)*Tabla22[[#This Row],[Base price2]]*Tabla22[[#This Row],[Req.2]]*Tabla22[[#This Row],[QualityBonus]],0)</f>
        <v>0</v>
      </c>
      <c r="M455" s="73">
        <f>IFERROR((Tabla22[[#This Row],[Base price1]]-LOOKUP(Tabla22[[#This Row],[Product]],$R$18:$R$23,$S$18:$S$23))*Tabla22[[#This Row],[Req.]],0)</f>
        <v>0</v>
      </c>
      <c r="N455" s="73">
        <f>IF(Tabla22[[#This Row],[Req.2]]&gt;0,(Tabla22[[#This Row],[Base price2]]-LOOKUP(Tabla22[[#This Row],[Product2]],$R$18:$R$23,$S$18:$S$23))*Tabla22[[#This Row],[Req.2]],0)</f>
        <v>0</v>
      </c>
      <c r="O455" s="73">
        <f>SUM(Tabla22[[#This Row],[Bonus1]:[p2]])</f>
        <v>0</v>
      </c>
      <c r="P455" s="73" t="str">
        <f>IF(Tabla22[[#This Row],[QualityBonus]]&gt;0,Tabla22[[#This Row],[No wages]]-$C$4,"")</f>
        <v/>
      </c>
    </row>
    <row r="456" spans="1:16" x14ac:dyDescent="0.25">
      <c r="A456" s="13">
        <v>440</v>
      </c>
      <c r="B456" s="13" t="s">
        <v>13</v>
      </c>
      <c r="C456" s="66"/>
      <c r="D456" s="2"/>
      <c r="E456" s="73"/>
      <c r="G456" s="2"/>
      <c r="H456" s="73"/>
      <c r="I456" s="5"/>
      <c r="J456" s="74">
        <f>Tabla22[[#This Row],[Base price1]]*Tabla22[[#This Row],[Req.]]+Tabla22[[#This Row],[Base price2]]*Tabla22[[#This Row],[Req.2]]</f>
        <v>0</v>
      </c>
      <c r="K456" s="73">
        <f>IFERROR(LOOKUP(Tabla22[[#This Row],[Product]],$R$18:$R$23,$T$18:$T$23)*Tabla22[[#This Row],[QualityBonus]]*Tabla22[[#This Row],[Base price1]]*Tabla22[[#This Row],[Req.]],0)</f>
        <v>0</v>
      </c>
      <c r="L456" s="73">
        <f>IF(Tabla22[[#This Row],[Req.2]]&gt;0,LOOKUP(Tabla22[[#This Row],[Product2]],$R$18:$R$23,$T$18:$T$23)*Tabla22[[#This Row],[Base price2]]*Tabla22[[#This Row],[Req.2]]*Tabla22[[#This Row],[QualityBonus]],0)</f>
        <v>0</v>
      </c>
      <c r="M456" s="73">
        <f>IFERROR((Tabla22[[#This Row],[Base price1]]-LOOKUP(Tabla22[[#This Row],[Product]],$R$18:$R$23,$S$18:$S$23))*Tabla22[[#This Row],[Req.]],0)</f>
        <v>0</v>
      </c>
      <c r="N456" s="73">
        <f>IF(Tabla22[[#This Row],[Req.2]]&gt;0,(Tabla22[[#This Row],[Base price2]]-LOOKUP(Tabla22[[#This Row],[Product2]],$R$18:$R$23,$S$18:$S$23))*Tabla22[[#This Row],[Req.2]],0)</f>
        <v>0</v>
      </c>
      <c r="O456" s="73">
        <f>SUM(Tabla22[[#This Row],[Bonus1]:[p2]])</f>
        <v>0</v>
      </c>
      <c r="P456" s="73" t="str">
        <f>IF(Tabla22[[#This Row],[QualityBonus]]&gt;0,Tabla22[[#This Row],[No wages]]-$C$4,"")</f>
        <v/>
      </c>
    </row>
    <row r="457" spans="1:16" x14ac:dyDescent="0.25">
      <c r="A457" s="13">
        <v>441</v>
      </c>
      <c r="B457" s="13" t="s">
        <v>13</v>
      </c>
      <c r="C457" s="66"/>
      <c r="D457" s="2"/>
      <c r="E457" s="73"/>
      <c r="G457" s="2"/>
      <c r="H457" s="73"/>
      <c r="I457" s="5"/>
      <c r="J457" s="74">
        <f>Tabla22[[#This Row],[Base price1]]*Tabla22[[#This Row],[Req.]]+Tabla22[[#This Row],[Base price2]]*Tabla22[[#This Row],[Req.2]]</f>
        <v>0</v>
      </c>
      <c r="K457" s="73">
        <f>IFERROR(LOOKUP(Tabla22[[#This Row],[Product]],$R$18:$R$23,$T$18:$T$23)*Tabla22[[#This Row],[QualityBonus]]*Tabla22[[#This Row],[Base price1]]*Tabla22[[#This Row],[Req.]],0)</f>
        <v>0</v>
      </c>
      <c r="L457" s="73">
        <f>IF(Tabla22[[#This Row],[Req.2]]&gt;0,LOOKUP(Tabla22[[#This Row],[Product2]],$R$18:$R$23,$T$18:$T$23)*Tabla22[[#This Row],[Base price2]]*Tabla22[[#This Row],[Req.2]]*Tabla22[[#This Row],[QualityBonus]],0)</f>
        <v>0</v>
      </c>
      <c r="M457" s="73">
        <f>IFERROR((Tabla22[[#This Row],[Base price1]]-LOOKUP(Tabla22[[#This Row],[Product]],$R$18:$R$23,$S$18:$S$23))*Tabla22[[#This Row],[Req.]],0)</f>
        <v>0</v>
      </c>
      <c r="N457" s="73">
        <f>IF(Tabla22[[#This Row],[Req.2]]&gt;0,(Tabla22[[#This Row],[Base price2]]-LOOKUP(Tabla22[[#This Row],[Product2]],$R$18:$R$23,$S$18:$S$23))*Tabla22[[#This Row],[Req.2]],0)</f>
        <v>0</v>
      </c>
      <c r="O457" s="73">
        <f>SUM(Tabla22[[#This Row],[Bonus1]:[p2]])</f>
        <v>0</v>
      </c>
      <c r="P457" s="73" t="str">
        <f>IF(Tabla22[[#This Row],[QualityBonus]]&gt;0,Tabla22[[#This Row],[No wages]]-$C$4,"")</f>
        <v/>
      </c>
    </row>
    <row r="458" spans="1:16" x14ac:dyDescent="0.25">
      <c r="A458" s="13">
        <v>442</v>
      </c>
      <c r="B458" s="13" t="s">
        <v>13</v>
      </c>
      <c r="C458" s="66"/>
      <c r="D458" s="2"/>
      <c r="E458" s="73"/>
      <c r="G458" s="2"/>
      <c r="H458" s="73"/>
      <c r="I458" s="5"/>
      <c r="J458" s="74">
        <f>Tabla22[[#This Row],[Base price1]]*Tabla22[[#This Row],[Req.]]+Tabla22[[#This Row],[Base price2]]*Tabla22[[#This Row],[Req.2]]</f>
        <v>0</v>
      </c>
      <c r="K458" s="73">
        <f>IFERROR(LOOKUP(Tabla22[[#This Row],[Product]],$R$18:$R$23,$T$18:$T$23)*Tabla22[[#This Row],[QualityBonus]]*Tabla22[[#This Row],[Base price1]]*Tabla22[[#This Row],[Req.]],0)</f>
        <v>0</v>
      </c>
      <c r="L458" s="73">
        <f>IF(Tabla22[[#This Row],[Req.2]]&gt;0,LOOKUP(Tabla22[[#This Row],[Product2]],$R$18:$R$23,$T$18:$T$23)*Tabla22[[#This Row],[Base price2]]*Tabla22[[#This Row],[Req.2]]*Tabla22[[#This Row],[QualityBonus]],0)</f>
        <v>0</v>
      </c>
      <c r="M458" s="73">
        <f>IFERROR((Tabla22[[#This Row],[Base price1]]-LOOKUP(Tabla22[[#This Row],[Product]],$R$18:$R$23,$S$18:$S$23))*Tabla22[[#This Row],[Req.]],0)</f>
        <v>0</v>
      </c>
      <c r="N458" s="73">
        <f>IF(Tabla22[[#This Row],[Req.2]]&gt;0,(Tabla22[[#This Row],[Base price2]]-LOOKUP(Tabla22[[#This Row],[Product2]],$R$18:$R$23,$S$18:$S$23))*Tabla22[[#This Row],[Req.2]],0)</f>
        <v>0</v>
      </c>
      <c r="O458" s="73">
        <f>SUM(Tabla22[[#This Row],[Bonus1]:[p2]])</f>
        <v>0</v>
      </c>
      <c r="P458" s="73" t="str">
        <f>IF(Tabla22[[#This Row],[QualityBonus]]&gt;0,Tabla22[[#This Row],[No wages]]-$C$4,"")</f>
        <v/>
      </c>
    </row>
    <row r="459" spans="1:16" x14ac:dyDescent="0.25">
      <c r="A459" s="13">
        <v>443</v>
      </c>
      <c r="B459" s="13" t="s">
        <v>13</v>
      </c>
      <c r="C459" s="66"/>
      <c r="D459" s="2"/>
      <c r="E459" s="73"/>
      <c r="G459" s="2"/>
      <c r="H459" s="73"/>
      <c r="I459" s="5"/>
      <c r="J459" s="74">
        <f>Tabla22[[#This Row],[Base price1]]*Tabla22[[#This Row],[Req.]]+Tabla22[[#This Row],[Base price2]]*Tabla22[[#This Row],[Req.2]]</f>
        <v>0</v>
      </c>
      <c r="K459" s="73">
        <f>IFERROR(LOOKUP(Tabla22[[#This Row],[Product]],$R$18:$R$23,$T$18:$T$23)*Tabla22[[#This Row],[QualityBonus]]*Tabla22[[#This Row],[Base price1]]*Tabla22[[#This Row],[Req.]],0)</f>
        <v>0</v>
      </c>
      <c r="L459" s="73">
        <f>IF(Tabla22[[#This Row],[Req.2]]&gt;0,LOOKUP(Tabla22[[#This Row],[Product2]],$R$18:$R$23,$T$18:$T$23)*Tabla22[[#This Row],[Base price2]]*Tabla22[[#This Row],[Req.2]]*Tabla22[[#This Row],[QualityBonus]],0)</f>
        <v>0</v>
      </c>
      <c r="M459" s="73">
        <f>IFERROR((Tabla22[[#This Row],[Base price1]]-LOOKUP(Tabla22[[#This Row],[Product]],$R$18:$R$23,$S$18:$S$23))*Tabla22[[#This Row],[Req.]],0)</f>
        <v>0</v>
      </c>
      <c r="N459" s="73">
        <f>IF(Tabla22[[#This Row],[Req.2]]&gt;0,(Tabla22[[#This Row],[Base price2]]-LOOKUP(Tabla22[[#This Row],[Product2]],$R$18:$R$23,$S$18:$S$23))*Tabla22[[#This Row],[Req.2]],0)</f>
        <v>0</v>
      </c>
      <c r="O459" s="73">
        <f>SUM(Tabla22[[#This Row],[Bonus1]:[p2]])</f>
        <v>0</v>
      </c>
      <c r="P459" s="73" t="str">
        <f>IF(Tabla22[[#This Row],[QualityBonus]]&gt;0,Tabla22[[#This Row],[No wages]]-$C$4,"")</f>
        <v/>
      </c>
    </row>
    <row r="460" spans="1:16" x14ac:dyDescent="0.25">
      <c r="A460" s="13">
        <v>444</v>
      </c>
      <c r="B460" s="13" t="s">
        <v>13</v>
      </c>
      <c r="C460" s="66"/>
      <c r="D460" s="2"/>
      <c r="E460" s="73"/>
      <c r="G460" s="2"/>
      <c r="H460" s="73"/>
      <c r="I460" s="5"/>
      <c r="J460" s="74">
        <f>Tabla22[[#This Row],[Base price1]]*Tabla22[[#This Row],[Req.]]+Tabla22[[#This Row],[Base price2]]*Tabla22[[#This Row],[Req.2]]</f>
        <v>0</v>
      </c>
      <c r="K460" s="73">
        <f>IFERROR(LOOKUP(Tabla22[[#This Row],[Product]],$R$18:$R$23,$T$18:$T$23)*Tabla22[[#This Row],[QualityBonus]]*Tabla22[[#This Row],[Base price1]]*Tabla22[[#This Row],[Req.]],0)</f>
        <v>0</v>
      </c>
      <c r="L460" s="73">
        <f>IF(Tabla22[[#This Row],[Req.2]]&gt;0,LOOKUP(Tabla22[[#This Row],[Product2]],$R$18:$R$23,$T$18:$T$23)*Tabla22[[#This Row],[Base price2]]*Tabla22[[#This Row],[Req.2]]*Tabla22[[#This Row],[QualityBonus]],0)</f>
        <v>0</v>
      </c>
      <c r="M460" s="73">
        <f>IFERROR((Tabla22[[#This Row],[Base price1]]-LOOKUP(Tabla22[[#This Row],[Product]],$R$18:$R$23,$S$18:$S$23))*Tabla22[[#This Row],[Req.]],0)</f>
        <v>0</v>
      </c>
      <c r="N460" s="73">
        <f>IF(Tabla22[[#This Row],[Req.2]]&gt;0,(Tabla22[[#This Row],[Base price2]]-LOOKUP(Tabla22[[#This Row],[Product2]],$R$18:$R$23,$S$18:$S$23))*Tabla22[[#This Row],[Req.2]],0)</f>
        <v>0</v>
      </c>
      <c r="O460" s="73">
        <f>SUM(Tabla22[[#This Row],[Bonus1]:[p2]])</f>
        <v>0</v>
      </c>
      <c r="P460" s="73" t="str">
        <f>IF(Tabla22[[#This Row],[QualityBonus]]&gt;0,Tabla22[[#This Row],[No wages]]-$C$4,"")</f>
        <v/>
      </c>
    </row>
    <row r="461" spans="1:16" x14ac:dyDescent="0.25">
      <c r="A461" s="13">
        <v>445</v>
      </c>
      <c r="B461" s="13" t="s">
        <v>13</v>
      </c>
      <c r="C461" s="66"/>
      <c r="D461" s="2"/>
      <c r="E461" s="73"/>
      <c r="G461" s="2"/>
      <c r="H461" s="73"/>
      <c r="I461" s="5"/>
      <c r="J461" s="74">
        <f>Tabla22[[#This Row],[Base price1]]*Tabla22[[#This Row],[Req.]]+Tabla22[[#This Row],[Base price2]]*Tabla22[[#This Row],[Req.2]]</f>
        <v>0</v>
      </c>
      <c r="K461" s="73">
        <f>IFERROR(LOOKUP(Tabla22[[#This Row],[Product]],$R$18:$R$23,$T$18:$T$23)*Tabla22[[#This Row],[QualityBonus]]*Tabla22[[#This Row],[Base price1]]*Tabla22[[#This Row],[Req.]],0)</f>
        <v>0</v>
      </c>
      <c r="L461" s="73">
        <f>IF(Tabla22[[#This Row],[Req.2]]&gt;0,LOOKUP(Tabla22[[#This Row],[Product2]],$R$18:$R$23,$T$18:$T$23)*Tabla22[[#This Row],[Base price2]]*Tabla22[[#This Row],[Req.2]]*Tabla22[[#This Row],[QualityBonus]],0)</f>
        <v>0</v>
      </c>
      <c r="M461" s="73">
        <f>IFERROR((Tabla22[[#This Row],[Base price1]]-LOOKUP(Tabla22[[#This Row],[Product]],$R$18:$R$23,$S$18:$S$23))*Tabla22[[#This Row],[Req.]],0)</f>
        <v>0</v>
      </c>
      <c r="N461" s="73">
        <f>IF(Tabla22[[#This Row],[Req.2]]&gt;0,(Tabla22[[#This Row],[Base price2]]-LOOKUP(Tabla22[[#This Row],[Product2]],$R$18:$R$23,$S$18:$S$23))*Tabla22[[#This Row],[Req.2]],0)</f>
        <v>0</v>
      </c>
      <c r="O461" s="73">
        <f>SUM(Tabla22[[#This Row],[Bonus1]:[p2]])</f>
        <v>0</v>
      </c>
      <c r="P461" s="73" t="str">
        <f>IF(Tabla22[[#This Row],[QualityBonus]]&gt;0,Tabla22[[#This Row],[No wages]]-$C$4,"")</f>
        <v/>
      </c>
    </row>
    <row r="462" spans="1:16" x14ac:dyDescent="0.25">
      <c r="A462" s="13">
        <v>446</v>
      </c>
      <c r="B462" s="13" t="s">
        <v>13</v>
      </c>
      <c r="C462" s="66"/>
      <c r="D462" s="2"/>
      <c r="E462" s="73"/>
      <c r="G462" s="2"/>
      <c r="H462" s="73"/>
      <c r="I462" s="5"/>
      <c r="J462" s="74">
        <f>Tabla22[[#This Row],[Base price1]]*Tabla22[[#This Row],[Req.]]+Tabla22[[#This Row],[Base price2]]*Tabla22[[#This Row],[Req.2]]</f>
        <v>0</v>
      </c>
      <c r="K462" s="73">
        <f>IFERROR(LOOKUP(Tabla22[[#This Row],[Product]],$R$18:$R$23,$T$18:$T$23)*Tabla22[[#This Row],[QualityBonus]]*Tabla22[[#This Row],[Base price1]]*Tabla22[[#This Row],[Req.]],0)</f>
        <v>0</v>
      </c>
      <c r="L462" s="73">
        <f>IF(Tabla22[[#This Row],[Req.2]]&gt;0,LOOKUP(Tabla22[[#This Row],[Product2]],$R$18:$R$23,$T$18:$T$23)*Tabla22[[#This Row],[Base price2]]*Tabla22[[#This Row],[Req.2]]*Tabla22[[#This Row],[QualityBonus]],0)</f>
        <v>0</v>
      </c>
      <c r="M462" s="73">
        <f>IFERROR((Tabla22[[#This Row],[Base price1]]-LOOKUP(Tabla22[[#This Row],[Product]],$R$18:$R$23,$S$18:$S$23))*Tabla22[[#This Row],[Req.]],0)</f>
        <v>0</v>
      </c>
      <c r="N462" s="73">
        <f>IF(Tabla22[[#This Row],[Req.2]]&gt;0,(Tabla22[[#This Row],[Base price2]]-LOOKUP(Tabla22[[#This Row],[Product2]],$R$18:$R$23,$S$18:$S$23))*Tabla22[[#This Row],[Req.2]],0)</f>
        <v>0</v>
      </c>
      <c r="O462" s="73">
        <f>SUM(Tabla22[[#This Row],[Bonus1]:[p2]])</f>
        <v>0</v>
      </c>
      <c r="P462" s="73" t="str">
        <f>IF(Tabla22[[#This Row],[QualityBonus]]&gt;0,Tabla22[[#This Row],[No wages]]-$C$4,"")</f>
        <v/>
      </c>
    </row>
    <row r="463" spans="1:16" x14ac:dyDescent="0.25">
      <c r="A463" s="13">
        <v>447</v>
      </c>
      <c r="B463" s="13" t="s">
        <v>13</v>
      </c>
      <c r="C463" s="66"/>
      <c r="D463" s="2"/>
      <c r="E463" s="73"/>
      <c r="G463" s="2"/>
      <c r="H463" s="73"/>
      <c r="I463" s="5"/>
      <c r="J463" s="74">
        <f>Tabla22[[#This Row],[Base price1]]*Tabla22[[#This Row],[Req.]]+Tabla22[[#This Row],[Base price2]]*Tabla22[[#This Row],[Req.2]]</f>
        <v>0</v>
      </c>
      <c r="K463" s="73">
        <f>IFERROR(LOOKUP(Tabla22[[#This Row],[Product]],$R$18:$R$23,$T$18:$T$23)*Tabla22[[#This Row],[QualityBonus]]*Tabla22[[#This Row],[Base price1]]*Tabla22[[#This Row],[Req.]],0)</f>
        <v>0</v>
      </c>
      <c r="L463" s="73">
        <f>IF(Tabla22[[#This Row],[Req.2]]&gt;0,LOOKUP(Tabla22[[#This Row],[Product2]],$R$18:$R$23,$T$18:$T$23)*Tabla22[[#This Row],[Base price2]]*Tabla22[[#This Row],[Req.2]]*Tabla22[[#This Row],[QualityBonus]],0)</f>
        <v>0</v>
      </c>
      <c r="M463" s="73">
        <f>IFERROR((Tabla22[[#This Row],[Base price1]]-LOOKUP(Tabla22[[#This Row],[Product]],$R$18:$R$23,$S$18:$S$23))*Tabla22[[#This Row],[Req.]],0)</f>
        <v>0</v>
      </c>
      <c r="N463" s="73">
        <f>IF(Tabla22[[#This Row],[Req.2]]&gt;0,(Tabla22[[#This Row],[Base price2]]-LOOKUP(Tabla22[[#This Row],[Product2]],$R$18:$R$23,$S$18:$S$23))*Tabla22[[#This Row],[Req.2]],0)</f>
        <v>0</v>
      </c>
      <c r="O463" s="73">
        <f>SUM(Tabla22[[#This Row],[Bonus1]:[p2]])</f>
        <v>0</v>
      </c>
      <c r="P463" s="73" t="str">
        <f>IF(Tabla22[[#This Row],[QualityBonus]]&gt;0,Tabla22[[#This Row],[No wages]]-$C$4,"")</f>
        <v/>
      </c>
    </row>
    <row r="464" spans="1:16" x14ac:dyDescent="0.25">
      <c r="A464" s="13">
        <v>448</v>
      </c>
      <c r="B464" s="13" t="s">
        <v>13</v>
      </c>
      <c r="C464" s="66"/>
      <c r="D464" s="2"/>
      <c r="E464" s="73"/>
      <c r="G464" s="2"/>
      <c r="H464" s="73"/>
      <c r="I464" s="5"/>
      <c r="J464" s="74">
        <f>Tabla22[[#This Row],[Base price1]]*Tabla22[[#This Row],[Req.]]+Tabla22[[#This Row],[Base price2]]*Tabla22[[#This Row],[Req.2]]</f>
        <v>0</v>
      </c>
      <c r="K464" s="73">
        <f>IFERROR(LOOKUP(Tabla22[[#This Row],[Product]],$R$18:$R$23,$T$18:$T$23)*Tabla22[[#This Row],[QualityBonus]]*Tabla22[[#This Row],[Base price1]]*Tabla22[[#This Row],[Req.]],0)</f>
        <v>0</v>
      </c>
      <c r="L464" s="73">
        <f>IF(Tabla22[[#This Row],[Req.2]]&gt;0,LOOKUP(Tabla22[[#This Row],[Product2]],$R$18:$R$23,$T$18:$T$23)*Tabla22[[#This Row],[Base price2]]*Tabla22[[#This Row],[Req.2]]*Tabla22[[#This Row],[QualityBonus]],0)</f>
        <v>0</v>
      </c>
      <c r="M464" s="73">
        <f>IFERROR((Tabla22[[#This Row],[Base price1]]-LOOKUP(Tabla22[[#This Row],[Product]],$R$18:$R$23,$S$18:$S$23))*Tabla22[[#This Row],[Req.]],0)</f>
        <v>0</v>
      </c>
      <c r="N464" s="73">
        <f>IF(Tabla22[[#This Row],[Req.2]]&gt;0,(Tabla22[[#This Row],[Base price2]]-LOOKUP(Tabla22[[#This Row],[Product2]],$R$18:$R$23,$S$18:$S$23))*Tabla22[[#This Row],[Req.2]],0)</f>
        <v>0</v>
      </c>
      <c r="O464" s="73">
        <f>SUM(Tabla22[[#This Row],[Bonus1]:[p2]])</f>
        <v>0</v>
      </c>
      <c r="P464" s="73" t="str">
        <f>IF(Tabla22[[#This Row],[QualityBonus]]&gt;0,Tabla22[[#This Row],[No wages]]-$C$4,"")</f>
        <v/>
      </c>
    </row>
    <row r="465" spans="1:16" x14ac:dyDescent="0.25">
      <c r="A465" s="13">
        <v>449</v>
      </c>
      <c r="B465" s="13" t="s">
        <v>13</v>
      </c>
      <c r="C465" s="66"/>
      <c r="D465" s="2"/>
      <c r="E465" s="73"/>
      <c r="G465" s="2"/>
      <c r="H465" s="73"/>
      <c r="I465" s="5"/>
      <c r="J465" s="74">
        <f>Tabla22[[#This Row],[Base price1]]*Tabla22[[#This Row],[Req.]]+Tabla22[[#This Row],[Base price2]]*Tabla22[[#This Row],[Req.2]]</f>
        <v>0</v>
      </c>
      <c r="K465" s="73">
        <f>IFERROR(LOOKUP(Tabla22[[#This Row],[Product]],$R$18:$R$23,$T$18:$T$23)*Tabla22[[#This Row],[QualityBonus]]*Tabla22[[#This Row],[Base price1]]*Tabla22[[#This Row],[Req.]],0)</f>
        <v>0</v>
      </c>
      <c r="L465" s="73">
        <f>IF(Tabla22[[#This Row],[Req.2]]&gt;0,LOOKUP(Tabla22[[#This Row],[Product2]],$R$18:$R$23,$T$18:$T$23)*Tabla22[[#This Row],[Base price2]]*Tabla22[[#This Row],[Req.2]]*Tabla22[[#This Row],[QualityBonus]],0)</f>
        <v>0</v>
      </c>
      <c r="M465" s="73">
        <f>IFERROR((Tabla22[[#This Row],[Base price1]]-LOOKUP(Tabla22[[#This Row],[Product]],$R$18:$R$23,$S$18:$S$23))*Tabla22[[#This Row],[Req.]],0)</f>
        <v>0</v>
      </c>
      <c r="N465" s="73">
        <f>IF(Tabla22[[#This Row],[Req.2]]&gt;0,(Tabla22[[#This Row],[Base price2]]-LOOKUP(Tabla22[[#This Row],[Product2]],$R$18:$R$23,$S$18:$S$23))*Tabla22[[#This Row],[Req.2]],0)</f>
        <v>0</v>
      </c>
      <c r="O465" s="73">
        <f>SUM(Tabla22[[#This Row],[Bonus1]:[p2]])</f>
        <v>0</v>
      </c>
      <c r="P465" s="73" t="str">
        <f>IF(Tabla22[[#This Row],[QualityBonus]]&gt;0,Tabla22[[#This Row],[No wages]]-$C$4,"")</f>
        <v/>
      </c>
    </row>
    <row r="466" spans="1:16" x14ac:dyDescent="0.25">
      <c r="A466" s="13">
        <v>450</v>
      </c>
      <c r="B466" s="13" t="s">
        <v>13</v>
      </c>
      <c r="C466" s="66"/>
      <c r="D466" s="2"/>
      <c r="E466" s="73"/>
      <c r="G466" s="2"/>
      <c r="H466" s="73"/>
      <c r="I466" s="5"/>
      <c r="J466" s="74">
        <f>Tabla22[[#This Row],[Base price1]]*Tabla22[[#This Row],[Req.]]+Tabla22[[#This Row],[Base price2]]*Tabla22[[#This Row],[Req.2]]</f>
        <v>0</v>
      </c>
      <c r="K466" s="73">
        <f>IFERROR(LOOKUP(Tabla22[[#This Row],[Product]],$R$18:$R$23,$T$18:$T$23)*Tabla22[[#This Row],[QualityBonus]]*Tabla22[[#This Row],[Base price1]]*Tabla22[[#This Row],[Req.]],0)</f>
        <v>0</v>
      </c>
      <c r="L466" s="73">
        <f>IF(Tabla22[[#This Row],[Req.2]]&gt;0,LOOKUP(Tabla22[[#This Row],[Product2]],$R$18:$R$23,$T$18:$T$23)*Tabla22[[#This Row],[Base price2]]*Tabla22[[#This Row],[Req.2]]*Tabla22[[#This Row],[QualityBonus]],0)</f>
        <v>0</v>
      </c>
      <c r="M466" s="73">
        <f>IFERROR((Tabla22[[#This Row],[Base price1]]-LOOKUP(Tabla22[[#This Row],[Product]],$R$18:$R$23,$S$18:$S$23))*Tabla22[[#This Row],[Req.]],0)</f>
        <v>0</v>
      </c>
      <c r="N466" s="73">
        <f>IF(Tabla22[[#This Row],[Req.2]]&gt;0,(Tabla22[[#This Row],[Base price2]]-LOOKUP(Tabla22[[#This Row],[Product2]],$R$18:$R$23,$S$18:$S$23))*Tabla22[[#This Row],[Req.2]],0)</f>
        <v>0</v>
      </c>
      <c r="O466" s="73">
        <f>SUM(Tabla22[[#This Row],[Bonus1]:[p2]])</f>
        <v>0</v>
      </c>
      <c r="P466" s="73" t="str">
        <f>IF(Tabla22[[#This Row],[QualityBonus]]&gt;0,Tabla22[[#This Row],[No wages]]-$C$4,"")</f>
        <v/>
      </c>
    </row>
    <row r="467" spans="1:16" x14ac:dyDescent="0.25">
      <c r="A467" s="13">
        <v>451</v>
      </c>
      <c r="B467" s="13" t="s">
        <v>13</v>
      </c>
      <c r="C467" s="66"/>
      <c r="D467" s="2"/>
      <c r="E467" s="73"/>
      <c r="G467" s="2"/>
      <c r="H467" s="73"/>
      <c r="I467" s="5"/>
      <c r="J467" s="74">
        <f>Tabla22[[#This Row],[Base price1]]*Tabla22[[#This Row],[Req.]]+Tabla22[[#This Row],[Base price2]]*Tabla22[[#This Row],[Req.2]]</f>
        <v>0</v>
      </c>
      <c r="K467" s="73">
        <f>IFERROR(LOOKUP(Tabla22[[#This Row],[Product]],$R$18:$R$23,$T$18:$T$23)*Tabla22[[#This Row],[QualityBonus]]*Tabla22[[#This Row],[Base price1]]*Tabla22[[#This Row],[Req.]],0)</f>
        <v>0</v>
      </c>
      <c r="L467" s="73">
        <f>IF(Tabla22[[#This Row],[Req.2]]&gt;0,LOOKUP(Tabla22[[#This Row],[Product2]],$R$18:$R$23,$T$18:$T$23)*Tabla22[[#This Row],[Base price2]]*Tabla22[[#This Row],[Req.2]]*Tabla22[[#This Row],[QualityBonus]],0)</f>
        <v>0</v>
      </c>
      <c r="M467" s="73">
        <f>IFERROR((Tabla22[[#This Row],[Base price1]]-LOOKUP(Tabla22[[#This Row],[Product]],$R$18:$R$23,$S$18:$S$23))*Tabla22[[#This Row],[Req.]],0)</f>
        <v>0</v>
      </c>
      <c r="N467" s="73">
        <f>IF(Tabla22[[#This Row],[Req.2]]&gt;0,(Tabla22[[#This Row],[Base price2]]-LOOKUP(Tabla22[[#This Row],[Product2]],$R$18:$R$23,$S$18:$S$23))*Tabla22[[#This Row],[Req.2]],0)</f>
        <v>0</v>
      </c>
      <c r="O467" s="73">
        <f>SUM(Tabla22[[#This Row],[Bonus1]:[p2]])</f>
        <v>0</v>
      </c>
      <c r="P467" s="73" t="str">
        <f>IF(Tabla22[[#This Row],[QualityBonus]]&gt;0,Tabla22[[#This Row],[No wages]]-$C$4,"")</f>
        <v/>
      </c>
    </row>
    <row r="468" spans="1:16" x14ac:dyDescent="0.25">
      <c r="A468" s="13">
        <v>452</v>
      </c>
      <c r="B468" s="13" t="s">
        <v>13</v>
      </c>
      <c r="C468" s="66"/>
      <c r="D468" s="2"/>
      <c r="E468" s="73"/>
      <c r="G468" s="2"/>
      <c r="H468" s="73"/>
      <c r="I468" s="5"/>
      <c r="J468" s="74">
        <f>Tabla22[[#This Row],[Base price1]]*Tabla22[[#This Row],[Req.]]+Tabla22[[#This Row],[Base price2]]*Tabla22[[#This Row],[Req.2]]</f>
        <v>0</v>
      </c>
      <c r="K468" s="73">
        <f>IFERROR(LOOKUP(Tabla22[[#This Row],[Product]],$R$18:$R$23,$T$18:$T$23)*Tabla22[[#This Row],[QualityBonus]]*Tabla22[[#This Row],[Base price1]]*Tabla22[[#This Row],[Req.]],0)</f>
        <v>0</v>
      </c>
      <c r="L468" s="73">
        <f>IF(Tabla22[[#This Row],[Req.2]]&gt;0,LOOKUP(Tabla22[[#This Row],[Product2]],$R$18:$R$23,$T$18:$T$23)*Tabla22[[#This Row],[Base price2]]*Tabla22[[#This Row],[Req.2]]*Tabla22[[#This Row],[QualityBonus]],0)</f>
        <v>0</v>
      </c>
      <c r="M468" s="73">
        <f>IFERROR((Tabla22[[#This Row],[Base price1]]-LOOKUP(Tabla22[[#This Row],[Product]],$R$18:$R$23,$S$18:$S$23))*Tabla22[[#This Row],[Req.]],0)</f>
        <v>0</v>
      </c>
      <c r="N468" s="73">
        <f>IF(Tabla22[[#This Row],[Req.2]]&gt;0,(Tabla22[[#This Row],[Base price2]]-LOOKUP(Tabla22[[#This Row],[Product2]],$R$18:$R$23,$S$18:$S$23))*Tabla22[[#This Row],[Req.2]],0)</f>
        <v>0</v>
      </c>
      <c r="O468" s="73">
        <f>SUM(Tabla22[[#This Row],[Bonus1]:[p2]])</f>
        <v>0</v>
      </c>
      <c r="P468" s="73" t="str">
        <f>IF(Tabla22[[#This Row],[QualityBonus]]&gt;0,Tabla22[[#This Row],[No wages]]-$C$4,"")</f>
        <v/>
      </c>
    </row>
    <row r="469" spans="1:16" x14ac:dyDescent="0.25">
      <c r="A469" s="13">
        <v>453</v>
      </c>
      <c r="B469" s="13" t="s">
        <v>13</v>
      </c>
      <c r="C469" s="66"/>
      <c r="D469" s="2"/>
      <c r="E469" s="73"/>
      <c r="G469" s="2"/>
      <c r="H469" s="73"/>
      <c r="I469" s="5"/>
      <c r="J469" s="74">
        <f>Tabla22[[#This Row],[Base price1]]*Tabla22[[#This Row],[Req.]]+Tabla22[[#This Row],[Base price2]]*Tabla22[[#This Row],[Req.2]]</f>
        <v>0</v>
      </c>
      <c r="K469" s="73">
        <f>IFERROR(LOOKUP(Tabla22[[#This Row],[Product]],$R$18:$R$23,$T$18:$T$23)*Tabla22[[#This Row],[QualityBonus]]*Tabla22[[#This Row],[Base price1]]*Tabla22[[#This Row],[Req.]],0)</f>
        <v>0</v>
      </c>
      <c r="L469" s="73">
        <f>IF(Tabla22[[#This Row],[Req.2]]&gt;0,LOOKUP(Tabla22[[#This Row],[Product2]],$R$18:$R$23,$T$18:$T$23)*Tabla22[[#This Row],[Base price2]]*Tabla22[[#This Row],[Req.2]]*Tabla22[[#This Row],[QualityBonus]],0)</f>
        <v>0</v>
      </c>
      <c r="M469" s="73">
        <f>IFERROR((Tabla22[[#This Row],[Base price1]]-LOOKUP(Tabla22[[#This Row],[Product]],$R$18:$R$23,$S$18:$S$23))*Tabla22[[#This Row],[Req.]],0)</f>
        <v>0</v>
      </c>
      <c r="N469" s="73">
        <f>IF(Tabla22[[#This Row],[Req.2]]&gt;0,(Tabla22[[#This Row],[Base price2]]-LOOKUP(Tabla22[[#This Row],[Product2]],$R$18:$R$23,$S$18:$S$23))*Tabla22[[#This Row],[Req.2]],0)</f>
        <v>0</v>
      </c>
      <c r="O469" s="73">
        <f>SUM(Tabla22[[#This Row],[Bonus1]:[p2]])</f>
        <v>0</v>
      </c>
      <c r="P469" s="73" t="str">
        <f>IF(Tabla22[[#This Row],[QualityBonus]]&gt;0,Tabla22[[#This Row],[No wages]]-$C$4,"")</f>
        <v/>
      </c>
    </row>
    <row r="470" spans="1:16" x14ac:dyDescent="0.25">
      <c r="A470" s="13">
        <v>454</v>
      </c>
      <c r="B470" s="13" t="s">
        <v>13</v>
      </c>
      <c r="C470" s="66"/>
      <c r="D470" s="2"/>
      <c r="E470" s="73"/>
      <c r="G470" s="2"/>
      <c r="H470" s="73"/>
      <c r="I470" s="5"/>
      <c r="J470" s="74">
        <f>Tabla22[[#This Row],[Base price1]]*Tabla22[[#This Row],[Req.]]+Tabla22[[#This Row],[Base price2]]*Tabla22[[#This Row],[Req.2]]</f>
        <v>0</v>
      </c>
      <c r="K470" s="73">
        <f>IFERROR(LOOKUP(Tabla22[[#This Row],[Product]],$R$18:$R$23,$T$18:$T$23)*Tabla22[[#This Row],[QualityBonus]]*Tabla22[[#This Row],[Base price1]]*Tabla22[[#This Row],[Req.]],0)</f>
        <v>0</v>
      </c>
      <c r="L470" s="73">
        <f>IF(Tabla22[[#This Row],[Req.2]]&gt;0,LOOKUP(Tabla22[[#This Row],[Product2]],$R$18:$R$23,$T$18:$T$23)*Tabla22[[#This Row],[Base price2]]*Tabla22[[#This Row],[Req.2]]*Tabla22[[#This Row],[QualityBonus]],0)</f>
        <v>0</v>
      </c>
      <c r="M470" s="73">
        <f>IFERROR((Tabla22[[#This Row],[Base price1]]-LOOKUP(Tabla22[[#This Row],[Product]],$R$18:$R$23,$S$18:$S$23))*Tabla22[[#This Row],[Req.]],0)</f>
        <v>0</v>
      </c>
      <c r="N470" s="73">
        <f>IF(Tabla22[[#This Row],[Req.2]]&gt;0,(Tabla22[[#This Row],[Base price2]]-LOOKUP(Tabla22[[#This Row],[Product2]],$R$18:$R$23,$S$18:$S$23))*Tabla22[[#This Row],[Req.2]],0)</f>
        <v>0</v>
      </c>
      <c r="O470" s="73">
        <f>SUM(Tabla22[[#This Row],[Bonus1]:[p2]])</f>
        <v>0</v>
      </c>
      <c r="P470" s="73" t="str">
        <f>IF(Tabla22[[#This Row],[QualityBonus]]&gt;0,Tabla22[[#This Row],[No wages]]-$C$4,"")</f>
        <v/>
      </c>
    </row>
    <row r="471" spans="1:16" x14ac:dyDescent="0.25">
      <c r="A471" s="13">
        <v>455</v>
      </c>
      <c r="B471" s="13" t="s">
        <v>13</v>
      </c>
      <c r="C471" s="66"/>
      <c r="D471" s="2"/>
      <c r="E471" s="73"/>
      <c r="G471" s="2"/>
      <c r="H471" s="73"/>
      <c r="I471" s="5"/>
      <c r="J471" s="74">
        <f>Tabla22[[#This Row],[Base price1]]*Tabla22[[#This Row],[Req.]]+Tabla22[[#This Row],[Base price2]]*Tabla22[[#This Row],[Req.2]]</f>
        <v>0</v>
      </c>
      <c r="K471" s="73">
        <f>IFERROR(LOOKUP(Tabla22[[#This Row],[Product]],$R$18:$R$23,$T$18:$T$23)*Tabla22[[#This Row],[QualityBonus]]*Tabla22[[#This Row],[Base price1]]*Tabla22[[#This Row],[Req.]],0)</f>
        <v>0</v>
      </c>
      <c r="L471" s="73">
        <f>IF(Tabla22[[#This Row],[Req.2]]&gt;0,LOOKUP(Tabla22[[#This Row],[Product2]],$R$18:$R$23,$T$18:$T$23)*Tabla22[[#This Row],[Base price2]]*Tabla22[[#This Row],[Req.2]]*Tabla22[[#This Row],[QualityBonus]],0)</f>
        <v>0</v>
      </c>
      <c r="M471" s="73">
        <f>IFERROR((Tabla22[[#This Row],[Base price1]]-LOOKUP(Tabla22[[#This Row],[Product]],$R$18:$R$23,$S$18:$S$23))*Tabla22[[#This Row],[Req.]],0)</f>
        <v>0</v>
      </c>
      <c r="N471" s="73">
        <f>IF(Tabla22[[#This Row],[Req.2]]&gt;0,(Tabla22[[#This Row],[Base price2]]-LOOKUP(Tabla22[[#This Row],[Product2]],$R$18:$R$23,$S$18:$S$23))*Tabla22[[#This Row],[Req.2]],0)</f>
        <v>0</v>
      </c>
      <c r="O471" s="73">
        <f>SUM(Tabla22[[#This Row],[Bonus1]:[p2]])</f>
        <v>0</v>
      </c>
      <c r="P471" s="73" t="str">
        <f>IF(Tabla22[[#This Row],[QualityBonus]]&gt;0,Tabla22[[#This Row],[No wages]]-$C$4,"")</f>
        <v/>
      </c>
    </row>
    <row r="472" spans="1:16" x14ac:dyDescent="0.25">
      <c r="A472" s="13">
        <v>456</v>
      </c>
      <c r="B472" s="13" t="s">
        <v>13</v>
      </c>
      <c r="C472" s="66"/>
      <c r="D472" s="2"/>
      <c r="E472" s="73"/>
      <c r="G472" s="2"/>
      <c r="H472" s="73"/>
      <c r="I472" s="5"/>
      <c r="J472" s="74">
        <f>Tabla22[[#This Row],[Base price1]]*Tabla22[[#This Row],[Req.]]+Tabla22[[#This Row],[Base price2]]*Tabla22[[#This Row],[Req.2]]</f>
        <v>0</v>
      </c>
      <c r="K472" s="73">
        <f>IFERROR(LOOKUP(Tabla22[[#This Row],[Product]],$R$18:$R$23,$T$18:$T$23)*Tabla22[[#This Row],[QualityBonus]]*Tabla22[[#This Row],[Base price1]]*Tabla22[[#This Row],[Req.]],0)</f>
        <v>0</v>
      </c>
      <c r="L472" s="73">
        <f>IF(Tabla22[[#This Row],[Req.2]]&gt;0,LOOKUP(Tabla22[[#This Row],[Product2]],$R$18:$R$23,$T$18:$T$23)*Tabla22[[#This Row],[Base price2]]*Tabla22[[#This Row],[Req.2]]*Tabla22[[#This Row],[QualityBonus]],0)</f>
        <v>0</v>
      </c>
      <c r="M472" s="73">
        <f>IFERROR((Tabla22[[#This Row],[Base price1]]-LOOKUP(Tabla22[[#This Row],[Product]],$R$18:$R$23,$S$18:$S$23))*Tabla22[[#This Row],[Req.]],0)</f>
        <v>0</v>
      </c>
      <c r="N472" s="73">
        <f>IF(Tabla22[[#This Row],[Req.2]]&gt;0,(Tabla22[[#This Row],[Base price2]]-LOOKUP(Tabla22[[#This Row],[Product2]],$R$18:$R$23,$S$18:$S$23))*Tabla22[[#This Row],[Req.2]],0)</f>
        <v>0</v>
      </c>
      <c r="O472" s="73">
        <f>SUM(Tabla22[[#This Row],[Bonus1]:[p2]])</f>
        <v>0</v>
      </c>
      <c r="P472" s="73" t="str">
        <f>IF(Tabla22[[#This Row],[QualityBonus]]&gt;0,Tabla22[[#This Row],[No wages]]-$C$4,"")</f>
        <v/>
      </c>
    </row>
    <row r="473" spans="1:16" x14ac:dyDescent="0.25">
      <c r="A473" s="13">
        <v>457</v>
      </c>
      <c r="B473" s="13" t="s">
        <v>13</v>
      </c>
      <c r="C473" s="66"/>
      <c r="D473" s="2"/>
      <c r="E473" s="73"/>
      <c r="G473" s="2"/>
      <c r="H473" s="73"/>
      <c r="I473" s="5"/>
      <c r="J473" s="74">
        <f>Tabla22[[#This Row],[Base price1]]*Tabla22[[#This Row],[Req.]]+Tabla22[[#This Row],[Base price2]]*Tabla22[[#This Row],[Req.2]]</f>
        <v>0</v>
      </c>
      <c r="K473" s="73">
        <f>IFERROR(LOOKUP(Tabla22[[#This Row],[Product]],$R$18:$R$23,$T$18:$T$23)*Tabla22[[#This Row],[QualityBonus]]*Tabla22[[#This Row],[Base price1]]*Tabla22[[#This Row],[Req.]],0)</f>
        <v>0</v>
      </c>
      <c r="L473" s="73">
        <f>IF(Tabla22[[#This Row],[Req.2]]&gt;0,LOOKUP(Tabla22[[#This Row],[Product2]],$R$18:$R$23,$T$18:$T$23)*Tabla22[[#This Row],[Base price2]]*Tabla22[[#This Row],[Req.2]]*Tabla22[[#This Row],[QualityBonus]],0)</f>
        <v>0</v>
      </c>
      <c r="M473" s="73">
        <f>IFERROR((Tabla22[[#This Row],[Base price1]]-LOOKUP(Tabla22[[#This Row],[Product]],$R$18:$R$23,$S$18:$S$23))*Tabla22[[#This Row],[Req.]],0)</f>
        <v>0</v>
      </c>
      <c r="N473" s="73">
        <f>IF(Tabla22[[#This Row],[Req.2]]&gt;0,(Tabla22[[#This Row],[Base price2]]-LOOKUP(Tabla22[[#This Row],[Product2]],$R$18:$R$23,$S$18:$S$23))*Tabla22[[#This Row],[Req.2]],0)</f>
        <v>0</v>
      </c>
      <c r="O473" s="73">
        <f>SUM(Tabla22[[#This Row],[Bonus1]:[p2]])</f>
        <v>0</v>
      </c>
      <c r="P473" s="73" t="str">
        <f>IF(Tabla22[[#This Row],[QualityBonus]]&gt;0,Tabla22[[#This Row],[No wages]]-$C$4,"")</f>
        <v/>
      </c>
    </row>
    <row r="474" spans="1:16" x14ac:dyDescent="0.25">
      <c r="A474" s="13">
        <v>458</v>
      </c>
      <c r="B474" s="13" t="s">
        <v>13</v>
      </c>
      <c r="C474" s="66"/>
      <c r="D474" s="2"/>
      <c r="E474" s="73"/>
      <c r="G474" s="2"/>
      <c r="H474" s="73"/>
      <c r="I474" s="5"/>
      <c r="J474" s="74">
        <f>Tabla22[[#This Row],[Base price1]]*Tabla22[[#This Row],[Req.]]+Tabla22[[#This Row],[Base price2]]*Tabla22[[#This Row],[Req.2]]</f>
        <v>0</v>
      </c>
      <c r="K474" s="73">
        <f>IFERROR(LOOKUP(Tabla22[[#This Row],[Product]],$R$18:$R$23,$T$18:$T$23)*Tabla22[[#This Row],[QualityBonus]]*Tabla22[[#This Row],[Base price1]]*Tabla22[[#This Row],[Req.]],0)</f>
        <v>0</v>
      </c>
      <c r="L474" s="73">
        <f>IF(Tabla22[[#This Row],[Req.2]]&gt;0,LOOKUP(Tabla22[[#This Row],[Product2]],$R$18:$R$23,$T$18:$T$23)*Tabla22[[#This Row],[Base price2]]*Tabla22[[#This Row],[Req.2]]*Tabla22[[#This Row],[QualityBonus]],0)</f>
        <v>0</v>
      </c>
      <c r="M474" s="73">
        <f>IFERROR((Tabla22[[#This Row],[Base price1]]-LOOKUP(Tabla22[[#This Row],[Product]],$R$18:$R$23,$S$18:$S$23))*Tabla22[[#This Row],[Req.]],0)</f>
        <v>0</v>
      </c>
      <c r="N474" s="73">
        <f>IF(Tabla22[[#This Row],[Req.2]]&gt;0,(Tabla22[[#This Row],[Base price2]]-LOOKUP(Tabla22[[#This Row],[Product2]],$R$18:$R$23,$S$18:$S$23))*Tabla22[[#This Row],[Req.2]],0)</f>
        <v>0</v>
      </c>
      <c r="O474" s="73">
        <f>SUM(Tabla22[[#This Row],[Bonus1]:[p2]])</f>
        <v>0</v>
      </c>
      <c r="P474" s="73" t="str">
        <f>IF(Tabla22[[#This Row],[QualityBonus]]&gt;0,Tabla22[[#This Row],[No wages]]-$C$4,"")</f>
        <v/>
      </c>
    </row>
    <row r="475" spans="1:16" x14ac:dyDescent="0.25">
      <c r="A475" s="13">
        <v>459</v>
      </c>
      <c r="B475" s="13" t="s">
        <v>13</v>
      </c>
      <c r="C475" s="66"/>
      <c r="D475" s="2"/>
      <c r="E475" s="73"/>
      <c r="G475" s="2"/>
      <c r="H475" s="73"/>
      <c r="I475" s="5"/>
      <c r="J475" s="74">
        <f>Tabla22[[#This Row],[Base price1]]*Tabla22[[#This Row],[Req.]]+Tabla22[[#This Row],[Base price2]]*Tabla22[[#This Row],[Req.2]]</f>
        <v>0</v>
      </c>
      <c r="K475" s="73">
        <f>IFERROR(LOOKUP(Tabla22[[#This Row],[Product]],$R$18:$R$23,$T$18:$T$23)*Tabla22[[#This Row],[QualityBonus]]*Tabla22[[#This Row],[Base price1]]*Tabla22[[#This Row],[Req.]],0)</f>
        <v>0</v>
      </c>
      <c r="L475" s="73">
        <f>IF(Tabla22[[#This Row],[Req.2]]&gt;0,LOOKUP(Tabla22[[#This Row],[Product2]],$R$18:$R$23,$T$18:$T$23)*Tabla22[[#This Row],[Base price2]]*Tabla22[[#This Row],[Req.2]]*Tabla22[[#This Row],[QualityBonus]],0)</f>
        <v>0</v>
      </c>
      <c r="M475" s="73">
        <f>IFERROR((Tabla22[[#This Row],[Base price1]]-LOOKUP(Tabla22[[#This Row],[Product]],$R$18:$R$23,$S$18:$S$23))*Tabla22[[#This Row],[Req.]],0)</f>
        <v>0</v>
      </c>
      <c r="N475" s="73">
        <f>IF(Tabla22[[#This Row],[Req.2]]&gt;0,(Tabla22[[#This Row],[Base price2]]-LOOKUP(Tabla22[[#This Row],[Product2]],$R$18:$R$23,$S$18:$S$23))*Tabla22[[#This Row],[Req.2]],0)</f>
        <v>0</v>
      </c>
      <c r="O475" s="73">
        <f>SUM(Tabla22[[#This Row],[Bonus1]:[p2]])</f>
        <v>0</v>
      </c>
      <c r="P475" s="73" t="str">
        <f>IF(Tabla22[[#This Row],[QualityBonus]]&gt;0,Tabla22[[#This Row],[No wages]]-$C$4,"")</f>
        <v/>
      </c>
    </row>
    <row r="476" spans="1:16" x14ac:dyDescent="0.25">
      <c r="A476" s="13">
        <v>460</v>
      </c>
      <c r="B476" s="13" t="s">
        <v>13</v>
      </c>
      <c r="C476" s="66"/>
      <c r="D476" s="2"/>
      <c r="E476" s="73"/>
      <c r="G476" s="2"/>
      <c r="H476" s="73"/>
      <c r="I476" s="5"/>
      <c r="J476" s="74">
        <f>Tabla22[[#This Row],[Base price1]]*Tabla22[[#This Row],[Req.]]+Tabla22[[#This Row],[Base price2]]*Tabla22[[#This Row],[Req.2]]</f>
        <v>0</v>
      </c>
      <c r="K476" s="73">
        <f>IFERROR(LOOKUP(Tabla22[[#This Row],[Product]],$R$18:$R$23,$T$18:$T$23)*Tabla22[[#This Row],[QualityBonus]]*Tabla22[[#This Row],[Base price1]]*Tabla22[[#This Row],[Req.]],0)</f>
        <v>0</v>
      </c>
      <c r="L476" s="73">
        <f>IF(Tabla22[[#This Row],[Req.2]]&gt;0,LOOKUP(Tabla22[[#This Row],[Product2]],$R$18:$R$23,$T$18:$T$23)*Tabla22[[#This Row],[Base price2]]*Tabla22[[#This Row],[Req.2]]*Tabla22[[#This Row],[QualityBonus]],0)</f>
        <v>0</v>
      </c>
      <c r="M476" s="73">
        <f>IFERROR((Tabla22[[#This Row],[Base price1]]-LOOKUP(Tabla22[[#This Row],[Product]],$R$18:$R$23,$S$18:$S$23))*Tabla22[[#This Row],[Req.]],0)</f>
        <v>0</v>
      </c>
      <c r="N476" s="73">
        <f>IF(Tabla22[[#This Row],[Req.2]]&gt;0,(Tabla22[[#This Row],[Base price2]]-LOOKUP(Tabla22[[#This Row],[Product2]],$R$18:$R$23,$S$18:$S$23))*Tabla22[[#This Row],[Req.2]],0)</f>
        <v>0</v>
      </c>
      <c r="O476" s="73">
        <f>SUM(Tabla22[[#This Row],[Bonus1]:[p2]])</f>
        <v>0</v>
      </c>
      <c r="P476" s="73" t="str">
        <f>IF(Tabla22[[#This Row],[QualityBonus]]&gt;0,Tabla22[[#This Row],[No wages]]-$C$4,"")</f>
        <v/>
      </c>
    </row>
    <row r="477" spans="1:16" x14ac:dyDescent="0.25">
      <c r="A477" s="13">
        <v>461</v>
      </c>
      <c r="B477" s="13" t="s">
        <v>13</v>
      </c>
      <c r="C477" s="66"/>
      <c r="D477" s="2"/>
      <c r="E477" s="73"/>
      <c r="G477" s="2"/>
      <c r="H477" s="73"/>
      <c r="I477" s="5"/>
      <c r="J477" s="74">
        <f>Tabla22[[#This Row],[Base price1]]*Tabla22[[#This Row],[Req.]]+Tabla22[[#This Row],[Base price2]]*Tabla22[[#This Row],[Req.2]]</f>
        <v>0</v>
      </c>
      <c r="K477" s="73">
        <f>IFERROR(LOOKUP(Tabla22[[#This Row],[Product]],$R$18:$R$23,$T$18:$T$23)*Tabla22[[#This Row],[QualityBonus]]*Tabla22[[#This Row],[Base price1]]*Tabla22[[#This Row],[Req.]],0)</f>
        <v>0</v>
      </c>
      <c r="L477" s="73">
        <f>IF(Tabla22[[#This Row],[Req.2]]&gt;0,LOOKUP(Tabla22[[#This Row],[Product2]],$R$18:$R$23,$T$18:$T$23)*Tabla22[[#This Row],[Base price2]]*Tabla22[[#This Row],[Req.2]]*Tabla22[[#This Row],[QualityBonus]],0)</f>
        <v>0</v>
      </c>
      <c r="M477" s="73">
        <f>IFERROR((Tabla22[[#This Row],[Base price1]]-LOOKUP(Tabla22[[#This Row],[Product]],$R$18:$R$23,$S$18:$S$23))*Tabla22[[#This Row],[Req.]],0)</f>
        <v>0</v>
      </c>
      <c r="N477" s="73">
        <f>IF(Tabla22[[#This Row],[Req.2]]&gt;0,(Tabla22[[#This Row],[Base price2]]-LOOKUP(Tabla22[[#This Row],[Product2]],$R$18:$R$23,$S$18:$S$23))*Tabla22[[#This Row],[Req.2]],0)</f>
        <v>0</v>
      </c>
      <c r="O477" s="73">
        <f>SUM(Tabla22[[#This Row],[Bonus1]:[p2]])</f>
        <v>0</v>
      </c>
      <c r="P477" s="73" t="str">
        <f>IF(Tabla22[[#This Row],[QualityBonus]]&gt;0,Tabla22[[#This Row],[No wages]]-$C$4,"")</f>
        <v/>
      </c>
    </row>
    <row r="478" spans="1:16" x14ac:dyDescent="0.25">
      <c r="A478" s="13">
        <v>462</v>
      </c>
      <c r="B478" s="13" t="s">
        <v>13</v>
      </c>
      <c r="C478" s="66"/>
      <c r="D478" s="2"/>
      <c r="E478" s="73"/>
      <c r="G478" s="2"/>
      <c r="H478" s="73"/>
      <c r="I478" s="5"/>
      <c r="J478" s="74">
        <f>Tabla22[[#This Row],[Base price1]]*Tabla22[[#This Row],[Req.]]+Tabla22[[#This Row],[Base price2]]*Tabla22[[#This Row],[Req.2]]</f>
        <v>0</v>
      </c>
      <c r="K478" s="73">
        <f>IFERROR(LOOKUP(Tabla22[[#This Row],[Product]],$R$18:$R$23,$T$18:$T$23)*Tabla22[[#This Row],[QualityBonus]]*Tabla22[[#This Row],[Base price1]]*Tabla22[[#This Row],[Req.]],0)</f>
        <v>0</v>
      </c>
      <c r="L478" s="73">
        <f>IF(Tabla22[[#This Row],[Req.2]]&gt;0,LOOKUP(Tabla22[[#This Row],[Product2]],$R$18:$R$23,$T$18:$T$23)*Tabla22[[#This Row],[Base price2]]*Tabla22[[#This Row],[Req.2]]*Tabla22[[#This Row],[QualityBonus]],0)</f>
        <v>0</v>
      </c>
      <c r="M478" s="73">
        <f>IFERROR((Tabla22[[#This Row],[Base price1]]-LOOKUP(Tabla22[[#This Row],[Product]],$R$18:$R$23,$S$18:$S$23))*Tabla22[[#This Row],[Req.]],0)</f>
        <v>0</v>
      </c>
      <c r="N478" s="73">
        <f>IF(Tabla22[[#This Row],[Req.2]]&gt;0,(Tabla22[[#This Row],[Base price2]]-LOOKUP(Tabla22[[#This Row],[Product2]],$R$18:$R$23,$S$18:$S$23))*Tabla22[[#This Row],[Req.2]],0)</f>
        <v>0</v>
      </c>
      <c r="O478" s="73">
        <f>SUM(Tabla22[[#This Row],[Bonus1]:[p2]])</f>
        <v>0</v>
      </c>
      <c r="P478" s="73" t="str">
        <f>IF(Tabla22[[#This Row],[QualityBonus]]&gt;0,Tabla22[[#This Row],[No wages]]-$C$4,"")</f>
        <v/>
      </c>
    </row>
    <row r="479" spans="1:16" x14ac:dyDescent="0.25">
      <c r="A479" s="13">
        <v>463</v>
      </c>
      <c r="B479" s="13" t="s">
        <v>13</v>
      </c>
      <c r="C479" s="66"/>
      <c r="D479" s="2"/>
      <c r="E479" s="73"/>
      <c r="G479" s="2"/>
      <c r="H479" s="73"/>
      <c r="I479" s="5"/>
      <c r="J479" s="74">
        <f>Tabla22[[#This Row],[Base price1]]*Tabla22[[#This Row],[Req.]]+Tabla22[[#This Row],[Base price2]]*Tabla22[[#This Row],[Req.2]]</f>
        <v>0</v>
      </c>
      <c r="K479" s="73">
        <f>IFERROR(LOOKUP(Tabla22[[#This Row],[Product]],$R$18:$R$23,$T$18:$T$23)*Tabla22[[#This Row],[QualityBonus]]*Tabla22[[#This Row],[Base price1]]*Tabla22[[#This Row],[Req.]],0)</f>
        <v>0</v>
      </c>
      <c r="L479" s="73">
        <f>IF(Tabla22[[#This Row],[Req.2]]&gt;0,LOOKUP(Tabla22[[#This Row],[Product2]],$R$18:$R$23,$T$18:$T$23)*Tabla22[[#This Row],[Base price2]]*Tabla22[[#This Row],[Req.2]]*Tabla22[[#This Row],[QualityBonus]],0)</f>
        <v>0</v>
      </c>
      <c r="M479" s="73">
        <f>IFERROR((Tabla22[[#This Row],[Base price1]]-LOOKUP(Tabla22[[#This Row],[Product]],$R$18:$R$23,$S$18:$S$23))*Tabla22[[#This Row],[Req.]],0)</f>
        <v>0</v>
      </c>
      <c r="N479" s="73">
        <f>IF(Tabla22[[#This Row],[Req.2]]&gt;0,(Tabla22[[#This Row],[Base price2]]-LOOKUP(Tabla22[[#This Row],[Product2]],$R$18:$R$23,$S$18:$S$23))*Tabla22[[#This Row],[Req.2]],0)</f>
        <v>0</v>
      </c>
      <c r="O479" s="73">
        <f>SUM(Tabla22[[#This Row],[Bonus1]:[p2]])</f>
        <v>0</v>
      </c>
      <c r="P479" s="73" t="str">
        <f>IF(Tabla22[[#This Row],[QualityBonus]]&gt;0,Tabla22[[#This Row],[No wages]]-$C$4,"")</f>
        <v/>
      </c>
    </row>
    <row r="480" spans="1:16" x14ac:dyDescent="0.25">
      <c r="A480" s="13">
        <v>464</v>
      </c>
      <c r="B480" s="13" t="s">
        <v>13</v>
      </c>
      <c r="C480" s="66"/>
      <c r="D480" s="2"/>
      <c r="E480" s="73"/>
      <c r="G480" s="2"/>
      <c r="H480" s="73"/>
      <c r="I480" s="5"/>
      <c r="J480" s="74">
        <f>Tabla22[[#This Row],[Base price1]]*Tabla22[[#This Row],[Req.]]+Tabla22[[#This Row],[Base price2]]*Tabla22[[#This Row],[Req.2]]</f>
        <v>0</v>
      </c>
      <c r="K480" s="73">
        <f>IFERROR(LOOKUP(Tabla22[[#This Row],[Product]],$R$18:$R$23,$T$18:$T$23)*Tabla22[[#This Row],[QualityBonus]]*Tabla22[[#This Row],[Base price1]]*Tabla22[[#This Row],[Req.]],0)</f>
        <v>0</v>
      </c>
      <c r="L480" s="73">
        <f>IF(Tabla22[[#This Row],[Req.2]]&gt;0,LOOKUP(Tabla22[[#This Row],[Product2]],$R$18:$R$23,$T$18:$T$23)*Tabla22[[#This Row],[Base price2]]*Tabla22[[#This Row],[Req.2]]*Tabla22[[#This Row],[QualityBonus]],0)</f>
        <v>0</v>
      </c>
      <c r="M480" s="73">
        <f>IFERROR((Tabla22[[#This Row],[Base price1]]-LOOKUP(Tabla22[[#This Row],[Product]],$R$18:$R$23,$S$18:$S$23))*Tabla22[[#This Row],[Req.]],0)</f>
        <v>0</v>
      </c>
      <c r="N480" s="73">
        <f>IF(Tabla22[[#This Row],[Req.2]]&gt;0,(Tabla22[[#This Row],[Base price2]]-LOOKUP(Tabla22[[#This Row],[Product2]],$R$18:$R$23,$S$18:$S$23))*Tabla22[[#This Row],[Req.2]],0)</f>
        <v>0</v>
      </c>
      <c r="O480" s="73">
        <f>SUM(Tabla22[[#This Row],[Bonus1]:[p2]])</f>
        <v>0</v>
      </c>
      <c r="P480" s="73" t="str">
        <f>IF(Tabla22[[#This Row],[QualityBonus]]&gt;0,Tabla22[[#This Row],[No wages]]-$C$4,"")</f>
        <v/>
      </c>
    </row>
    <row r="481" spans="1:16" x14ac:dyDescent="0.25">
      <c r="A481" s="13">
        <v>465</v>
      </c>
      <c r="B481" s="13" t="s">
        <v>13</v>
      </c>
      <c r="C481" s="66"/>
      <c r="D481" s="2"/>
      <c r="E481" s="73"/>
      <c r="G481" s="2"/>
      <c r="H481" s="73"/>
      <c r="I481" s="5"/>
      <c r="J481" s="74">
        <f>Tabla22[[#This Row],[Base price1]]*Tabla22[[#This Row],[Req.]]+Tabla22[[#This Row],[Base price2]]*Tabla22[[#This Row],[Req.2]]</f>
        <v>0</v>
      </c>
      <c r="K481" s="73">
        <f>IFERROR(LOOKUP(Tabla22[[#This Row],[Product]],$R$18:$R$23,$T$18:$T$23)*Tabla22[[#This Row],[QualityBonus]]*Tabla22[[#This Row],[Base price1]]*Tabla22[[#This Row],[Req.]],0)</f>
        <v>0</v>
      </c>
      <c r="L481" s="73">
        <f>IF(Tabla22[[#This Row],[Req.2]]&gt;0,LOOKUP(Tabla22[[#This Row],[Product2]],$R$18:$R$23,$T$18:$T$23)*Tabla22[[#This Row],[Base price2]]*Tabla22[[#This Row],[Req.2]]*Tabla22[[#This Row],[QualityBonus]],0)</f>
        <v>0</v>
      </c>
      <c r="M481" s="73">
        <f>IFERROR((Tabla22[[#This Row],[Base price1]]-LOOKUP(Tabla22[[#This Row],[Product]],$R$18:$R$23,$S$18:$S$23))*Tabla22[[#This Row],[Req.]],0)</f>
        <v>0</v>
      </c>
      <c r="N481" s="73">
        <f>IF(Tabla22[[#This Row],[Req.2]]&gt;0,(Tabla22[[#This Row],[Base price2]]-LOOKUP(Tabla22[[#This Row],[Product2]],$R$18:$R$23,$S$18:$S$23))*Tabla22[[#This Row],[Req.2]],0)</f>
        <v>0</v>
      </c>
      <c r="O481" s="73">
        <f>SUM(Tabla22[[#This Row],[Bonus1]:[p2]])</f>
        <v>0</v>
      </c>
      <c r="P481" s="73" t="str">
        <f>IF(Tabla22[[#This Row],[QualityBonus]]&gt;0,Tabla22[[#This Row],[No wages]]-$C$4,"")</f>
        <v/>
      </c>
    </row>
    <row r="482" spans="1:16" x14ac:dyDescent="0.25">
      <c r="A482" s="13">
        <v>466</v>
      </c>
      <c r="B482" s="13" t="s">
        <v>13</v>
      </c>
      <c r="C482" s="66"/>
      <c r="D482" s="2"/>
      <c r="E482" s="73"/>
      <c r="G482" s="2"/>
      <c r="H482" s="73"/>
      <c r="I482" s="5"/>
      <c r="J482" s="74">
        <f>Tabla22[[#This Row],[Base price1]]*Tabla22[[#This Row],[Req.]]+Tabla22[[#This Row],[Base price2]]*Tabla22[[#This Row],[Req.2]]</f>
        <v>0</v>
      </c>
      <c r="K482" s="73">
        <f>IFERROR(LOOKUP(Tabla22[[#This Row],[Product]],$R$18:$R$23,$T$18:$T$23)*Tabla22[[#This Row],[QualityBonus]]*Tabla22[[#This Row],[Base price1]]*Tabla22[[#This Row],[Req.]],0)</f>
        <v>0</v>
      </c>
      <c r="L482" s="73">
        <f>IF(Tabla22[[#This Row],[Req.2]]&gt;0,LOOKUP(Tabla22[[#This Row],[Product2]],$R$18:$R$23,$T$18:$T$23)*Tabla22[[#This Row],[Base price2]]*Tabla22[[#This Row],[Req.2]]*Tabla22[[#This Row],[QualityBonus]],0)</f>
        <v>0</v>
      </c>
      <c r="M482" s="73">
        <f>IFERROR((Tabla22[[#This Row],[Base price1]]-LOOKUP(Tabla22[[#This Row],[Product]],$R$18:$R$23,$S$18:$S$23))*Tabla22[[#This Row],[Req.]],0)</f>
        <v>0</v>
      </c>
      <c r="N482" s="73">
        <f>IF(Tabla22[[#This Row],[Req.2]]&gt;0,(Tabla22[[#This Row],[Base price2]]-LOOKUP(Tabla22[[#This Row],[Product2]],$R$18:$R$23,$S$18:$S$23))*Tabla22[[#This Row],[Req.2]],0)</f>
        <v>0</v>
      </c>
      <c r="O482" s="73">
        <f>SUM(Tabla22[[#This Row],[Bonus1]:[p2]])</f>
        <v>0</v>
      </c>
      <c r="P482" s="73" t="str">
        <f>IF(Tabla22[[#This Row],[QualityBonus]]&gt;0,Tabla22[[#This Row],[No wages]]-$C$4,"")</f>
        <v/>
      </c>
    </row>
    <row r="483" spans="1:16" x14ac:dyDescent="0.25">
      <c r="A483" s="13">
        <v>467</v>
      </c>
      <c r="B483" s="13" t="s">
        <v>13</v>
      </c>
      <c r="C483" s="66"/>
      <c r="D483" s="2"/>
      <c r="E483" s="73"/>
      <c r="G483" s="2"/>
      <c r="H483" s="73"/>
      <c r="I483" s="5"/>
      <c r="J483" s="74">
        <f>Tabla22[[#This Row],[Base price1]]*Tabla22[[#This Row],[Req.]]+Tabla22[[#This Row],[Base price2]]*Tabla22[[#This Row],[Req.2]]</f>
        <v>0</v>
      </c>
      <c r="K483" s="73">
        <f>IFERROR(LOOKUP(Tabla22[[#This Row],[Product]],$R$18:$R$23,$T$18:$T$23)*Tabla22[[#This Row],[QualityBonus]]*Tabla22[[#This Row],[Base price1]]*Tabla22[[#This Row],[Req.]],0)</f>
        <v>0</v>
      </c>
      <c r="L483" s="73">
        <f>IF(Tabla22[[#This Row],[Req.2]]&gt;0,LOOKUP(Tabla22[[#This Row],[Product2]],$R$18:$R$23,$T$18:$T$23)*Tabla22[[#This Row],[Base price2]]*Tabla22[[#This Row],[Req.2]]*Tabla22[[#This Row],[QualityBonus]],0)</f>
        <v>0</v>
      </c>
      <c r="M483" s="73">
        <f>IFERROR((Tabla22[[#This Row],[Base price1]]-LOOKUP(Tabla22[[#This Row],[Product]],$R$18:$R$23,$S$18:$S$23))*Tabla22[[#This Row],[Req.]],0)</f>
        <v>0</v>
      </c>
      <c r="N483" s="73">
        <f>IF(Tabla22[[#This Row],[Req.2]]&gt;0,(Tabla22[[#This Row],[Base price2]]-LOOKUP(Tabla22[[#This Row],[Product2]],$R$18:$R$23,$S$18:$S$23))*Tabla22[[#This Row],[Req.2]],0)</f>
        <v>0</v>
      </c>
      <c r="O483" s="73">
        <f>SUM(Tabla22[[#This Row],[Bonus1]:[p2]])</f>
        <v>0</v>
      </c>
      <c r="P483" s="73" t="str">
        <f>IF(Tabla22[[#This Row],[QualityBonus]]&gt;0,Tabla22[[#This Row],[No wages]]-$C$4,"")</f>
        <v/>
      </c>
    </row>
    <row r="484" spans="1:16" x14ac:dyDescent="0.25">
      <c r="A484" s="13">
        <v>468</v>
      </c>
      <c r="B484" s="13" t="s">
        <v>13</v>
      </c>
      <c r="C484" s="66"/>
      <c r="D484" s="2"/>
      <c r="E484" s="73"/>
      <c r="G484" s="2"/>
      <c r="H484" s="73"/>
      <c r="I484" s="5"/>
      <c r="J484" s="74">
        <f>Tabla22[[#This Row],[Base price1]]*Tabla22[[#This Row],[Req.]]+Tabla22[[#This Row],[Base price2]]*Tabla22[[#This Row],[Req.2]]</f>
        <v>0</v>
      </c>
      <c r="K484" s="73">
        <f>IFERROR(LOOKUP(Tabla22[[#This Row],[Product]],$R$18:$R$23,$T$18:$T$23)*Tabla22[[#This Row],[QualityBonus]]*Tabla22[[#This Row],[Base price1]]*Tabla22[[#This Row],[Req.]],0)</f>
        <v>0</v>
      </c>
      <c r="L484" s="73">
        <f>IF(Tabla22[[#This Row],[Req.2]]&gt;0,LOOKUP(Tabla22[[#This Row],[Product2]],$R$18:$R$23,$T$18:$T$23)*Tabla22[[#This Row],[Base price2]]*Tabla22[[#This Row],[Req.2]]*Tabla22[[#This Row],[QualityBonus]],0)</f>
        <v>0</v>
      </c>
      <c r="M484" s="73">
        <f>IFERROR((Tabla22[[#This Row],[Base price1]]-LOOKUP(Tabla22[[#This Row],[Product]],$R$18:$R$23,$S$18:$S$23))*Tabla22[[#This Row],[Req.]],0)</f>
        <v>0</v>
      </c>
      <c r="N484" s="73">
        <f>IF(Tabla22[[#This Row],[Req.2]]&gt;0,(Tabla22[[#This Row],[Base price2]]-LOOKUP(Tabla22[[#This Row],[Product2]],$R$18:$R$23,$S$18:$S$23))*Tabla22[[#This Row],[Req.2]],0)</f>
        <v>0</v>
      </c>
      <c r="O484" s="73">
        <f>SUM(Tabla22[[#This Row],[Bonus1]:[p2]])</f>
        <v>0</v>
      </c>
      <c r="P484" s="73" t="str">
        <f>IF(Tabla22[[#This Row],[QualityBonus]]&gt;0,Tabla22[[#This Row],[No wages]]-$C$4,"")</f>
        <v/>
      </c>
    </row>
    <row r="485" spans="1:16" x14ac:dyDescent="0.25">
      <c r="A485" s="13">
        <v>469</v>
      </c>
      <c r="B485" s="13" t="s">
        <v>13</v>
      </c>
      <c r="C485" s="66"/>
      <c r="D485" s="2"/>
      <c r="E485" s="73"/>
      <c r="G485" s="2"/>
      <c r="H485" s="73"/>
      <c r="I485" s="5"/>
      <c r="J485" s="74">
        <f>Tabla22[[#This Row],[Base price1]]*Tabla22[[#This Row],[Req.]]+Tabla22[[#This Row],[Base price2]]*Tabla22[[#This Row],[Req.2]]</f>
        <v>0</v>
      </c>
      <c r="K485" s="73">
        <f>IFERROR(LOOKUP(Tabla22[[#This Row],[Product]],$R$18:$R$23,$T$18:$T$23)*Tabla22[[#This Row],[QualityBonus]]*Tabla22[[#This Row],[Base price1]]*Tabla22[[#This Row],[Req.]],0)</f>
        <v>0</v>
      </c>
      <c r="L485" s="73">
        <f>IF(Tabla22[[#This Row],[Req.2]]&gt;0,LOOKUP(Tabla22[[#This Row],[Product2]],$R$18:$R$23,$T$18:$T$23)*Tabla22[[#This Row],[Base price2]]*Tabla22[[#This Row],[Req.2]]*Tabla22[[#This Row],[QualityBonus]],0)</f>
        <v>0</v>
      </c>
      <c r="M485" s="73">
        <f>IFERROR((Tabla22[[#This Row],[Base price1]]-LOOKUP(Tabla22[[#This Row],[Product]],$R$18:$R$23,$S$18:$S$23))*Tabla22[[#This Row],[Req.]],0)</f>
        <v>0</v>
      </c>
      <c r="N485" s="73">
        <f>IF(Tabla22[[#This Row],[Req.2]]&gt;0,(Tabla22[[#This Row],[Base price2]]-LOOKUP(Tabla22[[#This Row],[Product2]],$R$18:$R$23,$S$18:$S$23))*Tabla22[[#This Row],[Req.2]],0)</f>
        <v>0</v>
      </c>
      <c r="O485" s="73">
        <f>SUM(Tabla22[[#This Row],[Bonus1]:[p2]])</f>
        <v>0</v>
      </c>
      <c r="P485" s="73" t="str">
        <f>IF(Tabla22[[#This Row],[QualityBonus]]&gt;0,Tabla22[[#This Row],[No wages]]-$C$4,"")</f>
        <v/>
      </c>
    </row>
    <row r="486" spans="1:16" x14ac:dyDescent="0.25">
      <c r="A486" s="13">
        <v>470</v>
      </c>
      <c r="B486" s="13" t="s">
        <v>13</v>
      </c>
      <c r="C486" s="66"/>
      <c r="D486" s="2"/>
      <c r="E486" s="73"/>
      <c r="G486" s="2"/>
      <c r="H486" s="73"/>
      <c r="I486" s="5"/>
      <c r="J486" s="74">
        <f>Tabla22[[#This Row],[Base price1]]*Tabla22[[#This Row],[Req.]]+Tabla22[[#This Row],[Base price2]]*Tabla22[[#This Row],[Req.2]]</f>
        <v>0</v>
      </c>
      <c r="K486" s="73">
        <f>IFERROR(LOOKUP(Tabla22[[#This Row],[Product]],$R$18:$R$23,$T$18:$T$23)*Tabla22[[#This Row],[QualityBonus]]*Tabla22[[#This Row],[Base price1]]*Tabla22[[#This Row],[Req.]],0)</f>
        <v>0</v>
      </c>
      <c r="L486" s="73">
        <f>IF(Tabla22[[#This Row],[Req.2]]&gt;0,LOOKUP(Tabla22[[#This Row],[Product2]],$R$18:$R$23,$T$18:$T$23)*Tabla22[[#This Row],[Base price2]]*Tabla22[[#This Row],[Req.2]]*Tabla22[[#This Row],[QualityBonus]],0)</f>
        <v>0</v>
      </c>
      <c r="M486" s="73">
        <f>IFERROR((Tabla22[[#This Row],[Base price1]]-LOOKUP(Tabla22[[#This Row],[Product]],$R$18:$R$23,$S$18:$S$23))*Tabla22[[#This Row],[Req.]],0)</f>
        <v>0</v>
      </c>
      <c r="N486" s="73">
        <f>IF(Tabla22[[#This Row],[Req.2]]&gt;0,(Tabla22[[#This Row],[Base price2]]-LOOKUP(Tabla22[[#This Row],[Product2]],$R$18:$R$23,$S$18:$S$23))*Tabla22[[#This Row],[Req.2]],0)</f>
        <v>0</v>
      </c>
      <c r="O486" s="73">
        <f>SUM(Tabla22[[#This Row],[Bonus1]:[p2]])</f>
        <v>0</v>
      </c>
      <c r="P486" s="73" t="str">
        <f>IF(Tabla22[[#This Row],[QualityBonus]]&gt;0,Tabla22[[#This Row],[No wages]]-$C$4,"")</f>
        <v/>
      </c>
    </row>
    <row r="487" spans="1:16" x14ac:dyDescent="0.25">
      <c r="A487" s="13">
        <v>471</v>
      </c>
      <c r="B487" s="13" t="s">
        <v>13</v>
      </c>
      <c r="C487" s="66"/>
      <c r="D487" s="2"/>
      <c r="E487" s="73"/>
      <c r="G487" s="2"/>
      <c r="H487" s="73"/>
      <c r="I487" s="5"/>
      <c r="J487" s="74">
        <f>Tabla22[[#This Row],[Base price1]]*Tabla22[[#This Row],[Req.]]+Tabla22[[#This Row],[Base price2]]*Tabla22[[#This Row],[Req.2]]</f>
        <v>0</v>
      </c>
      <c r="K487" s="73">
        <f>IFERROR(LOOKUP(Tabla22[[#This Row],[Product]],$R$18:$R$23,$T$18:$T$23)*Tabla22[[#This Row],[QualityBonus]]*Tabla22[[#This Row],[Base price1]]*Tabla22[[#This Row],[Req.]],0)</f>
        <v>0</v>
      </c>
      <c r="L487" s="73">
        <f>IF(Tabla22[[#This Row],[Req.2]]&gt;0,LOOKUP(Tabla22[[#This Row],[Product2]],$R$18:$R$23,$T$18:$T$23)*Tabla22[[#This Row],[Base price2]]*Tabla22[[#This Row],[Req.2]]*Tabla22[[#This Row],[QualityBonus]],0)</f>
        <v>0</v>
      </c>
      <c r="M487" s="73">
        <f>IFERROR((Tabla22[[#This Row],[Base price1]]-LOOKUP(Tabla22[[#This Row],[Product]],$R$18:$R$23,$S$18:$S$23))*Tabla22[[#This Row],[Req.]],0)</f>
        <v>0</v>
      </c>
      <c r="N487" s="73">
        <f>IF(Tabla22[[#This Row],[Req.2]]&gt;0,(Tabla22[[#This Row],[Base price2]]-LOOKUP(Tabla22[[#This Row],[Product2]],$R$18:$R$23,$S$18:$S$23))*Tabla22[[#This Row],[Req.2]],0)</f>
        <v>0</v>
      </c>
      <c r="O487" s="73">
        <f>SUM(Tabla22[[#This Row],[Bonus1]:[p2]])</f>
        <v>0</v>
      </c>
      <c r="P487" s="73" t="str">
        <f>IF(Tabla22[[#This Row],[QualityBonus]]&gt;0,Tabla22[[#This Row],[No wages]]-$C$4,"")</f>
        <v/>
      </c>
    </row>
    <row r="488" spans="1:16" x14ac:dyDescent="0.25">
      <c r="A488" s="13">
        <v>472</v>
      </c>
      <c r="B488" s="13" t="s">
        <v>13</v>
      </c>
      <c r="C488" s="66"/>
      <c r="D488" s="2"/>
      <c r="E488" s="73"/>
      <c r="G488" s="2"/>
      <c r="H488" s="73"/>
      <c r="I488" s="5"/>
      <c r="J488" s="74">
        <f>Tabla22[[#This Row],[Base price1]]*Tabla22[[#This Row],[Req.]]+Tabla22[[#This Row],[Base price2]]*Tabla22[[#This Row],[Req.2]]</f>
        <v>0</v>
      </c>
      <c r="K488" s="73">
        <f>IFERROR(LOOKUP(Tabla22[[#This Row],[Product]],$R$18:$R$23,$T$18:$T$23)*Tabla22[[#This Row],[QualityBonus]]*Tabla22[[#This Row],[Base price1]]*Tabla22[[#This Row],[Req.]],0)</f>
        <v>0</v>
      </c>
      <c r="L488" s="73">
        <f>IF(Tabla22[[#This Row],[Req.2]]&gt;0,LOOKUP(Tabla22[[#This Row],[Product2]],$R$18:$R$23,$T$18:$T$23)*Tabla22[[#This Row],[Base price2]]*Tabla22[[#This Row],[Req.2]]*Tabla22[[#This Row],[QualityBonus]],0)</f>
        <v>0</v>
      </c>
      <c r="M488" s="73">
        <f>IFERROR((Tabla22[[#This Row],[Base price1]]-LOOKUP(Tabla22[[#This Row],[Product]],$R$18:$R$23,$S$18:$S$23))*Tabla22[[#This Row],[Req.]],0)</f>
        <v>0</v>
      </c>
      <c r="N488" s="73">
        <f>IF(Tabla22[[#This Row],[Req.2]]&gt;0,(Tabla22[[#This Row],[Base price2]]-LOOKUP(Tabla22[[#This Row],[Product2]],$R$18:$R$23,$S$18:$S$23))*Tabla22[[#This Row],[Req.2]],0)</f>
        <v>0</v>
      </c>
      <c r="O488" s="73">
        <f>SUM(Tabla22[[#This Row],[Bonus1]:[p2]])</f>
        <v>0</v>
      </c>
      <c r="P488" s="73" t="str">
        <f>IF(Tabla22[[#This Row],[QualityBonus]]&gt;0,Tabla22[[#This Row],[No wages]]-$C$4,"")</f>
        <v/>
      </c>
    </row>
    <row r="489" spans="1:16" x14ac:dyDescent="0.25">
      <c r="A489" s="13">
        <v>473</v>
      </c>
      <c r="B489" s="13" t="s">
        <v>13</v>
      </c>
      <c r="C489" s="66"/>
      <c r="D489" s="2"/>
      <c r="E489" s="73"/>
      <c r="G489" s="2"/>
      <c r="H489" s="73"/>
      <c r="I489" s="5"/>
      <c r="J489" s="74">
        <f>Tabla22[[#This Row],[Base price1]]*Tabla22[[#This Row],[Req.]]+Tabla22[[#This Row],[Base price2]]*Tabla22[[#This Row],[Req.2]]</f>
        <v>0</v>
      </c>
      <c r="K489" s="73">
        <f>IFERROR(LOOKUP(Tabla22[[#This Row],[Product]],$R$18:$R$23,$T$18:$T$23)*Tabla22[[#This Row],[QualityBonus]]*Tabla22[[#This Row],[Base price1]]*Tabla22[[#This Row],[Req.]],0)</f>
        <v>0</v>
      </c>
      <c r="L489" s="73">
        <f>IF(Tabla22[[#This Row],[Req.2]]&gt;0,LOOKUP(Tabla22[[#This Row],[Product2]],$R$18:$R$23,$T$18:$T$23)*Tabla22[[#This Row],[Base price2]]*Tabla22[[#This Row],[Req.2]]*Tabla22[[#This Row],[QualityBonus]],0)</f>
        <v>0</v>
      </c>
      <c r="M489" s="73">
        <f>IFERROR((Tabla22[[#This Row],[Base price1]]-LOOKUP(Tabla22[[#This Row],[Product]],$R$18:$R$23,$S$18:$S$23))*Tabla22[[#This Row],[Req.]],0)</f>
        <v>0</v>
      </c>
      <c r="N489" s="73">
        <f>IF(Tabla22[[#This Row],[Req.2]]&gt;0,(Tabla22[[#This Row],[Base price2]]-LOOKUP(Tabla22[[#This Row],[Product2]],$R$18:$R$23,$S$18:$S$23))*Tabla22[[#This Row],[Req.2]],0)</f>
        <v>0</v>
      </c>
      <c r="O489" s="73">
        <f>SUM(Tabla22[[#This Row],[Bonus1]:[p2]])</f>
        <v>0</v>
      </c>
      <c r="P489" s="73" t="str">
        <f>IF(Tabla22[[#This Row],[QualityBonus]]&gt;0,Tabla22[[#This Row],[No wages]]-$C$4,"")</f>
        <v/>
      </c>
    </row>
    <row r="490" spans="1:16" x14ac:dyDescent="0.25">
      <c r="A490" s="13">
        <v>474</v>
      </c>
      <c r="B490" s="13" t="s">
        <v>13</v>
      </c>
      <c r="C490" s="66"/>
      <c r="D490" s="2"/>
      <c r="E490" s="73"/>
      <c r="G490" s="2"/>
      <c r="H490" s="73"/>
      <c r="I490" s="5"/>
      <c r="J490" s="74">
        <f>Tabla22[[#This Row],[Base price1]]*Tabla22[[#This Row],[Req.]]+Tabla22[[#This Row],[Base price2]]*Tabla22[[#This Row],[Req.2]]</f>
        <v>0</v>
      </c>
      <c r="K490" s="73">
        <f>IFERROR(LOOKUP(Tabla22[[#This Row],[Product]],$R$18:$R$23,$T$18:$T$23)*Tabla22[[#This Row],[QualityBonus]]*Tabla22[[#This Row],[Base price1]]*Tabla22[[#This Row],[Req.]],0)</f>
        <v>0</v>
      </c>
      <c r="L490" s="73">
        <f>IF(Tabla22[[#This Row],[Req.2]]&gt;0,LOOKUP(Tabla22[[#This Row],[Product2]],$R$18:$R$23,$T$18:$T$23)*Tabla22[[#This Row],[Base price2]]*Tabla22[[#This Row],[Req.2]]*Tabla22[[#This Row],[QualityBonus]],0)</f>
        <v>0</v>
      </c>
      <c r="M490" s="73">
        <f>IFERROR((Tabla22[[#This Row],[Base price1]]-LOOKUP(Tabla22[[#This Row],[Product]],$R$18:$R$23,$S$18:$S$23))*Tabla22[[#This Row],[Req.]],0)</f>
        <v>0</v>
      </c>
      <c r="N490" s="73">
        <f>IF(Tabla22[[#This Row],[Req.2]]&gt;0,(Tabla22[[#This Row],[Base price2]]-LOOKUP(Tabla22[[#This Row],[Product2]],$R$18:$R$23,$S$18:$S$23))*Tabla22[[#This Row],[Req.2]],0)</f>
        <v>0</v>
      </c>
      <c r="O490" s="73">
        <f>SUM(Tabla22[[#This Row],[Bonus1]:[p2]])</f>
        <v>0</v>
      </c>
      <c r="P490" s="73" t="str">
        <f>IF(Tabla22[[#This Row],[QualityBonus]]&gt;0,Tabla22[[#This Row],[No wages]]-$C$4,"")</f>
        <v/>
      </c>
    </row>
    <row r="491" spans="1:16" x14ac:dyDescent="0.25">
      <c r="A491" s="13">
        <v>475</v>
      </c>
      <c r="B491" s="13" t="s">
        <v>13</v>
      </c>
      <c r="C491" s="66"/>
      <c r="D491" s="2"/>
      <c r="E491" s="73"/>
      <c r="G491" s="2"/>
      <c r="H491" s="73"/>
      <c r="I491" s="5"/>
      <c r="J491" s="74">
        <f>Tabla22[[#This Row],[Base price1]]*Tabla22[[#This Row],[Req.]]+Tabla22[[#This Row],[Base price2]]*Tabla22[[#This Row],[Req.2]]</f>
        <v>0</v>
      </c>
      <c r="K491" s="73">
        <f>IFERROR(LOOKUP(Tabla22[[#This Row],[Product]],$R$18:$R$23,$T$18:$T$23)*Tabla22[[#This Row],[QualityBonus]]*Tabla22[[#This Row],[Base price1]]*Tabla22[[#This Row],[Req.]],0)</f>
        <v>0</v>
      </c>
      <c r="L491" s="73">
        <f>IF(Tabla22[[#This Row],[Req.2]]&gt;0,LOOKUP(Tabla22[[#This Row],[Product2]],$R$18:$R$23,$T$18:$T$23)*Tabla22[[#This Row],[Base price2]]*Tabla22[[#This Row],[Req.2]]*Tabla22[[#This Row],[QualityBonus]],0)</f>
        <v>0</v>
      </c>
      <c r="M491" s="73">
        <f>IFERROR((Tabla22[[#This Row],[Base price1]]-LOOKUP(Tabla22[[#This Row],[Product]],$R$18:$R$23,$S$18:$S$23))*Tabla22[[#This Row],[Req.]],0)</f>
        <v>0</v>
      </c>
      <c r="N491" s="73">
        <f>IF(Tabla22[[#This Row],[Req.2]]&gt;0,(Tabla22[[#This Row],[Base price2]]-LOOKUP(Tabla22[[#This Row],[Product2]],$R$18:$R$23,$S$18:$S$23))*Tabla22[[#This Row],[Req.2]],0)</f>
        <v>0</v>
      </c>
      <c r="O491" s="73">
        <f>SUM(Tabla22[[#This Row],[Bonus1]:[p2]])</f>
        <v>0</v>
      </c>
      <c r="P491" s="73" t="str">
        <f>IF(Tabla22[[#This Row],[QualityBonus]]&gt;0,Tabla22[[#This Row],[No wages]]-$C$4,"")</f>
        <v/>
      </c>
    </row>
    <row r="492" spans="1:16" x14ac:dyDescent="0.25">
      <c r="A492" s="13">
        <v>476</v>
      </c>
      <c r="B492" s="13" t="s">
        <v>13</v>
      </c>
      <c r="C492" s="66"/>
      <c r="D492" s="2"/>
      <c r="E492" s="73"/>
      <c r="G492" s="2"/>
      <c r="H492" s="73"/>
      <c r="I492" s="5"/>
      <c r="J492" s="74">
        <f>Tabla22[[#This Row],[Base price1]]*Tabla22[[#This Row],[Req.]]+Tabla22[[#This Row],[Base price2]]*Tabla22[[#This Row],[Req.2]]</f>
        <v>0</v>
      </c>
      <c r="K492" s="73">
        <f>IFERROR(LOOKUP(Tabla22[[#This Row],[Product]],$R$18:$R$23,$T$18:$T$23)*Tabla22[[#This Row],[QualityBonus]]*Tabla22[[#This Row],[Base price1]]*Tabla22[[#This Row],[Req.]],0)</f>
        <v>0</v>
      </c>
      <c r="L492" s="73">
        <f>IF(Tabla22[[#This Row],[Req.2]]&gt;0,LOOKUP(Tabla22[[#This Row],[Product2]],$R$18:$R$23,$T$18:$T$23)*Tabla22[[#This Row],[Base price2]]*Tabla22[[#This Row],[Req.2]]*Tabla22[[#This Row],[QualityBonus]],0)</f>
        <v>0</v>
      </c>
      <c r="M492" s="73">
        <f>IFERROR((Tabla22[[#This Row],[Base price1]]-LOOKUP(Tabla22[[#This Row],[Product]],$R$18:$R$23,$S$18:$S$23))*Tabla22[[#This Row],[Req.]],0)</f>
        <v>0</v>
      </c>
      <c r="N492" s="73">
        <f>IF(Tabla22[[#This Row],[Req.2]]&gt;0,(Tabla22[[#This Row],[Base price2]]-LOOKUP(Tabla22[[#This Row],[Product2]],$R$18:$R$23,$S$18:$S$23))*Tabla22[[#This Row],[Req.2]],0)</f>
        <v>0</v>
      </c>
      <c r="O492" s="73">
        <f>SUM(Tabla22[[#This Row],[Bonus1]:[p2]])</f>
        <v>0</v>
      </c>
      <c r="P492" s="73" t="str">
        <f>IF(Tabla22[[#This Row],[QualityBonus]]&gt;0,Tabla22[[#This Row],[No wages]]-$C$4,"")</f>
        <v/>
      </c>
    </row>
    <row r="493" spans="1:16" x14ac:dyDescent="0.25">
      <c r="A493" s="13">
        <v>477</v>
      </c>
      <c r="B493" s="13" t="s">
        <v>13</v>
      </c>
      <c r="C493" s="66"/>
      <c r="D493" s="2"/>
      <c r="E493" s="73"/>
      <c r="G493" s="2"/>
      <c r="H493" s="73"/>
      <c r="I493" s="5"/>
      <c r="J493" s="74">
        <f>Tabla22[[#This Row],[Base price1]]*Tabla22[[#This Row],[Req.]]+Tabla22[[#This Row],[Base price2]]*Tabla22[[#This Row],[Req.2]]</f>
        <v>0</v>
      </c>
      <c r="K493" s="73">
        <f>IFERROR(LOOKUP(Tabla22[[#This Row],[Product]],$R$18:$R$23,$T$18:$T$23)*Tabla22[[#This Row],[QualityBonus]]*Tabla22[[#This Row],[Base price1]]*Tabla22[[#This Row],[Req.]],0)</f>
        <v>0</v>
      </c>
      <c r="L493" s="73">
        <f>IF(Tabla22[[#This Row],[Req.2]]&gt;0,LOOKUP(Tabla22[[#This Row],[Product2]],$R$18:$R$23,$T$18:$T$23)*Tabla22[[#This Row],[Base price2]]*Tabla22[[#This Row],[Req.2]]*Tabla22[[#This Row],[QualityBonus]],0)</f>
        <v>0</v>
      </c>
      <c r="M493" s="73">
        <f>IFERROR((Tabla22[[#This Row],[Base price1]]-LOOKUP(Tabla22[[#This Row],[Product]],$R$18:$R$23,$S$18:$S$23))*Tabla22[[#This Row],[Req.]],0)</f>
        <v>0</v>
      </c>
      <c r="N493" s="73">
        <f>IF(Tabla22[[#This Row],[Req.2]]&gt;0,(Tabla22[[#This Row],[Base price2]]-LOOKUP(Tabla22[[#This Row],[Product2]],$R$18:$R$23,$S$18:$S$23))*Tabla22[[#This Row],[Req.2]],0)</f>
        <v>0</v>
      </c>
      <c r="O493" s="73">
        <f>SUM(Tabla22[[#This Row],[Bonus1]:[p2]])</f>
        <v>0</v>
      </c>
      <c r="P493" s="73" t="str">
        <f>IF(Tabla22[[#This Row],[QualityBonus]]&gt;0,Tabla22[[#This Row],[No wages]]-$C$4,"")</f>
        <v/>
      </c>
    </row>
    <row r="494" spans="1:16" x14ac:dyDescent="0.25">
      <c r="A494" s="13">
        <v>478</v>
      </c>
      <c r="B494" s="13" t="s">
        <v>13</v>
      </c>
      <c r="C494" s="66"/>
      <c r="D494" s="2"/>
      <c r="E494" s="73"/>
      <c r="G494" s="2"/>
      <c r="H494" s="73"/>
      <c r="I494" s="5"/>
      <c r="J494" s="74">
        <f>Tabla22[[#This Row],[Base price1]]*Tabla22[[#This Row],[Req.]]+Tabla22[[#This Row],[Base price2]]*Tabla22[[#This Row],[Req.2]]</f>
        <v>0</v>
      </c>
      <c r="K494" s="73">
        <f>IFERROR(LOOKUP(Tabla22[[#This Row],[Product]],$R$18:$R$23,$T$18:$T$23)*Tabla22[[#This Row],[QualityBonus]]*Tabla22[[#This Row],[Base price1]]*Tabla22[[#This Row],[Req.]],0)</f>
        <v>0</v>
      </c>
      <c r="L494" s="73">
        <f>IF(Tabla22[[#This Row],[Req.2]]&gt;0,LOOKUP(Tabla22[[#This Row],[Product2]],$R$18:$R$23,$T$18:$T$23)*Tabla22[[#This Row],[Base price2]]*Tabla22[[#This Row],[Req.2]]*Tabla22[[#This Row],[QualityBonus]],0)</f>
        <v>0</v>
      </c>
      <c r="M494" s="73">
        <f>IFERROR((Tabla22[[#This Row],[Base price1]]-LOOKUP(Tabla22[[#This Row],[Product]],$R$18:$R$23,$S$18:$S$23))*Tabla22[[#This Row],[Req.]],0)</f>
        <v>0</v>
      </c>
      <c r="N494" s="73">
        <f>IF(Tabla22[[#This Row],[Req.2]]&gt;0,(Tabla22[[#This Row],[Base price2]]-LOOKUP(Tabla22[[#This Row],[Product2]],$R$18:$R$23,$S$18:$S$23))*Tabla22[[#This Row],[Req.2]],0)</f>
        <v>0</v>
      </c>
      <c r="O494" s="73">
        <f>SUM(Tabla22[[#This Row],[Bonus1]:[p2]])</f>
        <v>0</v>
      </c>
      <c r="P494" s="73" t="str">
        <f>IF(Tabla22[[#This Row],[QualityBonus]]&gt;0,Tabla22[[#This Row],[No wages]]-$C$4,"")</f>
        <v/>
      </c>
    </row>
    <row r="495" spans="1:16" x14ac:dyDescent="0.25">
      <c r="A495" s="13">
        <v>479</v>
      </c>
      <c r="B495" s="13" t="s">
        <v>13</v>
      </c>
      <c r="C495" s="66"/>
      <c r="D495" s="2"/>
      <c r="E495" s="73"/>
      <c r="G495" s="2"/>
      <c r="H495" s="73"/>
      <c r="I495" s="5"/>
      <c r="J495" s="74">
        <f>Tabla22[[#This Row],[Base price1]]*Tabla22[[#This Row],[Req.]]+Tabla22[[#This Row],[Base price2]]*Tabla22[[#This Row],[Req.2]]</f>
        <v>0</v>
      </c>
      <c r="K495" s="73">
        <f>IFERROR(LOOKUP(Tabla22[[#This Row],[Product]],$R$18:$R$23,$T$18:$T$23)*Tabla22[[#This Row],[QualityBonus]]*Tabla22[[#This Row],[Base price1]]*Tabla22[[#This Row],[Req.]],0)</f>
        <v>0</v>
      </c>
      <c r="L495" s="73">
        <f>IF(Tabla22[[#This Row],[Req.2]]&gt;0,LOOKUP(Tabla22[[#This Row],[Product2]],$R$18:$R$23,$T$18:$T$23)*Tabla22[[#This Row],[Base price2]]*Tabla22[[#This Row],[Req.2]]*Tabla22[[#This Row],[QualityBonus]],0)</f>
        <v>0</v>
      </c>
      <c r="M495" s="73">
        <f>IFERROR((Tabla22[[#This Row],[Base price1]]-LOOKUP(Tabla22[[#This Row],[Product]],$R$18:$R$23,$S$18:$S$23))*Tabla22[[#This Row],[Req.]],0)</f>
        <v>0</v>
      </c>
      <c r="N495" s="73">
        <f>IF(Tabla22[[#This Row],[Req.2]]&gt;0,(Tabla22[[#This Row],[Base price2]]-LOOKUP(Tabla22[[#This Row],[Product2]],$R$18:$R$23,$S$18:$S$23))*Tabla22[[#This Row],[Req.2]],0)</f>
        <v>0</v>
      </c>
      <c r="O495" s="73">
        <f>SUM(Tabla22[[#This Row],[Bonus1]:[p2]])</f>
        <v>0</v>
      </c>
      <c r="P495" s="73" t="str">
        <f>IF(Tabla22[[#This Row],[QualityBonus]]&gt;0,Tabla22[[#This Row],[No wages]]-$C$4,"")</f>
        <v/>
      </c>
    </row>
    <row r="496" spans="1:16" x14ac:dyDescent="0.25">
      <c r="A496" s="13">
        <v>480</v>
      </c>
      <c r="B496" s="13" t="s">
        <v>13</v>
      </c>
      <c r="C496" s="66"/>
      <c r="D496" s="2"/>
      <c r="E496" s="73"/>
      <c r="G496" s="2"/>
      <c r="H496" s="73"/>
      <c r="I496" s="5"/>
      <c r="J496" s="74">
        <f>Tabla22[[#This Row],[Base price1]]*Tabla22[[#This Row],[Req.]]+Tabla22[[#This Row],[Base price2]]*Tabla22[[#This Row],[Req.2]]</f>
        <v>0</v>
      </c>
      <c r="K496" s="73">
        <f>IFERROR(LOOKUP(Tabla22[[#This Row],[Product]],$R$18:$R$23,$T$18:$T$23)*Tabla22[[#This Row],[QualityBonus]]*Tabla22[[#This Row],[Base price1]]*Tabla22[[#This Row],[Req.]],0)</f>
        <v>0</v>
      </c>
      <c r="L496" s="73">
        <f>IF(Tabla22[[#This Row],[Req.2]]&gt;0,LOOKUP(Tabla22[[#This Row],[Product2]],$R$18:$R$23,$T$18:$T$23)*Tabla22[[#This Row],[Base price2]]*Tabla22[[#This Row],[Req.2]]*Tabla22[[#This Row],[QualityBonus]],0)</f>
        <v>0</v>
      </c>
      <c r="M496" s="73">
        <f>IFERROR((Tabla22[[#This Row],[Base price1]]-LOOKUP(Tabla22[[#This Row],[Product]],$R$18:$R$23,$S$18:$S$23))*Tabla22[[#This Row],[Req.]],0)</f>
        <v>0</v>
      </c>
      <c r="N496" s="73">
        <f>IF(Tabla22[[#This Row],[Req.2]]&gt;0,(Tabla22[[#This Row],[Base price2]]-LOOKUP(Tabla22[[#This Row],[Product2]],$R$18:$R$23,$S$18:$S$23))*Tabla22[[#This Row],[Req.2]],0)</f>
        <v>0</v>
      </c>
      <c r="O496" s="73">
        <f>SUM(Tabla22[[#This Row],[Bonus1]:[p2]])</f>
        <v>0</v>
      </c>
      <c r="P496" s="73" t="str">
        <f>IF(Tabla22[[#This Row],[QualityBonus]]&gt;0,Tabla22[[#This Row],[No wages]]-$C$4,"")</f>
        <v/>
      </c>
    </row>
    <row r="497" spans="1:16" x14ac:dyDescent="0.25">
      <c r="A497" s="13">
        <v>481</v>
      </c>
      <c r="B497" s="13" t="s">
        <v>13</v>
      </c>
      <c r="C497" s="66"/>
      <c r="D497" s="2"/>
      <c r="E497" s="73"/>
      <c r="G497" s="2"/>
      <c r="H497" s="73"/>
      <c r="I497" s="5"/>
      <c r="J497" s="74">
        <f>Tabla22[[#This Row],[Base price1]]*Tabla22[[#This Row],[Req.]]+Tabla22[[#This Row],[Base price2]]*Tabla22[[#This Row],[Req.2]]</f>
        <v>0</v>
      </c>
      <c r="K497" s="73">
        <f>IFERROR(LOOKUP(Tabla22[[#This Row],[Product]],$R$18:$R$23,$T$18:$T$23)*Tabla22[[#This Row],[QualityBonus]]*Tabla22[[#This Row],[Base price1]]*Tabla22[[#This Row],[Req.]],0)</f>
        <v>0</v>
      </c>
      <c r="L497" s="73">
        <f>IF(Tabla22[[#This Row],[Req.2]]&gt;0,LOOKUP(Tabla22[[#This Row],[Product2]],$R$18:$R$23,$T$18:$T$23)*Tabla22[[#This Row],[Base price2]]*Tabla22[[#This Row],[Req.2]]*Tabla22[[#This Row],[QualityBonus]],0)</f>
        <v>0</v>
      </c>
      <c r="M497" s="73">
        <f>IFERROR((Tabla22[[#This Row],[Base price1]]-LOOKUP(Tabla22[[#This Row],[Product]],$R$18:$R$23,$S$18:$S$23))*Tabla22[[#This Row],[Req.]],0)</f>
        <v>0</v>
      </c>
      <c r="N497" s="73">
        <f>IF(Tabla22[[#This Row],[Req.2]]&gt;0,(Tabla22[[#This Row],[Base price2]]-LOOKUP(Tabla22[[#This Row],[Product2]],$R$18:$R$23,$S$18:$S$23))*Tabla22[[#This Row],[Req.2]],0)</f>
        <v>0</v>
      </c>
      <c r="O497" s="73">
        <f>SUM(Tabla22[[#This Row],[Bonus1]:[p2]])</f>
        <v>0</v>
      </c>
      <c r="P497" s="73" t="str">
        <f>IF(Tabla22[[#This Row],[QualityBonus]]&gt;0,Tabla22[[#This Row],[No wages]]-$C$4,"")</f>
        <v/>
      </c>
    </row>
    <row r="498" spans="1:16" x14ac:dyDescent="0.25">
      <c r="A498" s="13">
        <v>482</v>
      </c>
      <c r="B498" s="13" t="s">
        <v>13</v>
      </c>
      <c r="C498" s="66"/>
      <c r="D498" s="2"/>
      <c r="E498" s="73"/>
      <c r="G498" s="2"/>
      <c r="H498" s="73"/>
      <c r="I498" s="5"/>
      <c r="J498" s="74">
        <f>Tabla22[[#This Row],[Base price1]]*Tabla22[[#This Row],[Req.]]+Tabla22[[#This Row],[Base price2]]*Tabla22[[#This Row],[Req.2]]</f>
        <v>0</v>
      </c>
      <c r="K498" s="73">
        <f>IFERROR(LOOKUP(Tabla22[[#This Row],[Product]],$R$18:$R$23,$T$18:$T$23)*Tabla22[[#This Row],[QualityBonus]]*Tabla22[[#This Row],[Base price1]]*Tabla22[[#This Row],[Req.]],0)</f>
        <v>0</v>
      </c>
      <c r="L498" s="73">
        <f>IF(Tabla22[[#This Row],[Req.2]]&gt;0,LOOKUP(Tabla22[[#This Row],[Product2]],$R$18:$R$23,$T$18:$T$23)*Tabla22[[#This Row],[Base price2]]*Tabla22[[#This Row],[Req.2]]*Tabla22[[#This Row],[QualityBonus]],0)</f>
        <v>0</v>
      </c>
      <c r="M498" s="73">
        <f>IFERROR((Tabla22[[#This Row],[Base price1]]-LOOKUP(Tabla22[[#This Row],[Product]],$R$18:$R$23,$S$18:$S$23))*Tabla22[[#This Row],[Req.]],0)</f>
        <v>0</v>
      </c>
      <c r="N498" s="73">
        <f>IF(Tabla22[[#This Row],[Req.2]]&gt;0,(Tabla22[[#This Row],[Base price2]]-LOOKUP(Tabla22[[#This Row],[Product2]],$R$18:$R$23,$S$18:$S$23))*Tabla22[[#This Row],[Req.2]],0)</f>
        <v>0</v>
      </c>
      <c r="O498" s="73">
        <f>SUM(Tabla22[[#This Row],[Bonus1]:[p2]])</f>
        <v>0</v>
      </c>
      <c r="P498" s="73" t="str">
        <f>IF(Tabla22[[#This Row],[QualityBonus]]&gt;0,Tabla22[[#This Row],[No wages]]-$C$4,"")</f>
        <v/>
      </c>
    </row>
    <row r="499" spans="1:16" x14ac:dyDescent="0.25">
      <c r="A499" s="13">
        <v>483</v>
      </c>
      <c r="B499" s="13" t="s">
        <v>13</v>
      </c>
      <c r="C499" s="66"/>
      <c r="D499" s="2"/>
      <c r="E499" s="73"/>
      <c r="G499" s="2"/>
      <c r="H499" s="73"/>
      <c r="I499" s="5"/>
      <c r="J499" s="74">
        <f>Tabla22[[#This Row],[Base price1]]*Tabla22[[#This Row],[Req.]]+Tabla22[[#This Row],[Base price2]]*Tabla22[[#This Row],[Req.2]]</f>
        <v>0</v>
      </c>
      <c r="K499" s="73">
        <f>IFERROR(LOOKUP(Tabla22[[#This Row],[Product]],$R$18:$R$23,$T$18:$T$23)*Tabla22[[#This Row],[QualityBonus]]*Tabla22[[#This Row],[Base price1]]*Tabla22[[#This Row],[Req.]],0)</f>
        <v>0</v>
      </c>
      <c r="L499" s="73">
        <f>IF(Tabla22[[#This Row],[Req.2]]&gt;0,LOOKUP(Tabla22[[#This Row],[Product2]],$R$18:$R$23,$T$18:$T$23)*Tabla22[[#This Row],[Base price2]]*Tabla22[[#This Row],[Req.2]]*Tabla22[[#This Row],[QualityBonus]],0)</f>
        <v>0</v>
      </c>
      <c r="M499" s="73">
        <f>IFERROR((Tabla22[[#This Row],[Base price1]]-LOOKUP(Tabla22[[#This Row],[Product]],$R$18:$R$23,$S$18:$S$23))*Tabla22[[#This Row],[Req.]],0)</f>
        <v>0</v>
      </c>
      <c r="N499" s="73">
        <f>IF(Tabla22[[#This Row],[Req.2]]&gt;0,(Tabla22[[#This Row],[Base price2]]-LOOKUP(Tabla22[[#This Row],[Product2]],$R$18:$R$23,$S$18:$S$23))*Tabla22[[#This Row],[Req.2]],0)</f>
        <v>0</v>
      </c>
      <c r="O499" s="73">
        <f>SUM(Tabla22[[#This Row],[Bonus1]:[p2]])</f>
        <v>0</v>
      </c>
      <c r="P499" s="73" t="str">
        <f>IF(Tabla22[[#This Row],[QualityBonus]]&gt;0,Tabla22[[#This Row],[No wages]]-$C$4,"")</f>
        <v/>
      </c>
    </row>
    <row r="500" spans="1:16" x14ac:dyDescent="0.25">
      <c r="A500" s="13">
        <v>484</v>
      </c>
      <c r="B500" s="13" t="s">
        <v>13</v>
      </c>
      <c r="C500" s="66"/>
      <c r="D500" s="2"/>
      <c r="E500" s="73"/>
      <c r="G500" s="2"/>
      <c r="H500" s="73"/>
      <c r="I500" s="5"/>
      <c r="J500" s="74">
        <f>Tabla22[[#This Row],[Base price1]]*Tabla22[[#This Row],[Req.]]+Tabla22[[#This Row],[Base price2]]*Tabla22[[#This Row],[Req.2]]</f>
        <v>0</v>
      </c>
      <c r="K500" s="73">
        <f>IFERROR(LOOKUP(Tabla22[[#This Row],[Product]],$R$18:$R$23,$T$18:$T$23)*Tabla22[[#This Row],[QualityBonus]]*Tabla22[[#This Row],[Base price1]]*Tabla22[[#This Row],[Req.]],0)</f>
        <v>0</v>
      </c>
      <c r="L500" s="73">
        <f>IF(Tabla22[[#This Row],[Req.2]]&gt;0,LOOKUP(Tabla22[[#This Row],[Product2]],$R$18:$R$23,$T$18:$T$23)*Tabla22[[#This Row],[Base price2]]*Tabla22[[#This Row],[Req.2]]*Tabla22[[#This Row],[QualityBonus]],0)</f>
        <v>0</v>
      </c>
      <c r="M500" s="73">
        <f>IFERROR((Tabla22[[#This Row],[Base price1]]-LOOKUP(Tabla22[[#This Row],[Product]],$R$18:$R$23,$S$18:$S$23))*Tabla22[[#This Row],[Req.]],0)</f>
        <v>0</v>
      </c>
      <c r="N500" s="73">
        <f>IF(Tabla22[[#This Row],[Req.2]]&gt;0,(Tabla22[[#This Row],[Base price2]]-LOOKUP(Tabla22[[#This Row],[Product2]],$R$18:$R$23,$S$18:$S$23))*Tabla22[[#This Row],[Req.2]],0)</f>
        <v>0</v>
      </c>
      <c r="O500" s="73">
        <f>SUM(Tabla22[[#This Row],[Bonus1]:[p2]])</f>
        <v>0</v>
      </c>
      <c r="P500" s="73" t="str">
        <f>IF(Tabla22[[#This Row],[QualityBonus]]&gt;0,Tabla22[[#This Row],[No wages]]-$C$4,"")</f>
        <v/>
      </c>
    </row>
    <row r="501" spans="1:16" x14ac:dyDescent="0.25">
      <c r="A501" s="13">
        <v>485</v>
      </c>
      <c r="B501" s="13" t="s">
        <v>13</v>
      </c>
      <c r="C501" s="66"/>
      <c r="D501" s="2"/>
      <c r="E501" s="73"/>
      <c r="G501" s="2"/>
      <c r="H501" s="73"/>
      <c r="I501" s="5"/>
      <c r="J501" s="74">
        <f>Tabla22[[#This Row],[Base price1]]*Tabla22[[#This Row],[Req.]]+Tabla22[[#This Row],[Base price2]]*Tabla22[[#This Row],[Req.2]]</f>
        <v>0</v>
      </c>
      <c r="K501" s="73">
        <f>IFERROR(LOOKUP(Tabla22[[#This Row],[Product]],$R$18:$R$23,$T$18:$T$23)*Tabla22[[#This Row],[QualityBonus]]*Tabla22[[#This Row],[Base price1]]*Tabla22[[#This Row],[Req.]],0)</f>
        <v>0</v>
      </c>
      <c r="L501" s="73">
        <f>IF(Tabla22[[#This Row],[Req.2]]&gt;0,LOOKUP(Tabla22[[#This Row],[Product2]],$R$18:$R$23,$T$18:$T$23)*Tabla22[[#This Row],[Base price2]]*Tabla22[[#This Row],[Req.2]]*Tabla22[[#This Row],[QualityBonus]],0)</f>
        <v>0</v>
      </c>
      <c r="M501" s="73">
        <f>IFERROR((Tabla22[[#This Row],[Base price1]]-LOOKUP(Tabla22[[#This Row],[Product]],$R$18:$R$23,$S$18:$S$23))*Tabla22[[#This Row],[Req.]],0)</f>
        <v>0</v>
      </c>
      <c r="N501" s="73">
        <f>IF(Tabla22[[#This Row],[Req.2]]&gt;0,(Tabla22[[#This Row],[Base price2]]-LOOKUP(Tabla22[[#This Row],[Product2]],$R$18:$R$23,$S$18:$S$23))*Tabla22[[#This Row],[Req.2]],0)</f>
        <v>0</v>
      </c>
      <c r="O501" s="73">
        <f>SUM(Tabla22[[#This Row],[Bonus1]:[p2]])</f>
        <v>0</v>
      </c>
      <c r="P501" s="73" t="str">
        <f>IF(Tabla22[[#This Row],[QualityBonus]]&gt;0,Tabla22[[#This Row],[No wages]]-$C$4,"")</f>
        <v/>
      </c>
    </row>
    <row r="502" spans="1:16" x14ac:dyDescent="0.25">
      <c r="A502" s="13">
        <v>486</v>
      </c>
      <c r="B502" s="13" t="s">
        <v>13</v>
      </c>
      <c r="C502" s="66"/>
      <c r="D502" s="2"/>
      <c r="E502" s="73"/>
      <c r="G502" s="2"/>
      <c r="H502" s="73"/>
      <c r="I502" s="5"/>
      <c r="J502" s="74">
        <f>Tabla22[[#This Row],[Base price1]]*Tabla22[[#This Row],[Req.]]+Tabla22[[#This Row],[Base price2]]*Tabla22[[#This Row],[Req.2]]</f>
        <v>0</v>
      </c>
      <c r="K502" s="73">
        <f>IFERROR(LOOKUP(Tabla22[[#This Row],[Product]],$R$18:$R$23,$T$18:$T$23)*Tabla22[[#This Row],[QualityBonus]]*Tabla22[[#This Row],[Base price1]]*Tabla22[[#This Row],[Req.]],0)</f>
        <v>0</v>
      </c>
      <c r="L502" s="73">
        <f>IF(Tabla22[[#This Row],[Req.2]]&gt;0,LOOKUP(Tabla22[[#This Row],[Product2]],$R$18:$R$23,$T$18:$T$23)*Tabla22[[#This Row],[Base price2]]*Tabla22[[#This Row],[Req.2]]*Tabla22[[#This Row],[QualityBonus]],0)</f>
        <v>0</v>
      </c>
      <c r="M502" s="73">
        <f>IFERROR((Tabla22[[#This Row],[Base price1]]-LOOKUP(Tabla22[[#This Row],[Product]],$R$18:$R$23,$S$18:$S$23))*Tabla22[[#This Row],[Req.]],0)</f>
        <v>0</v>
      </c>
      <c r="N502" s="73">
        <f>IF(Tabla22[[#This Row],[Req.2]]&gt;0,(Tabla22[[#This Row],[Base price2]]-LOOKUP(Tabla22[[#This Row],[Product2]],$R$18:$R$23,$S$18:$S$23))*Tabla22[[#This Row],[Req.2]],0)</f>
        <v>0</v>
      </c>
      <c r="O502" s="73">
        <f>SUM(Tabla22[[#This Row],[Bonus1]:[p2]])</f>
        <v>0</v>
      </c>
      <c r="P502" s="73" t="str">
        <f>IF(Tabla22[[#This Row],[QualityBonus]]&gt;0,Tabla22[[#This Row],[No wages]]-$C$4,"")</f>
        <v/>
      </c>
    </row>
    <row r="503" spans="1:16" x14ac:dyDescent="0.25">
      <c r="A503" s="13">
        <v>487</v>
      </c>
      <c r="B503" s="13" t="s">
        <v>13</v>
      </c>
      <c r="C503" s="66"/>
      <c r="D503" s="2"/>
      <c r="E503" s="73"/>
      <c r="G503" s="2"/>
      <c r="H503" s="73"/>
      <c r="I503" s="5"/>
      <c r="J503" s="74">
        <f>Tabla22[[#This Row],[Base price1]]*Tabla22[[#This Row],[Req.]]+Tabla22[[#This Row],[Base price2]]*Tabla22[[#This Row],[Req.2]]</f>
        <v>0</v>
      </c>
      <c r="K503" s="73">
        <f>IFERROR(LOOKUP(Tabla22[[#This Row],[Product]],$R$18:$R$23,$T$18:$T$23)*Tabla22[[#This Row],[QualityBonus]]*Tabla22[[#This Row],[Base price1]]*Tabla22[[#This Row],[Req.]],0)</f>
        <v>0</v>
      </c>
      <c r="L503" s="73">
        <f>IF(Tabla22[[#This Row],[Req.2]]&gt;0,LOOKUP(Tabla22[[#This Row],[Product2]],$R$18:$R$23,$T$18:$T$23)*Tabla22[[#This Row],[Base price2]]*Tabla22[[#This Row],[Req.2]]*Tabla22[[#This Row],[QualityBonus]],0)</f>
        <v>0</v>
      </c>
      <c r="M503" s="73">
        <f>IFERROR((Tabla22[[#This Row],[Base price1]]-LOOKUP(Tabla22[[#This Row],[Product]],$R$18:$R$23,$S$18:$S$23))*Tabla22[[#This Row],[Req.]],0)</f>
        <v>0</v>
      </c>
      <c r="N503" s="73">
        <f>IF(Tabla22[[#This Row],[Req.2]]&gt;0,(Tabla22[[#This Row],[Base price2]]-LOOKUP(Tabla22[[#This Row],[Product2]],$R$18:$R$23,$S$18:$S$23))*Tabla22[[#This Row],[Req.2]],0)</f>
        <v>0</v>
      </c>
      <c r="O503" s="73">
        <f>SUM(Tabla22[[#This Row],[Bonus1]:[p2]])</f>
        <v>0</v>
      </c>
      <c r="P503" s="73" t="str">
        <f>IF(Tabla22[[#This Row],[QualityBonus]]&gt;0,Tabla22[[#This Row],[No wages]]-$C$4,"")</f>
        <v/>
      </c>
    </row>
    <row r="504" spans="1:16" x14ac:dyDescent="0.25">
      <c r="A504" s="13">
        <v>488</v>
      </c>
      <c r="B504" s="13" t="s">
        <v>13</v>
      </c>
      <c r="C504" s="66"/>
      <c r="D504" s="2"/>
      <c r="E504" s="73"/>
      <c r="G504" s="2"/>
      <c r="H504" s="73"/>
      <c r="I504" s="5"/>
      <c r="J504" s="74">
        <f>Tabla22[[#This Row],[Base price1]]*Tabla22[[#This Row],[Req.]]+Tabla22[[#This Row],[Base price2]]*Tabla22[[#This Row],[Req.2]]</f>
        <v>0</v>
      </c>
      <c r="K504" s="73">
        <f>IFERROR(LOOKUP(Tabla22[[#This Row],[Product]],$R$18:$R$23,$T$18:$T$23)*Tabla22[[#This Row],[QualityBonus]]*Tabla22[[#This Row],[Base price1]]*Tabla22[[#This Row],[Req.]],0)</f>
        <v>0</v>
      </c>
      <c r="L504" s="73">
        <f>IF(Tabla22[[#This Row],[Req.2]]&gt;0,LOOKUP(Tabla22[[#This Row],[Product2]],$R$18:$R$23,$T$18:$T$23)*Tabla22[[#This Row],[Base price2]]*Tabla22[[#This Row],[Req.2]]*Tabla22[[#This Row],[QualityBonus]],0)</f>
        <v>0</v>
      </c>
      <c r="M504" s="73">
        <f>IFERROR((Tabla22[[#This Row],[Base price1]]-LOOKUP(Tabla22[[#This Row],[Product]],$R$18:$R$23,$S$18:$S$23))*Tabla22[[#This Row],[Req.]],0)</f>
        <v>0</v>
      </c>
      <c r="N504" s="73">
        <f>IF(Tabla22[[#This Row],[Req.2]]&gt;0,(Tabla22[[#This Row],[Base price2]]-LOOKUP(Tabla22[[#This Row],[Product2]],$R$18:$R$23,$S$18:$S$23))*Tabla22[[#This Row],[Req.2]],0)</f>
        <v>0</v>
      </c>
      <c r="O504" s="73">
        <f>SUM(Tabla22[[#This Row],[Bonus1]:[p2]])</f>
        <v>0</v>
      </c>
      <c r="P504" s="73" t="str">
        <f>IF(Tabla22[[#This Row],[QualityBonus]]&gt;0,Tabla22[[#This Row],[No wages]]-$C$4,"")</f>
        <v/>
      </c>
    </row>
    <row r="505" spans="1:16" x14ac:dyDescent="0.25">
      <c r="A505" s="13">
        <v>489</v>
      </c>
      <c r="B505" s="13" t="s">
        <v>13</v>
      </c>
      <c r="C505" s="66"/>
      <c r="D505" s="2"/>
      <c r="E505" s="73"/>
      <c r="G505" s="2"/>
      <c r="H505" s="73"/>
      <c r="I505" s="5"/>
      <c r="J505" s="74">
        <f>Tabla22[[#This Row],[Base price1]]*Tabla22[[#This Row],[Req.]]+Tabla22[[#This Row],[Base price2]]*Tabla22[[#This Row],[Req.2]]</f>
        <v>0</v>
      </c>
      <c r="K505" s="73">
        <f>IFERROR(LOOKUP(Tabla22[[#This Row],[Product]],$R$18:$R$23,$T$18:$T$23)*Tabla22[[#This Row],[QualityBonus]]*Tabla22[[#This Row],[Base price1]]*Tabla22[[#This Row],[Req.]],0)</f>
        <v>0</v>
      </c>
      <c r="L505" s="73">
        <f>IF(Tabla22[[#This Row],[Req.2]]&gt;0,LOOKUP(Tabla22[[#This Row],[Product2]],$R$18:$R$23,$T$18:$T$23)*Tabla22[[#This Row],[Base price2]]*Tabla22[[#This Row],[Req.2]]*Tabla22[[#This Row],[QualityBonus]],0)</f>
        <v>0</v>
      </c>
      <c r="M505" s="73">
        <f>IFERROR((Tabla22[[#This Row],[Base price1]]-LOOKUP(Tabla22[[#This Row],[Product]],$R$18:$R$23,$S$18:$S$23))*Tabla22[[#This Row],[Req.]],0)</f>
        <v>0</v>
      </c>
      <c r="N505" s="73">
        <f>IF(Tabla22[[#This Row],[Req.2]]&gt;0,(Tabla22[[#This Row],[Base price2]]-LOOKUP(Tabla22[[#This Row],[Product2]],$R$18:$R$23,$S$18:$S$23))*Tabla22[[#This Row],[Req.2]],0)</f>
        <v>0</v>
      </c>
      <c r="O505" s="73">
        <f>SUM(Tabla22[[#This Row],[Bonus1]:[p2]])</f>
        <v>0</v>
      </c>
      <c r="P505" s="73" t="str">
        <f>IF(Tabla22[[#This Row],[QualityBonus]]&gt;0,Tabla22[[#This Row],[No wages]]-$C$4,"")</f>
        <v/>
      </c>
    </row>
    <row r="506" spans="1:16" x14ac:dyDescent="0.25">
      <c r="A506" s="13">
        <v>490</v>
      </c>
      <c r="B506" s="13" t="s">
        <v>13</v>
      </c>
      <c r="C506" s="66"/>
      <c r="D506" s="2"/>
      <c r="E506" s="73"/>
      <c r="G506" s="2"/>
      <c r="H506" s="73"/>
      <c r="I506" s="5"/>
      <c r="J506" s="74">
        <f>Tabla22[[#This Row],[Base price1]]*Tabla22[[#This Row],[Req.]]+Tabla22[[#This Row],[Base price2]]*Tabla22[[#This Row],[Req.2]]</f>
        <v>0</v>
      </c>
      <c r="K506" s="73">
        <f>IFERROR(LOOKUP(Tabla22[[#This Row],[Product]],$R$18:$R$23,$T$18:$T$23)*Tabla22[[#This Row],[QualityBonus]]*Tabla22[[#This Row],[Base price1]]*Tabla22[[#This Row],[Req.]],0)</f>
        <v>0</v>
      </c>
      <c r="L506" s="73">
        <f>IF(Tabla22[[#This Row],[Req.2]]&gt;0,LOOKUP(Tabla22[[#This Row],[Product2]],$R$18:$R$23,$T$18:$T$23)*Tabla22[[#This Row],[Base price2]]*Tabla22[[#This Row],[Req.2]]*Tabla22[[#This Row],[QualityBonus]],0)</f>
        <v>0</v>
      </c>
      <c r="M506" s="73">
        <f>IFERROR((Tabla22[[#This Row],[Base price1]]-LOOKUP(Tabla22[[#This Row],[Product]],$R$18:$R$23,$S$18:$S$23))*Tabla22[[#This Row],[Req.]],0)</f>
        <v>0</v>
      </c>
      <c r="N506" s="73">
        <f>IF(Tabla22[[#This Row],[Req.2]]&gt;0,(Tabla22[[#This Row],[Base price2]]-LOOKUP(Tabla22[[#This Row],[Product2]],$R$18:$R$23,$S$18:$S$23))*Tabla22[[#This Row],[Req.2]],0)</f>
        <v>0</v>
      </c>
      <c r="O506" s="73">
        <f>SUM(Tabla22[[#This Row],[Bonus1]:[p2]])</f>
        <v>0</v>
      </c>
      <c r="P506" s="73" t="str">
        <f>IF(Tabla22[[#This Row],[QualityBonus]]&gt;0,Tabla22[[#This Row],[No wages]]-$C$4,"")</f>
        <v/>
      </c>
    </row>
    <row r="507" spans="1:16" x14ac:dyDescent="0.25">
      <c r="A507" s="13">
        <v>491</v>
      </c>
      <c r="B507" s="13" t="s">
        <v>13</v>
      </c>
      <c r="C507" s="66"/>
      <c r="D507" s="2"/>
      <c r="E507" s="73"/>
      <c r="G507" s="2"/>
      <c r="H507" s="73"/>
      <c r="I507" s="5"/>
      <c r="J507" s="74">
        <f>Tabla22[[#This Row],[Base price1]]*Tabla22[[#This Row],[Req.]]+Tabla22[[#This Row],[Base price2]]*Tabla22[[#This Row],[Req.2]]</f>
        <v>0</v>
      </c>
      <c r="K507" s="73">
        <f>IFERROR(LOOKUP(Tabla22[[#This Row],[Product]],$R$18:$R$23,$T$18:$T$23)*Tabla22[[#This Row],[QualityBonus]]*Tabla22[[#This Row],[Base price1]]*Tabla22[[#This Row],[Req.]],0)</f>
        <v>0</v>
      </c>
      <c r="L507" s="73">
        <f>IF(Tabla22[[#This Row],[Req.2]]&gt;0,LOOKUP(Tabla22[[#This Row],[Product2]],$R$18:$R$23,$T$18:$T$23)*Tabla22[[#This Row],[Base price2]]*Tabla22[[#This Row],[Req.2]]*Tabla22[[#This Row],[QualityBonus]],0)</f>
        <v>0</v>
      </c>
      <c r="M507" s="73">
        <f>IFERROR((Tabla22[[#This Row],[Base price1]]-LOOKUP(Tabla22[[#This Row],[Product]],$R$18:$R$23,$S$18:$S$23))*Tabla22[[#This Row],[Req.]],0)</f>
        <v>0</v>
      </c>
      <c r="N507" s="73">
        <f>IF(Tabla22[[#This Row],[Req.2]]&gt;0,(Tabla22[[#This Row],[Base price2]]-LOOKUP(Tabla22[[#This Row],[Product2]],$R$18:$R$23,$S$18:$S$23))*Tabla22[[#This Row],[Req.2]],0)</f>
        <v>0</v>
      </c>
      <c r="O507" s="73">
        <f>SUM(Tabla22[[#This Row],[Bonus1]:[p2]])</f>
        <v>0</v>
      </c>
      <c r="P507" s="73" t="str">
        <f>IF(Tabla22[[#This Row],[QualityBonus]]&gt;0,Tabla22[[#This Row],[No wages]]-$C$4,"")</f>
        <v/>
      </c>
    </row>
    <row r="508" spans="1:16" x14ac:dyDescent="0.25">
      <c r="A508" s="13">
        <v>492</v>
      </c>
      <c r="B508" s="13" t="s">
        <v>13</v>
      </c>
      <c r="C508" s="66"/>
      <c r="D508" s="2"/>
      <c r="E508" s="73"/>
      <c r="G508" s="2"/>
      <c r="H508" s="73"/>
      <c r="I508" s="5"/>
      <c r="J508" s="74">
        <f>Tabla22[[#This Row],[Base price1]]*Tabla22[[#This Row],[Req.]]+Tabla22[[#This Row],[Base price2]]*Tabla22[[#This Row],[Req.2]]</f>
        <v>0</v>
      </c>
      <c r="K508" s="73">
        <f>IFERROR(LOOKUP(Tabla22[[#This Row],[Product]],$R$18:$R$23,$T$18:$T$23)*Tabla22[[#This Row],[QualityBonus]]*Tabla22[[#This Row],[Base price1]]*Tabla22[[#This Row],[Req.]],0)</f>
        <v>0</v>
      </c>
      <c r="L508" s="73">
        <f>IF(Tabla22[[#This Row],[Req.2]]&gt;0,LOOKUP(Tabla22[[#This Row],[Product2]],$R$18:$R$23,$T$18:$T$23)*Tabla22[[#This Row],[Base price2]]*Tabla22[[#This Row],[Req.2]]*Tabla22[[#This Row],[QualityBonus]],0)</f>
        <v>0</v>
      </c>
      <c r="M508" s="73">
        <f>IFERROR((Tabla22[[#This Row],[Base price1]]-LOOKUP(Tabla22[[#This Row],[Product]],$R$18:$R$23,$S$18:$S$23))*Tabla22[[#This Row],[Req.]],0)</f>
        <v>0</v>
      </c>
      <c r="N508" s="73">
        <f>IF(Tabla22[[#This Row],[Req.2]]&gt;0,(Tabla22[[#This Row],[Base price2]]-LOOKUP(Tabla22[[#This Row],[Product2]],$R$18:$R$23,$S$18:$S$23))*Tabla22[[#This Row],[Req.2]],0)</f>
        <v>0</v>
      </c>
      <c r="O508" s="73">
        <f>SUM(Tabla22[[#This Row],[Bonus1]:[p2]])</f>
        <v>0</v>
      </c>
      <c r="P508" s="73" t="str">
        <f>IF(Tabla22[[#This Row],[QualityBonus]]&gt;0,Tabla22[[#This Row],[No wages]]-$C$4,"")</f>
        <v/>
      </c>
    </row>
    <row r="509" spans="1:16" x14ac:dyDescent="0.25">
      <c r="A509" s="13">
        <v>493</v>
      </c>
      <c r="B509" s="13" t="s">
        <v>13</v>
      </c>
      <c r="C509" s="66"/>
      <c r="D509" s="2"/>
      <c r="E509" s="73"/>
      <c r="G509" s="2"/>
      <c r="H509" s="73"/>
      <c r="I509" s="5"/>
      <c r="J509" s="74">
        <f>Tabla22[[#This Row],[Base price1]]*Tabla22[[#This Row],[Req.]]+Tabla22[[#This Row],[Base price2]]*Tabla22[[#This Row],[Req.2]]</f>
        <v>0</v>
      </c>
      <c r="K509" s="73">
        <f>IFERROR(LOOKUP(Tabla22[[#This Row],[Product]],$R$18:$R$23,$T$18:$T$23)*Tabla22[[#This Row],[QualityBonus]]*Tabla22[[#This Row],[Base price1]]*Tabla22[[#This Row],[Req.]],0)</f>
        <v>0</v>
      </c>
      <c r="L509" s="73">
        <f>IF(Tabla22[[#This Row],[Req.2]]&gt;0,LOOKUP(Tabla22[[#This Row],[Product2]],$R$18:$R$23,$T$18:$T$23)*Tabla22[[#This Row],[Base price2]]*Tabla22[[#This Row],[Req.2]]*Tabla22[[#This Row],[QualityBonus]],0)</f>
        <v>0</v>
      </c>
      <c r="M509" s="73">
        <f>IFERROR((Tabla22[[#This Row],[Base price1]]-LOOKUP(Tabla22[[#This Row],[Product]],$R$18:$R$23,$S$18:$S$23))*Tabla22[[#This Row],[Req.]],0)</f>
        <v>0</v>
      </c>
      <c r="N509" s="73">
        <f>IF(Tabla22[[#This Row],[Req.2]]&gt;0,(Tabla22[[#This Row],[Base price2]]-LOOKUP(Tabla22[[#This Row],[Product2]],$R$18:$R$23,$S$18:$S$23))*Tabla22[[#This Row],[Req.2]],0)</f>
        <v>0</v>
      </c>
      <c r="O509" s="73">
        <f>SUM(Tabla22[[#This Row],[Bonus1]:[p2]])</f>
        <v>0</v>
      </c>
      <c r="P509" s="73" t="str">
        <f>IF(Tabla22[[#This Row],[QualityBonus]]&gt;0,Tabla22[[#This Row],[No wages]]-$C$4,"")</f>
        <v/>
      </c>
    </row>
    <row r="510" spans="1:16" x14ac:dyDescent="0.25">
      <c r="A510" s="13">
        <v>494</v>
      </c>
      <c r="B510" s="13" t="s">
        <v>13</v>
      </c>
      <c r="C510" s="66"/>
      <c r="D510" s="2"/>
      <c r="E510" s="73"/>
      <c r="G510" s="2"/>
      <c r="H510" s="73"/>
      <c r="I510" s="5"/>
      <c r="J510" s="74">
        <f>Tabla22[[#This Row],[Base price1]]*Tabla22[[#This Row],[Req.]]+Tabla22[[#This Row],[Base price2]]*Tabla22[[#This Row],[Req.2]]</f>
        <v>0</v>
      </c>
      <c r="K510" s="73">
        <f>IFERROR(LOOKUP(Tabla22[[#This Row],[Product]],$R$18:$R$23,$T$18:$T$23)*Tabla22[[#This Row],[QualityBonus]]*Tabla22[[#This Row],[Base price1]]*Tabla22[[#This Row],[Req.]],0)</f>
        <v>0</v>
      </c>
      <c r="L510" s="73">
        <f>IF(Tabla22[[#This Row],[Req.2]]&gt;0,LOOKUP(Tabla22[[#This Row],[Product2]],$R$18:$R$23,$T$18:$T$23)*Tabla22[[#This Row],[Base price2]]*Tabla22[[#This Row],[Req.2]]*Tabla22[[#This Row],[QualityBonus]],0)</f>
        <v>0</v>
      </c>
      <c r="M510" s="73">
        <f>IFERROR((Tabla22[[#This Row],[Base price1]]-LOOKUP(Tabla22[[#This Row],[Product]],$R$18:$R$23,$S$18:$S$23))*Tabla22[[#This Row],[Req.]],0)</f>
        <v>0</v>
      </c>
      <c r="N510" s="73">
        <f>IF(Tabla22[[#This Row],[Req.2]]&gt;0,(Tabla22[[#This Row],[Base price2]]-LOOKUP(Tabla22[[#This Row],[Product2]],$R$18:$R$23,$S$18:$S$23))*Tabla22[[#This Row],[Req.2]],0)</f>
        <v>0</v>
      </c>
      <c r="O510" s="73">
        <f>SUM(Tabla22[[#This Row],[Bonus1]:[p2]])</f>
        <v>0</v>
      </c>
      <c r="P510" s="73" t="str">
        <f>IF(Tabla22[[#This Row],[QualityBonus]]&gt;0,Tabla22[[#This Row],[No wages]]-$C$4,"")</f>
        <v/>
      </c>
    </row>
    <row r="511" spans="1:16" x14ac:dyDescent="0.25">
      <c r="A511" s="13">
        <v>495</v>
      </c>
      <c r="B511" s="13" t="s">
        <v>13</v>
      </c>
      <c r="C511" s="66"/>
      <c r="D511" s="2"/>
      <c r="E511" s="73"/>
      <c r="G511" s="2"/>
      <c r="H511" s="73"/>
      <c r="I511" s="5"/>
      <c r="J511" s="74">
        <f>Tabla22[[#This Row],[Base price1]]*Tabla22[[#This Row],[Req.]]+Tabla22[[#This Row],[Base price2]]*Tabla22[[#This Row],[Req.2]]</f>
        <v>0</v>
      </c>
      <c r="K511" s="73">
        <f>IFERROR(LOOKUP(Tabla22[[#This Row],[Product]],$R$18:$R$23,$T$18:$T$23)*Tabla22[[#This Row],[QualityBonus]]*Tabla22[[#This Row],[Base price1]]*Tabla22[[#This Row],[Req.]],0)</f>
        <v>0</v>
      </c>
      <c r="L511" s="73">
        <f>IF(Tabla22[[#This Row],[Req.2]]&gt;0,LOOKUP(Tabla22[[#This Row],[Product2]],$R$18:$R$23,$T$18:$T$23)*Tabla22[[#This Row],[Base price2]]*Tabla22[[#This Row],[Req.2]]*Tabla22[[#This Row],[QualityBonus]],0)</f>
        <v>0</v>
      </c>
      <c r="M511" s="73">
        <f>IFERROR((Tabla22[[#This Row],[Base price1]]-LOOKUP(Tabla22[[#This Row],[Product]],$R$18:$R$23,$S$18:$S$23))*Tabla22[[#This Row],[Req.]],0)</f>
        <v>0</v>
      </c>
      <c r="N511" s="73">
        <f>IF(Tabla22[[#This Row],[Req.2]]&gt;0,(Tabla22[[#This Row],[Base price2]]-LOOKUP(Tabla22[[#This Row],[Product2]],$R$18:$R$23,$S$18:$S$23))*Tabla22[[#This Row],[Req.2]],0)</f>
        <v>0</v>
      </c>
      <c r="O511" s="73">
        <f>SUM(Tabla22[[#This Row],[Bonus1]:[p2]])</f>
        <v>0</v>
      </c>
      <c r="P511" s="73" t="str">
        <f>IF(Tabla22[[#This Row],[QualityBonus]]&gt;0,Tabla22[[#This Row],[No wages]]-$C$4,"")</f>
        <v/>
      </c>
    </row>
    <row r="512" spans="1:16" x14ac:dyDescent="0.25">
      <c r="A512" s="13">
        <v>496</v>
      </c>
      <c r="B512" s="13" t="s">
        <v>13</v>
      </c>
      <c r="C512" s="66"/>
      <c r="D512" s="2"/>
      <c r="E512" s="73"/>
      <c r="G512" s="2"/>
      <c r="H512" s="73"/>
      <c r="I512" s="5"/>
      <c r="J512" s="74">
        <f>Tabla22[[#This Row],[Base price1]]*Tabla22[[#This Row],[Req.]]+Tabla22[[#This Row],[Base price2]]*Tabla22[[#This Row],[Req.2]]</f>
        <v>0</v>
      </c>
      <c r="K512" s="73">
        <f>IFERROR(LOOKUP(Tabla22[[#This Row],[Product]],$R$18:$R$23,$T$18:$T$23)*Tabla22[[#This Row],[QualityBonus]]*Tabla22[[#This Row],[Base price1]]*Tabla22[[#This Row],[Req.]],0)</f>
        <v>0</v>
      </c>
      <c r="L512" s="73">
        <f>IF(Tabla22[[#This Row],[Req.2]]&gt;0,LOOKUP(Tabla22[[#This Row],[Product2]],$R$18:$R$23,$T$18:$T$23)*Tabla22[[#This Row],[Base price2]]*Tabla22[[#This Row],[Req.2]]*Tabla22[[#This Row],[QualityBonus]],0)</f>
        <v>0</v>
      </c>
      <c r="M512" s="73">
        <f>IFERROR((Tabla22[[#This Row],[Base price1]]-LOOKUP(Tabla22[[#This Row],[Product]],$R$18:$R$23,$S$18:$S$23))*Tabla22[[#This Row],[Req.]],0)</f>
        <v>0</v>
      </c>
      <c r="N512" s="73">
        <f>IF(Tabla22[[#This Row],[Req.2]]&gt;0,(Tabla22[[#This Row],[Base price2]]-LOOKUP(Tabla22[[#This Row],[Product2]],$R$18:$R$23,$S$18:$S$23))*Tabla22[[#This Row],[Req.2]],0)</f>
        <v>0</v>
      </c>
      <c r="O512" s="73">
        <f>SUM(Tabla22[[#This Row],[Bonus1]:[p2]])</f>
        <v>0</v>
      </c>
      <c r="P512" s="73" t="str">
        <f>IF(Tabla22[[#This Row],[QualityBonus]]&gt;0,Tabla22[[#This Row],[No wages]]-$C$4,"")</f>
        <v/>
      </c>
    </row>
    <row r="513" spans="1:16" x14ac:dyDescent="0.25">
      <c r="A513" s="13">
        <v>497</v>
      </c>
      <c r="B513" s="13" t="s">
        <v>13</v>
      </c>
      <c r="C513" s="66"/>
      <c r="D513" s="2"/>
      <c r="E513" s="73"/>
      <c r="G513" s="2"/>
      <c r="H513" s="73"/>
      <c r="I513" s="5"/>
      <c r="J513" s="74">
        <f>Tabla22[[#This Row],[Base price1]]*Tabla22[[#This Row],[Req.]]+Tabla22[[#This Row],[Base price2]]*Tabla22[[#This Row],[Req.2]]</f>
        <v>0</v>
      </c>
      <c r="K513" s="73">
        <f>IFERROR(LOOKUP(Tabla22[[#This Row],[Product]],$R$18:$R$23,$T$18:$T$23)*Tabla22[[#This Row],[QualityBonus]]*Tabla22[[#This Row],[Base price1]]*Tabla22[[#This Row],[Req.]],0)</f>
        <v>0</v>
      </c>
      <c r="L513" s="73">
        <f>IF(Tabla22[[#This Row],[Req.2]]&gt;0,LOOKUP(Tabla22[[#This Row],[Product2]],$R$18:$R$23,$T$18:$T$23)*Tabla22[[#This Row],[Base price2]]*Tabla22[[#This Row],[Req.2]]*Tabla22[[#This Row],[QualityBonus]],0)</f>
        <v>0</v>
      </c>
      <c r="M513" s="73">
        <f>IFERROR((Tabla22[[#This Row],[Base price1]]-LOOKUP(Tabla22[[#This Row],[Product]],$R$18:$R$23,$S$18:$S$23))*Tabla22[[#This Row],[Req.]],0)</f>
        <v>0</v>
      </c>
      <c r="N513" s="73">
        <f>IF(Tabla22[[#This Row],[Req.2]]&gt;0,(Tabla22[[#This Row],[Base price2]]-LOOKUP(Tabla22[[#This Row],[Product2]],$R$18:$R$23,$S$18:$S$23))*Tabla22[[#This Row],[Req.2]],0)</f>
        <v>0</v>
      </c>
      <c r="O513" s="73">
        <f>SUM(Tabla22[[#This Row],[Bonus1]:[p2]])</f>
        <v>0</v>
      </c>
      <c r="P513" s="73" t="str">
        <f>IF(Tabla22[[#This Row],[QualityBonus]]&gt;0,Tabla22[[#This Row],[No wages]]-$C$4,"")</f>
        <v/>
      </c>
    </row>
    <row r="514" spans="1:16" x14ac:dyDescent="0.25">
      <c r="A514" s="13">
        <v>498</v>
      </c>
      <c r="B514" s="13" t="s">
        <v>13</v>
      </c>
      <c r="C514" s="66"/>
      <c r="D514" s="2"/>
      <c r="E514" s="73"/>
      <c r="G514" s="2"/>
      <c r="H514" s="73"/>
      <c r="I514" s="5"/>
      <c r="J514" s="74">
        <f>Tabla22[[#This Row],[Base price1]]*Tabla22[[#This Row],[Req.]]+Tabla22[[#This Row],[Base price2]]*Tabla22[[#This Row],[Req.2]]</f>
        <v>0</v>
      </c>
      <c r="K514" s="73">
        <f>IFERROR(LOOKUP(Tabla22[[#This Row],[Product]],$R$18:$R$23,$T$18:$T$23)*Tabla22[[#This Row],[QualityBonus]]*Tabla22[[#This Row],[Base price1]]*Tabla22[[#This Row],[Req.]],0)</f>
        <v>0</v>
      </c>
      <c r="L514" s="73">
        <f>IF(Tabla22[[#This Row],[Req.2]]&gt;0,LOOKUP(Tabla22[[#This Row],[Product2]],$R$18:$R$23,$T$18:$T$23)*Tabla22[[#This Row],[Base price2]]*Tabla22[[#This Row],[Req.2]]*Tabla22[[#This Row],[QualityBonus]],0)</f>
        <v>0</v>
      </c>
      <c r="M514" s="73">
        <f>IFERROR((Tabla22[[#This Row],[Base price1]]-LOOKUP(Tabla22[[#This Row],[Product]],$R$18:$R$23,$S$18:$S$23))*Tabla22[[#This Row],[Req.]],0)</f>
        <v>0</v>
      </c>
      <c r="N514" s="73">
        <f>IF(Tabla22[[#This Row],[Req.2]]&gt;0,(Tabla22[[#This Row],[Base price2]]-LOOKUP(Tabla22[[#This Row],[Product2]],$R$18:$R$23,$S$18:$S$23))*Tabla22[[#This Row],[Req.2]],0)</f>
        <v>0</v>
      </c>
      <c r="O514" s="73">
        <f>SUM(Tabla22[[#This Row],[Bonus1]:[p2]])</f>
        <v>0</v>
      </c>
      <c r="P514" s="73" t="str">
        <f>IF(Tabla22[[#This Row],[QualityBonus]]&gt;0,Tabla22[[#This Row],[No wages]]-$C$4,"")</f>
        <v/>
      </c>
    </row>
    <row r="515" spans="1:16" x14ac:dyDescent="0.25">
      <c r="A515" s="13">
        <v>499</v>
      </c>
      <c r="B515" s="13" t="s">
        <v>13</v>
      </c>
      <c r="C515" s="66"/>
      <c r="D515" s="2"/>
      <c r="E515" s="73"/>
      <c r="G515" s="2"/>
      <c r="H515" s="73"/>
      <c r="I515" s="5"/>
      <c r="J515" s="74">
        <f>Tabla22[[#This Row],[Base price1]]*Tabla22[[#This Row],[Req.]]+Tabla22[[#This Row],[Base price2]]*Tabla22[[#This Row],[Req.2]]</f>
        <v>0</v>
      </c>
      <c r="K515" s="73">
        <f>IFERROR(LOOKUP(Tabla22[[#This Row],[Product]],$R$18:$R$23,$T$18:$T$23)*Tabla22[[#This Row],[QualityBonus]]*Tabla22[[#This Row],[Base price1]]*Tabla22[[#This Row],[Req.]],0)</f>
        <v>0</v>
      </c>
      <c r="L515" s="73">
        <f>IF(Tabla22[[#This Row],[Req.2]]&gt;0,LOOKUP(Tabla22[[#This Row],[Product2]],$R$18:$R$23,$T$18:$T$23)*Tabla22[[#This Row],[Base price2]]*Tabla22[[#This Row],[Req.2]]*Tabla22[[#This Row],[QualityBonus]],0)</f>
        <v>0</v>
      </c>
      <c r="M515" s="73">
        <f>IFERROR((Tabla22[[#This Row],[Base price1]]-LOOKUP(Tabla22[[#This Row],[Product]],$R$18:$R$23,$S$18:$S$23))*Tabla22[[#This Row],[Req.]],0)</f>
        <v>0</v>
      </c>
      <c r="N515" s="73">
        <f>IF(Tabla22[[#This Row],[Req.2]]&gt;0,(Tabla22[[#This Row],[Base price2]]-LOOKUP(Tabla22[[#This Row],[Product2]],$R$18:$R$23,$S$18:$S$23))*Tabla22[[#This Row],[Req.2]],0)</f>
        <v>0</v>
      </c>
      <c r="O515" s="73">
        <f>SUM(Tabla22[[#This Row],[Bonus1]:[p2]])</f>
        <v>0</v>
      </c>
      <c r="P515" s="73" t="str">
        <f>IF(Tabla22[[#This Row],[QualityBonus]]&gt;0,Tabla22[[#This Row],[No wages]]-$C$4,"")</f>
        <v/>
      </c>
    </row>
    <row r="516" spans="1:16" x14ac:dyDescent="0.25">
      <c r="A516" s="13">
        <v>500</v>
      </c>
      <c r="B516" s="13" t="s">
        <v>13</v>
      </c>
      <c r="C516" s="66"/>
      <c r="D516" s="2"/>
      <c r="E516" s="73"/>
      <c r="G516" s="2"/>
      <c r="H516" s="73"/>
      <c r="I516" s="5"/>
      <c r="J516" s="74">
        <f>Tabla22[[#This Row],[Base price1]]*Tabla22[[#This Row],[Req.]]+Tabla22[[#This Row],[Base price2]]*Tabla22[[#This Row],[Req.2]]</f>
        <v>0</v>
      </c>
      <c r="K516" s="73">
        <f>IFERROR(LOOKUP(Tabla22[[#This Row],[Product]],$R$18:$R$23,$T$18:$T$23)*Tabla22[[#This Row],[QualityBonus]]*Tabla22[[#This Row],[Base price1]]*Tabla22[[#This Row],[Req.]],0)</f>
        <v>0</v>
      </c>
      <c r="L516" s="73">
        <f>IF(Tabla22[[#This Row],[Req.2]]&gt;0,LOOKUP(Tabla22[[#This Row],[Product2]],$R$18:$R$23,$T$18:$T$23)*Tabla22[[#This Row],[Base price2]]*Tabla22[[#This Row],[Req.2]]*Tabla22[[#This Row],[QualityBonus]],0)</f>
        <v>0</v>
      </c>
      <c r="M516" s="73">
        <f>IFERROR((Tabla22[[#This Row],[Base price1]]-LOOKUP(Tabla22[[#This Row],[Product]],$R$18:$R$23,$S$18:$S$23))*Tabla22[[#This Row],[Req.]],0)</f>
        <v>0</v>
      </c>
      <c r="N516" s="73">
        <f>IF(Tabla22[[#This Row],[Req.2]]&gt;0,(Tabla22[[#This Row],[Base price2]]-LOOKUP(Tabla22[[#This Row],[Product2]],$R$18:$R$23,$S$18:$S$23))*Tabla22[[#This Row],[Req.2]],0)</f>
        <v>0</v>
      </c>
      <c r="O516" s="73">
        <f>SUM(Tabla22[[#This Row],[Bonus1]:[p2]])</f>
        <v>0</v>
      </c>
      <c r="P516" s="73" t="str">
        <f>IF(Tabla22[[#This Row],[QualityBonus]]&gt;0,Tabla22[[#This Row],[No wages]]-$C$4,"")</f>
        <v/>
      </c>
    </row>
    <row r="517" spans="1:16" x14ac:dyDescent="0.25">
      <c r="A517" s="13">
        <v>501</v>
      </c>
      <c r="B517" s="13" t="s">
        <v>13</v>
      </c>
      <c r="C517" s="66"/>
      <c r="D517" s="2"/>
      <c r="E517" s="73"/>
      <c r="G517" s="2"/>
      <c r="H517" s="73"/>
      <c r="I517" s="5"/>
      <c r="J517" s="74">
        <f>Tabla22[[#This Row],[Base price1]]*Tabla22[[#This Row],[Req.]]+Tabla22[[#This Row],[Base price2]]*Tabla22[[#This Row],[Req.2]]</f>
        <v>0</v>
      </c>
      <c r="K517" s="73">
        <f>IFERROR(LOOKUP(Tabla22[[#This Row],[Product]],$R$18:$R$23,$T$18:$T$23)*Tabla22[[#This Row],[QualityBonus]]*Tabla22[[#This Row],[Base price1]]*Tabla22[[#This Row],[Req.]],0)</f>
        <v>0</v>
      </c>
      <c r="L517" s="73">
        <f>IF(Tabla22[[#This Row],[Req.2]]&gt;0,LOOKUP(Tabla22[[#This Row],[Product2]],$R$18:$R$23,$T$18:$T$23)*Tabla22[[#This Row],[Base price2]]*Tabla22[[#This Row],[Req.2]]*Tabla22[[#This Row],[QualityBonus]],0)</f>
        <v>0</v>
      </c>
      <c r="M517" s="73">
        <f>IFERROR((Tabla22[[#This Row],[Base price1]]-LOOKUP(Tabla22[[#This Row],[Product]],$R$18:$R$23,$S$18:$S$23))*Tabla22[[#This Row],[Req.]],0)</f>
        <v>0</v>
      </c>
      <c r="N517" s="73">
        <f>IF(Tabla22[[#This Row],[Req.2]]&gt;0,(Tabla22[[#This Row],[Base price2]]-LOOKUP(Tabla22[[#This Row],[Product2]],$R$18:$R$23,$S$18:$S$23))*Tabla22[[#This Row],[Req.2]],0)</f>
        <v>0</v>
      </c>
      <c r="O517" s="73">
        <f>SUM(Tabla22[[#This Row],[Bonus1]:[p2]])</f>
        <v>0</v>
      </c>
      <c r="P517" s="73" t="str">
        <f>IF(Tabla22[[#This Row],[QualityBonus]]&gt;0,Tabla22[[#This Row],[No wages]]-$C$4,"")</f>
        <v/>
      </c>
    </row>
    <row r="518" spans="1:16" x14ac:dyDescent="0.25">
      <c r="A518" s="13">
        <v>502</v>
      </c>
      <c r="B518" s="13" t="s">
        <v>13</v>
      </c>
      <c r="C518" s="66"/>
      <c r="D518" s="2"/>
      <c r="E518" s="73"/>
      <c r="G518" s="2"/>
      <c r="H518" s="73"/>
      <c r="I518" s="5"/>
      <c r="J518" s="74">
        <f>Tabla22[[#This Row],[Base price1]]*Tabla22[[#This Row],[Req.]]+Tabla22[[#This Row],[Base price2]]*Tabla22[[#This Row],[Req.2]]</f>
        <v>0</v>
      </c>
      <c r="K518" s="73">
        <f>IFERROR(LOOKUP(Tabla22[[#This Row],[Product]],$R$18:$R$23,$T$18:$T$23)*Tabla22[[#This Row],[QualityBonus]]*Tabla22[[#This Row],[Base price1]]*Tabla22[[#This Row],[Req.]],0)</f>
        <v>0</v>
      </c>
      <c r="L518" s="73">
        <f>IF(Tabla22[[#This Row],[Req.2]]&gt;0,LOOKUP(Tabla22[[#This Row],[Product2]],$R$18:$R$23,$T$18:$T$23)*Tabla22[[#This Row],[Base price2]]*Tabla22[[#This Row],[Req.2]]*Tabla22[[#This Row],[QualityBonus]],0)</f>
        <v>0</v>
      </c>
      <c r="M518" s="73">
        <f>IFERROR((Tabla22[[#This Row],[Base price1]]-LOOKUP(Tabla22[[#This Row],[Product]],$R$18:$R$23,$S$18:$S$23))*Tabla22[[#This Row],[Req.]],0)</f>
        <v>0</v>
      </c>
      <c r="N518" s="73">
        <f>IF(Tabla22[[#This Row],[Req.2]]&gt;0,(Tabla22[[#This Row],[Base price2]]-LOOKUP(Tabla22[[#This Row],[Product2]],$R$18:$R$23,$S$18:$S$23))*Tabla22[[#This Row],[Req.2]],0)</f>
        <v>0</v>
      </c>
      <c r="O518" s="73">
        <f>SUM(Tabla22[[#This Row],[Bonus1]:[p2]])</f>
        <v>0</v>
      </c>
      <c r="P518" s="73" t="str">
        <f>IF(Tabla22[[#This Row],[QualityBonus]]&gt;0,Tabla22[[#This Row],[No wages]]-$C$4,"")</f>
        <v/>
      </c>
    </row>
    <row r="519" spans="1:16" x14ac:dyDescent="0.25">
      <c r="A519" s="13">
        <v>503</v>
      </c>
      <c r="B519" s="13" t="s">
        <v>13</v>
      </c>
      <c r="C519" s="66"/>
      <c r="D519" s="2"/>
      <c r="E519" s="73"/>
      <c r="G519" s="2"/>
      <c r="H519" s="73"/>
      <c r="I519" s="5"/>
      <c r="J519" s="74">
        <f>Tabla22[[#This Row],[Base price1]]*Tabla22[[#This Row],[Req.]]+Tabla22[[#This Row],[Base price2]]*Tabla22[[#This Row],[Req.2]]</f>
        <v>0</v>
      </c>
      <c r="K519" s="73">
        <f>IFERROR(LOOKUP(Tabla22[[#This Row],[Product]],$R$18:$R$23,$T$18:$T$23)*Tabla22[[#This Row],[QualityBonus]]*Tabla22[[#This Row],[Base price1]]*Tabla22[[#This Row],[Req.]],0)</f>
        <v>0</v>
      </c>
      <c r="L519" s="73">
        <f>IF(Tabla22[[#This Row],[Req.2]]&gt;0,LOOKUP(Tabla22[[#This Row],[Product2]],$R$18:$R$23,$T$18:$T$23)*Tabla22[[#This Row],[Base price2]]*Tabla22[[#This Row],[Req.2]]*Tabla22[[#This Row],[QualityBonus]],0)</f>
        <v>0</v>
      </c>
      <c r="M519" s="73">
        <f>IFERROR((Tabla22[[#This Row],[Base price1]]-LOOKUP(Tabla22[[#This Row],[Product]],$R$18:$R$23,$S$18:$S$23))*Tabla22[[#This Row],[Req.]],0)</f>
        <v>0</v>
      </c>
      <c r="N519" s="73">
        <f>IF(Tabla22[[#This Row],[Req.2]]&gt;0,(Tabla22[[#This Row],[Base price2]]-LOOKUP(Tabla22[[#This Row],[Product2]],$R$18:$R$23,$S$18:$S$23))*Tabla22[[#This Row],[Req.2]],0)</f>
        <v>0</v>
      </c>
      <c r="O519" s="73">
        <f>SUM(Tabla22[[#This Row],[Bonus1]:[p2]])</f>
        <v>0</v>
      </c>
      <c r="P519" s="73" t="str">
        <f>IF(Tabla22[[#This Row],[QualityBonus]]&gt;0,Tabla22[[#This Row],[No wages]]-$C$4,"")</f>
        <v/>
      </c>
    </row>
  </sheetData>
  <mergeCells count="8">
    <mergeCell ref="R26:U26"/>
    <mergeCell ref="R35:U35"/>
    <mergeCell ref="W3:AD3"/>
    <mergeCell ref="D15:F15"/>
    <mergeCell ref="G15:I15"/>
    <mergeCell ref="F3:L3"/>
    <mergeCell ref="N3:U3"/>
    <mergeCell ref="J15:P15"/>
  </mergeCells>
  <conditionalFormatting sqref="G5:H10">
    <cfRule type="colorScale" priority="49">
      <colorScale>
        <cfvo type="min"/>
        <cfvo type="max"/>
        <color rgb="FFFFEF9C"/>
        <color rgb="FF63BE7B"/>
      </colorScale>
    </cfRule>
  </conditionalFormatting>
  <conditionalFormatting sqref="I5:I10">
    <cfRule type="colorScale" priority="48">
      <colorScale>
        <cfvo type="min"/>
        <cfvo type="max"/>
        <color rgb="FFFFEF9C"/>
        <color rgb="FF63BE7B"/>
      </colorScale>
    </cfRule>
  </conditionalFormatting>
  <conditionalFormatting sqref="J5:J10">
    <cfRule type="colorScale" priority="47">
      <colorScale>
        <cfvo type="min"/>
        <cfvo type="max"/>
        <color rgb="FFFFEF9C"/>
        <color rgb="FF63BE7B"/>
      </colorScale>
    </cfRule>
  </conditionalFormatting>
  <conditionalFormatting sqref="L5:L10">
    <cfRule type="colorScale" priority="46">
      <colorScale>
        <cfvo type="min"/>
        <cfvo type="max"/>
        <color rgb="FFFFEF9C"/>
        <color rgb="FF63BE7B"/>
      </colorScale>
    </cfRule>
  </conditionalFormatting>
  <conditionalFormatting sqref="K5:K10">
    <cfRule type="colorScale" priority="43">
      <colorScale>
        <cfvo type="min"/>
        <cfvo type="max"/>
        <color rgb="FFFFEF9C"/>
        <color rgb="FF63BE7B"/>
      </colorScale>
    </cfRule>
  </conditionalFormatting>
  <conditionalFormatting sqref="P5:Q10 P12">
    <cfRule type="colorScale" priority="23">
      <colorScale>
        <cfvo type="min"/>
        <cfvo type="max"/>
        <color rgb="FFFFEF9C"/>
        <color rgb="FF63BE7B"/>
      </colorScale>
    </cfRule>
  </conditionalFormatting>
  <conditionalFormatting sqref="R5:R10">
    <cfRule type="colorScale" priority="22">
      <colorScale>
        <cfvo type="min"/>
        <cfvo type="max"/>
        <color rgb="FFFFEF9C"/>
        <color rgb="FF63BE7B"/>
      </colorScale>
    </cfRule>
  </conditionalFormatting>
  <conditionalFormatting sqref="S5:S10">
    <cfRule type="colorScale" priority="21">
      <colorScale>
        <cfvo type="min"/>
        <cfvo type="max"/>
        <color rgb="FFFFEF9C"/>
        <color rgb="FF63BE7B"/>
      </colorScale>
    </cfRule>
  </conditionalFormatting>
  <conditionalFormatting sqref="U5:U10">
    <cfRule type="colorScale" priority="20">
      <colorScale>
        <cfvo type="min"/>
        <cfvo type="max"/>
        <color rgb="FFFFEF9C"/>
        <color rgb="FF63BE7B"/>
      </colorScale>
    </cfRule>
  </conditionalFormatting>
  <conditionalFormatting sqref="T5:T10">
    <cfRule type="colorScale" priority="19">
      <colorScale>
        <cfvo type="min"/>
        <cfvo type="max"/>
        <color rgb="FFFFEF9C"/>
        <color rgb="FF63BE7B"/>
      </colorScale>
    </cfRule>
  </conditionalFormatting>
  <conditionalFormatting sqref="F5:F10">
    <cfRule type="colorScale" priority="30">
      <colorScale>
        <cfvo type="min"/>
        <cfvo type="max"/>
        <color rgb="FFFFEF9C"/>
        <color rgb="FF63BE7B"/>
      </colorScale>
    </cfRule>
  </conditionalFormatting>
  <conditionalFormatting sqref="O5:O10">
    <cfRule type="colorScale" priority="18">
      <colorScale>
        <cfvo type="min"/>
        <cfvo type="max"/>
        <color rgb="FFFFEF9C"/>
        <color rgb="FF63BE7B"/>
      </colorScale>
    </cfRule>
  </conditionalFormatting>
  <conditionalFormatting sqref="P17:P519">
    <cfRule type="cellIs" dxfId="4" priority="17" operator="lessThan">
      <formula>0</formula>
    </cfRule>
  </conditionalFormatting>
  <conditionalFormatting sqref="H5:H10">
    <cfRule type="colorScale" priority="16">
      <colorScale>
        <cfvo type="min"/>
        <cfvo type="max"/>
        <color rgb="FFFFEF9C"/>
        <color rgb="FF63BE7B"/>
      </colorScale>
    </cfRule>
  </conditionalFormatting>
  <conditionalFormatting sqref="Q5:Q10">
    <cfRule type="colorScale" priority="15">
      <colorScale>
        <cfvo type="min"/>
        <cfvo type="max"/>
        <color rgb="FFFFEF9C"/>
        <color rgb="FF63BE7B"/>
      </colorScale>
    </cfRule>
  </conditionalFormatting>
  <conditionalFormatting sqref="Y5:Z10">
    <cfRule type="colorScale" priority="7">
      <colorScale>
        <cfvo type="min"/>
        <cfvo type="max"/>
        <color rgb="FFFFEF9C"/>
        <color rgb="FF63BE7B"/>
      </colorScale>
    </cfRule>
  </conditionalFormatting>
  <conditionalFormatting sqref="AA5:AA10">
    <cfRule type="colorScale" priority="6">
      <colorScale>
        <cfvo type="min"/>
        <cfvo type="max"/>
        <color rgb="FFFFEF9C"/>
        <color rgb="FF63BE7B"/>
      </colorScale>
    </cfRule>
  </conditionalFormatting>
  <conditionalFormatting sqref="AB5:AB10">
    <cfRule type="colorScale" priority="5">
      <colorScale>
        <cfvo type="min"/>
        <cfvo type="max"/>
        <color rgb="FFFFEF9C"/>
        <color rgb="FF63BE7B"/>
      </colorScale>
    </cfRule>
  </conditionalFormatting>
  <conditionalFormatting sqref="AD5:AD10">
    <cfRule type="colorScale" priority="4">
      <colorScale>
        <cfvo type="min"/>
        <cfvo type="max"/>
        <color rgb="FFFFEF9C"/>
        <color rgb="FF63BE7B"/>
      </colorScale>
    </cfRule>
  </conditionalFormatting>
  <conditionalFormatting sqref="AC5:AC10">
    <cfRule type="colorScale" priority="3">
      <colorScale>
        <cfvo type="min"/>
        <cfvo type="max"/>
        <color rgb="FFFFEF9C"/>
        <color rgb="FF63BE7B"/>
      </colorScale>
    </cfRule>
  </conditionalFormatting>
  <conditionalFormatting sqref="X5:X10">
    <cfRule type="colorScale" priority="2">
      <colorScale>
        <cfvo type="min"/>
        <cfvo type="max"/>
        <color rgb="FFFFEF9C"/>
        <color rgb="FF63BE7B"/>
      </colorScale>
    </cfRule>
  </conditionalFormatting>
  <conditionalFormatting sqref="Z5:Z10">
    <cfRule type="colorScale" priority="1">
      <colorScale>
        <cfvo type="min"/>
        <cfvo type="max"/>
        <color rgb="FFFFEF9C"/>
        <color rgb="FF63BE7B"/>
      </colorScale>
    </cfRule>
  </conditionalFormatting>
  <dataValidations count="2">
    <dataValidation type="list" allowBlank="1" showInputMessage="1" showErrorMessage="1" sqref="O2 X2 B17:B519">
      <formula1>$B$10:$B$12</formula1>
    </dataValidation>
    <dataValidation type="list" allowBlank="1" showInputMessage="1" showErrorMessage="1" sqref="D17:D519 G17:G519">
      <formula1>$E$5:$E$10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F54"/>
  <sheetViews>
    <sheetView zoomScale="85" zoomScaleNormal="85" workbookViewId="0">
      <selection activeCell="D43" sqref="D43"/>
    </sheetView>
  </sheetViews>
  <sheetFormatPr baseColWidth="10" defaultRowHeight="15" x14ac:dyDescent="0.25"/>
  <cols>
    <col min="3" max="4" width="13.5703125" bestFit="1" customWidth="1"/>
    <col min="5" max="5" width="14.5703125" bestFit="1" customWidth="1"/>
    <col min="8" max="8" width="6.42578125" bestFit="1" customWidth="1"/>
    <col min="9" max="15" width="7" bestFit="1" customWidth="1"/>
    <col min="16" max="16" width="7" customWidth="1"/>
    <col min="17" max="19" width="7" bestFit="1" customWidth="1"/>
    <col min="21" max="21" width="6.140625" bestFit="1" customWidth="1"/>
    <col min="22" max="22" width="7" bestFit="1" customWidth="1"/>
    <col min="23" max="23" width="7" customWidth="1"/>
    <col min="24" max="32" width="7" bestFit="1" customWidth="1"/>
  </cols>
  <sheetData>
    <row r="3" spans="2:32" x14ac:dyDescent="0.25">
      <c r="B3" s="8" t="s">
        <v>1</v>
      </c>
      <c r="C3" s="7">
        <v>62</v>
      </c>
      <c r="S3" s="11"/>
    </row>
    <row r="4" spans="2:32" x14ac:dyDescent="0.25">
      <c r="B4" s="8" t="s">
        <v>7</v>
      </c>
      <c r="C4" s="9">
        <v>2.7E-2</v>
      </c>
      <c r="S4" s="11"/>
    </row>
    <row r="5" spans="2:32" x14ac:dyDescent="0.25">
      <c r="B5" s="8" t="s">
        <v>2</v>
      </c>
      <c r="C5" s="7">
        <v>63</v>
      </c>
      <c r="H5" s="12"/>
      <c r="I5" s="109" t="s">
        <v>14</v>
      </c>
      <c r="J5" s="109"/>
      <c r="K5" s="109"/>
      <c r="L5" s="109"/>
      <c r="M5" s="109"/>
      <c r="N5" s="109"/>
      <c r="O5" s="109"/>
      <c r="P5" s="109"/>
      <c r="Q5" s="109"/>
      <c r="R5" s="109"/>
      <c r="S5" s="110"/>
      <c r="U5" s="12"/>
      <c r="V5" s="109" t="s">
        <v>16</v>
      </c>
      <c r="W5" s="109"/>
      <c r="X5" s="109"/>
      <c r="Y5" s="109"/>
      <c r="Z5" s="109"/>
      <c r="AA5" s="109"/>
      <c r="AB5" s="109"/>
      <c r="AC5" s="109"/>
      <c r="AD5" s="109"/>
      <c r="AE5" s="109"/>
      <c r="AF5" s="110"/>
    </row>
    <row r="6" spans="2:32" x14ac:dyDescent="0.25">
      <c r="B6" s="8" t="s">
        <v>11</v>
      </c>
      <c r="C6" s="7">
        <v>1</v>
      </c>
      <c r="H6" s="1"/>
      <c r="I6" s="13">
        <v>0</v>
      </c>
      <c r="J6" s="13">
        <v>1</v>
      </c>
      <c r="K6" s="13">
        <v>2</v>
      </c>
      <c r="L6" s="13">
        <v>3</v>
      </c>
      <c r="M6" s="13">
        <v>4</v>
      </c>
      <c r="N6" s="13">
        <v>5</v>
      </c>
      <c r="O6" s="13">
        <v>6</v>
      </c>
      <c r="P6" s="13">
        <v>7</v>
      </c>
      <c r="Q6" s="13">
        <v>8</v>
      </c>
      <c r="R6" s="13">
        <v>9</v>
      </c>
      <c r="S6" s="14">
        <v>10</v>
      </c>
      <c r="U6" s="1"/>
      <c r="V6" s="13">
        <v>0</v>
      </c>
      <c r="W6" s="13">
        <v>1</v>
      </c>
      <c r="X6" s="13">
        <v>2</v>
      </c>
      <c r="Y6" s="13">
        <v>3</v>
      </c>
      <c r="Z6" s="13">
        <v>4</v>
      </c>
      <c r="AA6" s="13">
        <v>5</v>
      </c>
      <c r="AB6" s="13">
        <v>6</v>
      </c>
      <c r="AC6" s="13">
        <v>7</v>
      </c>
      <c r="AD6" s="13">
        <v>8</v>
      </c>
      <c r="AE6" s="13">
        <v>9</v>
      </c>
      <c r="AF6" s="14">
        <v>10</v>
      </c>
    </row>
    <row r="7" spans="2:32" x14ac:dyDescent="0.25">
      <c r="H7" s="15">
        <v>1.4999999999999999E-2</v>
      </c>
      <c r="I7" s="16">
        <f>$C$3*(1+$H7*I$6)</f>
        <v>62</v>
      </c>
      <c r="J7" s="16">
        <f t="shared" ref="J7:S22" si="0">$C$3*(1+$H7*J$6)</f>
        <v>62.929999999999993</v>
      </c>
      <c r="K7" s="16">
        <f t="shared" si="0"/>
        <v>63.86</v>
      </c>
      <c r="L7" s="16">
        <f t="shared" si="0"/>
        <v>64.789999999999992</v>
      </c>
      <c r="M7" s="16">
        <f t="shared" si="0"/>
        <v>65.72</v>
      </c>
      <c r="N7" s="16">
        <f t="shared" si="0"/>
        <v>66.649999999999991</v>
      </c>
      <c r="O7" s="16">
        <f t="shared" si="0"/>
        <v>67.58</v>
      </c>
      <c r="P7" s="16">
        <f t="shared" si="0"/>
        <v>68.510000000000005</v>
      </c>
      <c r="Q7" s="16">
        <f t="shared" si="0"/>
        <v>69.440000000000012</v>
      </c>
      <c r="R7" s="16">
        <f t="shared" si="0"/>
        <v>70.37</v>
      </c>
      <c r="S7" s="17">
        <f t="shared" si="0"/>
        <v>71.3</v>
      </c>
      <c r="U7" s="15">
        <v>1.4999999999999999E-2</v>
      </c>
      <c r="V7" s="16">
        <f>$C$3*(1+$H7*V$6)-$C$5</f>
        <v>-1</v>
      </c>
      <c r="W7" s="16">
        <f t="shared" ref="W7:AF22" si="1">$C$3*(1+$H7*W$6)-$C$5</f>
        <v>-7.000000000000739E-2</v>
      </c>
      <c r="X7" s="16">
        <f t="shared" si="1"/>
        <v>0.85999999999999943</v>
      </c>
      <c r="Y7" s="16">
        <f t="shared" si="1"/>
        <v>1.789999999999992</v>
      </c>
      <c r="Z7" s="16">
        <f t="shared" si="1"/>
        <v>2.7199999999999989</v>
      </c>
      <c r="AA7" s="16">
        <f t="shared" si="1"/>
        <v>3.6499999999999915</v>
      </c>
      <c r="AB7" s="16">
        <f t="shared" si="1"/>
        <v>4.5799999999999983</v>
      </c>
      <c r="AC7" s="16">
        <f t="shared" si="1"/>
        <v>5.5100000000000051</v>
      </c>
      <c r="AD7" s="16">
        <f t="shared" si="1"/>
        <v>6.4400000000000119</v>
      </c>
      <c r="AE7" s="16">
        <f t="shared" si="1"/>
        <v>7.3700000000000045</v>
      </c>
      <c r="AF7" s="16">
        <f>$C$3*(1+$H7*AF$6)-$C$5</f>
        <v>8.2999999999999972</v>
      </c>
    </row>
    <row r="8" spans="2:32" x14ac:dyDescent="0.25">
      <c r="B8" t="s">
        <v>6</v>
      </c>
      <c r="C8" t="s">
        <v>8</v>
      </c>
      <c r="D8" t="s">
        <v>9</v>
      </c>
      <c r="E8" t="s">
        <v>10</v>
      </c>
      <c r="H8" s="15">
        <v>1.6E-2</v>
      </c>
      <c r="I8" s="16">
        <f t="shared" ref="I8:S27" si="2">$C$3*(1+$H8*I$6)</f>
        <v>62</v>
      </c>
      <c r="J8" s="16">
        <f t="shared" si="0"/>
        <v>62.992000000000004</v>
      </c>
      <c r="K8" s="16">
        <f t="shared" si="0"/>
        <v>63.984000000000002</v>
      </c>
      <c r="L8" s="16">
        <f t="shared" si="0"/>
        <v>64.975999999999999</v>
      </c>
      <c r="M8" s="16">
        <f t="shared" si="0"/>
        <v>65.968000000000004</v>
      </c>
      <c r="N8" s="16">
        <f t="shared" si="0"/>
        <v>66.960000000000008</v>
      </c>
      <c r="O8" s="16">
        <f t="shared" si="0"/>
        <v>67.951999999999998</v>
      </c>
      <c r="P8" s="16">
        <f t="shared" si="0"/>
        <v>68.944000000000003</v>
      </c>
      <c r="Q8" s="16">
        <f t="shared" si="0"/>
        <v>69.936000000000007</v>
      </c>
      <c r="R8" s="16">
        <f t="shared" si="0"/>
        <v>70.928000000000011</v>
      </c>
      <c r="S8" s="17">
        <f t="shared" si="0"/>
        <v>71.92</v>
      </c>
      <c r="U8" s="15">
        <v>1.6E-2</v>
      </c>
      <c r="V8" s="16">
        <f t="shared" ref="V8:AF27" si="3">$C$3*(1+$H8*V$6)-$C$5</f>
        <v>-1</v>
      </c>
      <c r="W8" s="16">
        <f t="shared" si="1"/>
        <v>-7.9999999999955662E-3</v>
      </c>
      <c r="X8" s="16">
        <f t="shared" si="1"/>
        <v>0.98400000000000176</v>
      </c>
      <c r="Y8" s="16">
        <f t="shared" si="1"/>
        <v>1.9759999999999991</v>
      </c>
      <c r="Z8" s="16">
        <f t="shared" si="1"/>
        <v>2.9680000000000035</v>
      </c>
      <c r="AA8" s="16">
        <f t="shared" si="1"/>
        <v>3.960000000000008</v>
      </c>
      <c r="AB8" s="16">
        <f t="shared" si="1"/>
        <v>4.9519999999999982</v>
      </c>
      <c r="AC8" s="16">
        <f t="shared" si="1"/>
        <v>5.9440000000000026</v>
      </c>
      <c r="AD8" s="16">
        <f t="shared" si="1"/>
        <v>6.936000000000007</v>
      </c>
      <c r="AE8" s="16">
        <f t="shared" si="1"/>
        <v>7.9280000000000115</v>
      </c>
      <c r="AF8" s="16">
        <f t="shared" si="1"/>
        <v>8.9200000000000017</v>
      </c>
    </row>
    <row r="9" spans="2:32" x14ac:dyDescent="0.25">
      <c r="B9">
        <v>0</v>
      </c>
      <c r="C9" s="6">
        <f t="shared" ref="C9:C19" si="4">$C$3*(1+$C$4*B9)</f>
        <v>62</v>
      </c>
      <c r="D9" s="6">
        <f t="shared" ref="D9:D19" si="5">C9-$C$5</f>
        <v>-1</v>
      </c>
      <c r="E9" s="6">
        <f t="shared" ref="E9:E19" si="6">D9*$C$6</f>
        <v>-1</v>
      </c>
      <c r="H9" s="15">
        <v>1.7000000000000001E-2</v>
      </c>
      <c r="I9" s="16">
        <f t="shared" si="2"/>
        <v>62</v>
      </c>
      <c r="J9" s="16">
        <f t="shared" si="0"/>
        <v>63.053999999999995</v>
      </c>
      <c r="K9" s="16">
        <f t="shared" si="0"/>
        <v>64.108000000000004</v>
      </c>
      <c r="L9" s="16">
        <f t="shared" si="0"/>
        <v>65.161999999999992</v>
      </c>
      <c r="M9" s="16">
        <f t="shared" si="0"/>
        <v>66.216000000000008</v>
      </c>
      <c r="N9" s="16">
        <f t="shared" si="0"/>
        <v>67.27</v>
      </c>
      <c r="O9" s="16">
        <f t="shared" si="0"/>
        <v>68.324000000000012</v>
      </c>
      <c r="P9" s="16">
        <f t="shared" si="0"/>
        <v>69.378</v>
      </c>
      <c r="Q9" s="16">
        <f t="shared" si="0"/>
        <v>70.432000000000002</v>
      </c>
      <c r="R9" s="16">
        <f t="shared" si="0"/>
        <v>71.486000000000004</v>
      </c>
      <c r="S9" s="17">
        <f t="shared" si="0"/>
        <v>72.539999999999992</v>
      </c>
      <c r="U9" s="15">
        <v>1.7000000000000001E-2</v>
      </c>
      <c r="V9" s="16">
        <f t="shared" si="3"/>
        <v>-1</v>
      </c>
      <c r="W9" s="16">
        <f t="shared" si="1"/>
        <v>5.3999999999994941E-2</v>
      </c>
      <c r="X9" s="16">
        <f t="shared" si="1"/>
        <v>1.1080000000000041</v>
      </c>
      <c r="Y9" s="16">
        <f t="shared" si="1"/>
        <v>2.1619999999999919</v>
      </c>
      <c r="Z9" s="16">
        <f t="shared" si="1"/>
        <v>3.2160000000000082</v>
      </c>
      <c r="AA9" s="16">
        <f t="shared" si="1"/>
        <v>4.269999999999996</v>
      </c>
      <c r="AB9" s="16">
        <f t="shared" si="1"/>
        <v>5.3240000000000123</v>
      </c>
      <c r="AC9" s="16">
        <f t="shared" si="1"/>
        <v>6.3780000000000001</v>
      </c>
      <c r="AD9" s="16">
        <f t="shared" si="1"/>
        <v>7.4320000000000022</v>
      </c>
      <c r="AE9" s="16">
        <f t="shared" si="1"/>
        <v>8.4860000000000042</v>
      </c>
      <c r="AF9" s="16">
        <f t="shared" si="1"/>
        <v>9.539999999999992</v>
      </c>
    </row>
    <row r="10" spans="2:32" x14ac:dyDescent="0.25">
      <c r="B10">
        <v>1</v>
      </c>
      <c r="C10" s="6">
        <f t="shared" si="4"/>
        <v>63.673999999999992</v>
      </c>
      <c r="D10" s="6">
        <f t="shared" si="5"/>
        <v>0.67399999999999238</v>
      </c>
      <c r="E10" s="6">
        <f t="shared" si="6"/>
        <v>0.67399999999999238</v>
      </c>
      <c r="H10" s="15">
        <v>1.7999999999999999E-2</v>
      </c>
      <c r="I10" s="16">
        <f t="shared" si="2"/>
        <v>62</v>
      </c>
      <c r="J10" s="16">
        <f t="shared" si="0"/>
        <v>63.116</v>
      </c>
      <c r="K10" s="16">
        <f t="shared" si="0"/>
        <v>64.231999999999999</v>
      </c>
      <c r="L10" s="16">
        <f t="shared" si="0"/>
        <v>65.347999999999999</v>
      </c>
      <c r="M10" s="16">
        <f t="shared" si="0"/>
        <v>66.463999999999999</v>
      </c>
      <c r="N10" s="16">
        <f t="shared" si="0"/>
        <v>67.58</v>
      </c>
      <c r="O10" s="16">
        <f t="shared" si="0"/>
        <v>68.696000000000012</v>
      </c>
      <c r="P10" s="16">
        <f t="shared" si="0"/>
        <v>69.811999999999998</v>
      </c>
      <c r="Q10" s="16">
        <f t="shared" si="0"/>
        <v>70.927999999999997</v>
      </c>
      <c r="R10" s="16">
        <f t="shared" si="0"/>
        <v>72.043999999999997</v>
      </c>
      <c r="S10" s="17">
        <f t="shared" si="0"/>
        <v>73.16</v>
      </c>
      <c r="U10" s="15">
        <v>1.7999999999999999E-2</v>
      </c>
      <c r="V10" s="16">
        <f t="shared" si="3"/>
        <v>-1</v>
      </c>
      <c r="W10" s="16">
        <f t="shared" si="1"/>
        <v>0.11599999999999966</v>
      </c>
      <c r="X10" s="16">
        <f t="shared" si="1"/>
        <v>1.2319999999999993</v>
      </c>
      <c r="Y10" s="16">
        <f t="shared" si="1"/>
        <v>2.347999999999999</v>
      </c>
      <c r="Z10" s="16">
        <f t="shared" si="1"/>
        <v>3.4639999999999986</v>
      </c>
      <c r="AA10" s="16">
        <f t="shared" si="1"/>
        <v>4.5799999999999983</v>
      </c>
      <c r="AB10" s="16">
        <f t="shared" si="1"/>
        <v>5.6960000000000122</v>
      </c>
      <c r="AC10" s="16">
        <f t="shared" si="1"/>
        <v>6.8119999999999976</v>
      </c>
      <c r="AD10" s="16">
        <f t="shared" si="1"/>
        <v>7.9279999999999973</v>
      </c>
      <c r="AE10" s="16">
        <f t="shared" si="1"/>
        <v>9.0439999999999969</v>
      </c>
      <c r="AF10" s="16">
        <f t="shared" si="1"/>
        <v>10.159999999999997</v>
      </c>
    </row>
    <row r="11" spans="2:32" x14ac:dyDescent="0.25">
      <c r="B11">
        <v>2</v>
      </c>
      <c r="C11" s="6">
        <f t="shared" si="4"/>
        <v>65.347999999999999</v>
      </c>
      <c r="D11" s="6">
        <f t="shared" si="5"/>
        <v>2.347999999999999</v>
      </c>
      <c r="E11" s="6">
        <f t="shared" si="6"/>
        <v>2.347999999999999</v>
      </c>
      <c r="H11" s="15">
        <v>1.9E-2</v>
      </c>
      <c r="I11" s="16">
        <f t="shared" si="2"/>
        <v>62</v>
      </c>
      <c r="J11" s="16">
        <f t="shared" si="0"/>
        <v>63.177999999999997</v>
      </c>
      <c r="K11" s="16">
        <f t="shared" si="0"/>
        <v>64.356000000000009</v>
      </c>
      <c r="L11" s="16">
        <f t="shared" si="0"/>
        <v>65.533999999999992</v>
      </c>
      <c r="M11" s="16">
        <f t="shared" si="0"/>
        <v>66.712000000000003</v>
      </c>
      <c r="N11" s="16">
        <f t="shared" si="0"/>
        <v>67.89</v>
      </c>
      <c r="O11" s="16">
        <f t="shared" si="0"/>
        <v>69.067999999999998</v>
      </c>
      <c r="P11" s="16">
        <f t="shared" si="0"/>
        <v>70.245999999999995</v>
      </c>
      <c r="Q11" s="16">
        <f t="shared" si="0"/>
        <v>71.423999999999992</v>
      </c>
      <c r="R11" s="16">
        <f t="shared" si="0"/>
        <v>72.602000000000004</v>
      </c>
      <c r="S11" s="17">
        <f t="shared" si="0"/>
        <v>73.78</v>
      </c>
      <c r="U11" s="15">
        <v>1.9E-2</v>
      </c>
      <c r="V11" s="16">
        <f t="shared" si="3"/>
        <v>-1</v>
      </c>
      <c r="W11" s="16">
        <f t="shared" si="1"/>
        <v>0.17799999999999727</v>
      </c>
      <c r="X11" s="16">
        <f t="shared" si="1"/>
        <v>1.3560000000000088</v>
      </c>
      <c r="Y11" s="16">
        <f t="shared" si="1"/>
        <v>2.5339999999999918</v>
      </c>
      <c r="Z11" s="16">
        <f t="shared" si="1"/>
        <v>3.7120000000000033</v>
      </c>
      <c r="AA11" s="16">
        <f t="shared" si="1"/>
        <v>4.8900000000000006</v>
      </c>
      <c r="AB11" s="16">
        <f t="shared" si="1"/>
        <v>6.0679999999999978</v>
      </c>
      <c r="AC11" s="16">
        <f t="shared" si="1"/>
        <v>7.2459999999999951</v>
      </c>
      <c r="AD11" s="16">
        <f t="shared" si="1"/>
        <v>8.4239999999999924</v>
      </c>
      <c r="AE11" s="16">
        <f t="shared" si="1"/>
        <v>9.6020000000000039</v>
      </c>
      <c r="AF11" s="16">
        <f t="shared" si="1"/>
        <v>10.780000000000001</v>
      </c>
    </row>
    <row r="12" spans="2:32" x14ac:dyDescent="0.25">
      <c r="B12">
        <v>3</v>
      </c>
      <c r="C12" s="6">
        <f t="shared" si="4"/>
        <v>67.021999999999991</v>
      </c>
      <c r="D12" s="6">
        <f t="shared" si="5"/>
        <v>4.0219999999999914</v>
      </c>
      <c r="E12" s="6">
        <f t="shared" si="6"/>
        <v>4.0219999999999914</v>
      </c>
      <c r="H12" s="15">
        <v>0.02</v>
      </c>
      <c r="I12" s="16">
        <f t="shared" si="2"/>
        <v>62</v>
      </c>
      <c r="J12" s="16">
        <f t="shared" si="0"/>
        <v>63.24</v>
      </c>
      <c r="K12" s="16">
        <f t="shared" si="0"/>
        <v>64.48</v>
      </c>
      <c r="L12" s="16">
        <f t="shared" si="0"/>
        <v>65.72</v>
      </c>
      <c r="M12" s="16">
        <f t="shared" si="0"/>
        <v>66.960000000000008</v>
      </c>
      <c r="N12" s="16">
        <f t="shared" si="0"/>
        <v>68.2</v>
      </c>
      <c r="O12" s="16">
        <f t="shared" si="0"/>
        <v>69.440000000000012</v>
      </c>
      <c r="P12" s="16">
        <f t="shared" si="0"/>
        <v>70.680000000000007</v>
      </c>
      <c r="Q12" s="16">
        <f t="shared" si="0"/>
        <v>71.92</v>
      </c>
      <c r="R12" s="16">
        <f t="shared" si="0"/>
        <v>73.16</v>
      </c>
      <c r="S12" s="17">
        <f t="shared" si="0"/>
        <v>74.399999999999991</v>
      </c>
      <c r="U12" s="15">
        <v>0.02</v>
      </c>
      <c r="V12" s="16">
        <f t="shared" si="3"/>
        <v>-1</v>
      </c>
      <c r="W12" s="16">
        <f t="shared" si="1"/>
        <v>0.24000000000000199</v>
      </c>
      <c r="X12" s="16">
        <f t="shared" si="1"/>
        <v>1.480000000000004</v>
      </c>
      <c r="Y12" s="16">
        <f t="shared" si="1"/>
        <v>2.7199999999999989</v>
      </c>
      <c r="Z12" s="16">
        <f t="shared" si="1"/>
        <v>3.960000000000008</v>
      </c>
      <c r="AA12" s="16">
        <f t="shared" si="1"/>
        <v>5.2000000000000028</v>
      </c>
      <c r="AB12" s="16">
        <f t="shared" si="1"/>
        <v>6.4400000000000119</v>
      </c>
      <c r="AC12" s="16">
        <f t="shared" si="1"/>
        <v>7.6800000000000068</v>
      </c>
      <c r="AD12" s="16">
        <f t="shared" si="1"/>
        <v>8.9200000000000017</v>
      </c>
      <c r="AE12" s="16">
        <f t="shared" si="1"/>
        <v>10.159999999999997</v>
      </c>
      <c r="AF12" s="16">
        <f t="shared" si="1"/>
        <v>11.399999999999991</v>
      </c>
    </row>
    <row r="13" spans="2:32" x14ac:dyDescent="0.25">
      <c r="B13">
        <v>4</v>
      </c>
      <c r="C13" s="6">
        <f t="shared" si="4"/>
        <v>68.696000000000012</v>
      </c>
      <c r="D13" s="6">
        <f t="shared" si="5"/>
        <v>5.6960000000000122</v>
      </c>
      <c r="E13" s="6">
        <f t="shared" si="6"/>
        <v>5.6960000000000122</v>
      </c>
      <c r="H13" s="15">
        <v>2.1000000000000001E-2</v>
      </c>
      <c r="I13" s="16">
        <f t="shared" si="2"/>
        <v>62</v>
      </c>
      <c r="J13" s="16">
        <f t="shared" si="0"/>
        <v>63.301999999999992</v>
      </c>
      <c r="K13" s="16">
        <f t="shared" si="0"/>
        <v>64.603999999999999</v>
      </c>
      <c r="L13" s="16">
        <f t="shared" si="0"/>
        <v>65.905999999999992</v>
      </c>
      <c r="M13" s="16">
        <f t="shared" si="0"/>
        <v>67.207999999999998</v>
      </c>
      <c r="N13" s="16">
        <f t="shared" si="0"/>
        <v>68.510000000000005</v>
      </c>
      <c r="O13" s="16">
        <f t="shared" si="0"/>
        <v>69.811999999999998</v>
      </c>
      <c r="P13" s="16">
        <f t="shared" si="0"/>
        <v>71.114000000000004</v>
      </c>
      <c r="Q13" s="16">
        <f t="shared" si="0"/>
        <v>72.415999999999997</v>
      </c>
      <c r="R13" s="16">
        <f t="shared" si="0"/>
        <v>73.718000000000004</v>
      </c>
      <c r="S13" s="17">
        <f t="shared" si="0"/>
        <v>75.02</v>
      </c>
      <c r="U13" s="15">
        <v>2.1000000000000001E-2</v>
      </c>
      <c r="V13" s="16">
        <f t="shared" si="3"/>
        <v>-1</v>
      </c>
      <c r="W13" s="16">
        <f t="shared" si="1"/>
        <v>0.3019999999999925</v>
      </c>
      <c r="X13" s="16">
        <f t="shared" si="1"/>
        <v>1.6039999999999992</v>
      </c>
      <c r="Y13" s="16">
        <f t="shared" si="1"/>
        <v>2.9059999999999917</v>
      </c>
      <c r="Z13" s="16">
        <f t="shared" si="1"/>
        <v>4.2079999999999984</v>
      </c>
      <c r="AA13" s="16">
        <f t="shared" si="1"/>
        <v>5.5100000000000051</v>
      </c>
      <c r="AB13" s="16">
        <f t="shared" si="1"/>
        <v>6.8119999999999976</v>
      </c>
      <c r="AC13" s="16">
        <f t="shared" si="1"/>
        <v>8.1140000000000043</v>
      </c>
      <c r="AD13" s="16">
        <f t="shared" si="1"/>
        <v>9.4159999999999968</v>
      </c>
      <c r="AE13" s="16">
        <f t="shared" si="1"/>
        <v>10.718000000000004</v>
      </c>
      <c r="AF13" s="16">
        <f t="shared" si="1"/>
        <v>12.019999999999996</v>
      </c>
    </row>
    <row r="14" spans="2:32" x14ac:dyDescent="0.25">
      <c r="B14">
        <v>5</v>
      </c>
      <c r="C14" s="6">
        <f t="shared" si="4"/>
        <v>70.37</v>
      </c>
      <c r="D14" s="6">
        <f t="shared" si="5"/>
        <v>7.3700000000000045</v>
      </c>
      <c r="E14" s="6">
        <f t="shared" si="6"/>
        <v>7.3700000000000045</v>
      </c>
      <c r="H14" s="15">
        <v>2.1999999999999999E-2</v>
      </c>
      <c r="I14" s="16">
        <f t="shared" si="2"/>
        <v>62</v>
      </c>
      <c r="J14" s="16">
        <f t="shared" si="0"/>
        <v>63.364000000000004</v>
      </c>
      <c r="K14" s="16">
        <f t="shared" si="0"/>
        <v>64.728000000000009</v>
      </c>
      <c r="L14" s="16">
        <f t="shared" si="0"/>
        <v>66.091999999999999</v>
      </c>
      <c r="M14" s="16">
        <f t="shared" si="0"/>
        <v>67.456000000000003</v>
      </c>
      <c r="N14" s="16">
        <f t="shared" si="0"/>
        <v>68.819999999999993</v>
      </c>
      <c r="O14" s="16">
        <f t="shared" si="0"/>
        <v>70.184000000000012</v>
      </c>
      <c r="P14" s="16">
        <f t="shared" si="0"/>
        <v>71.548000000000002</v>
      </c>
      <c r="Q14" s="16">
        <f t="shared" si="0"/>
        <v>72.911999999999992</v>
      </c>
      <c r="R14" s="16">
        <f t="shared" si="0"/>
        <v>74.275999999999996</v>
      </c>
      <c r="S14" s="17">
        <f t="shared" si="0"/>
        <v>75.64</v>
      </c>
      <c r="U14" s="15">
        <v>2.1999999999999999E-2</v>
      </c>
      <c r="V14" s="16">
        <f t="shared" si="3"/>
        <v>-1</v>
      </c>
      <c r="W14" s="16">
        <f t="shared" si="1"/>
        <v>0.36400000000000432</v>
      </c>
      <c r="X14" s="16">
        <f t="shared" si="1"/>
        <v>1.7280000000000086</v>
      </c>
      <c r="Y14" s="16">
        <f t="shared" si="1"/>
        <v>3.0919999999999987</v>
      </c>
      <c r="Z14" s="16">
        <f t="shared" si="1"/>
        <v>4.4560000000000031</v>
      </c>
      <c r="AA14" s="16">
        <f t="shared" si="1"/>
        <v>5.8199999999999932</v>
      </c>
      <c r="AB14" s="16">
        <f t="shared" si="1"/>
        <v>7.1840000000000117</v>
      </c>
      <c r="AC14" s="16">
        <f t="shared" si="1"/>
        <v>8.5480000000000018</v>
      </c>
      <c r="AD14" s="16">
        <f t="shared" si="1"/>
        <v>9.9119999999999919</v>
      </c>
      <c r="AE14" s="16">
        <f t="shared" si="1"/>
        <v>11.275999999999996</v>
      </c>
      <c r="AF14" s="16">
        <f t="shared" si="1"/>
        <v>12.64</v>
      </c>
    </row>
    <row r="15" spans="2:32" x14ac:dyDescent="0.25">
      <c r="B15">
        <v>6</v>
      </c>
      <c r="C15" s="6">
        <f t="shared" si="4"/>
        <v>72.043999999999997</v>
      </c>
      <c r="D15" s="6">
        <f t="shared" si="5"/>
        <v>9.0439999999999969</v>
      </c>
      <c r="E15" s="6">
        <f t="shared" si="6"/>
        <v>9.0439999999999969</v>
      </c>
      <c r="H15" s="15">
        <v>2.3E-2</v>
      </c>
      <c r="I15" s="16">
        <f t="shared" si="2"/>
        <v>62</v>
      </c>
      <c r="J15" s="16">
        <f t="shared" si="0"/>
        <v>63.425999999999995</v>
      </c>
      <c r="K15" s="16">
        <f t="shared" si="0"/>
        <v>64.852000000000004</v>
      </c>
      <c r="L15" s="16">
        <f t="shared" si="0"/>
        <v>66.277999999999992</v>
      </c>
      <c r="M15" s="16">
        <f t="shared" si="0"/>
        <v>67.704000000000008</v>
      </c>
      <c r="N15" s="16">
        <f t="shared" si="0"/>
        <v>69.13</v>
      </c>
      <c r="O15" s="16">
        <f t="shared" si="0"/>
        <v>70.555999999999997</v>
      </c>
      <c r="P15" s="16">
        <f t="shared" si="0"/>
        <v>71.981999999999999</v>
      </c>
      <c r="Q15" s="16">
        <f t="shared" si="0"/>
        <v>73.408000000000001</v>
      </c>
      <c r="R15" s="16">
        <f t="shared" si="0"/>
        <v>74.834000000000003</v>
      </c>
      <c r="S15" s="17">
        <f t="shared" si="0"/>
        <v>76.260000000000005</v>
      </c>
      <c r="U15" s="15">
        <v>2.3E-2</v>
      </c>
      <c r="V15" s="16">
        <f t="shared" si="3"/>
        <v>-1</v>
      </c>
      <c r="W15" s="16">
        <f t="shared" si="1"/>
        <v>0.42599999999999483</v>
      </c>
      <c r="X15" s="16">
        <f t="shared" si="1"/>
        <v>1.8520000000000039</v>
      </c>
      <c r="Y15" s="16">
        <f t="shared" si="1"/>
        <v>3.2779999999999916</v>
      </c>
      <c r="Z15" s="16">
        <f t="shared" si="1"/>
        <v>4.7040000000000077</v>
      </c>
      <c r="AA15" s="16">
        <f t="shared" si="1"/>
        <v>6.1299999999999955</v>
      </c>
      <c r="AB15" s="16">
        <f t="shared" si="1"/>
        <v>7.5559999999999974</v>
      </c>
      <c r="AC15" s="16">
        <f t="shared" si="1"/>
        <v>8.9819999999999993</v>
      </c>
      <c r="AD15" s="16">
        <f t="shared" si="1"/>
        <v>10.408000000000001</v>
      </c>
      <c r="AE15" s="16">
        <f t="shared" si="1"/>
        <v>11.834000000000003</v>
      </c>
      <c r="AF15" s="16">
        <f t="shared" si="1"/>
        <v>13.260000000000005</v>
      </c>
    </row>
    <row r="16" spans="2:32" x14ac:dyDescent="0.25">
      <c r="B16">
        <v>7</v>
      </c>
      <c r="C16" s="6">
        <f t="shared" si="4"/>
        <v>73.718000000000004</v>
      </c>
      <c r="D16" s="6">
        <f t="shared" si="5"/>
        <v>10.718000000000004</v>
      </c>
      <c r="E16" s="6">
        <f t="shared" si="6"/>
        <v>10.718000000000004</v>
      </c>
      <c r="H16" s="15">
        <v>2.4E-2</v>
      </c>
      <c r="I16" s="16">
        <f t="shared" si="2"/>
        <v>62</v>
      </c>
      <c r="J16" s="16">
        <f t="shared" si="0"/>
        <v>63.488</v>
      </c>
      <c r="K16" s="16">
        <f t="shared" si="0"/>
        <v>64.975999999999999</v>
      </c>
      <c r="L16" s="16">
        <f t="shared" si="0"/>
        <v>66.463999999999999</v>
      </c>
      <c r="M16" s="16">
        <f t="shared" si="0"/>
        <v>67.951999999999998</v>
      </c>
      <c r="N16" s="16">
        <f t="shared" si="0"/>
        <v>69.440000000000012</v>
      </c>
      <c r="O16" s="16">
        <f t="shared" si="0"/>
        <v>70.928000000000011</v>
      </c>
      <c r="P16" s="16">
        <f t="shared" si="0"/>
        <v>72.415999999999997</v>
      </c>
      <c r="Q16" s="16">
        <f t="shared" si="0"/>
        <v>73.903999999999996</v>
      </c>
      <c r="R16" s="16">
        <f t="shared" si="0"/>
        <v>75.391999999999996</v>
      </c>
      <c r="S16" s="17">
        <f t="shared" si="0"/>
        <v>76.88</v>
      </c>
      <c r="U16" s="15">
        <v>2.4E-2</v>
      </c>
      <c r="V16" s="16">
        <f t="shared" si="3"/>
        <v>-1</v>
      </c>
      <c r="W16" s="16">
        <f t="shared" si="1"/>
        <v>0.48799999999999955</v>
      </c>
      <c r="X16" s="16">
        <f t="shared" si="1"/>
        <v>1.9759999999999991</v>
      </c>
      <c r="Y16" s="16">
        <f t="shared" si="1"/>
        <v>3.4639999999999986</v>
      </c>
      <c r="Z16" s="16">
        <f t="shared" si="1"/>
        <v>4.9519999999999982</v>
      </c>
      <c r="AA16" s="16">
        <f t="shared" si="1"/>
        <v>6.4400000000000119</v>
      </c>
      <c r="AB16" s="16">
        <f t="shared" si="1"/>
        <v>7.9280000000000115</v>
      </c>
      <c r="AC16" s="16">
        <f t="shared" si="1"/>
        <v>9.4159999999999968</v>
      </c>
      <c r="AD16" s="16">
        <f t="shared" si="1"/>
        <v>10.903999999999996</v>
      </c>
      <c r="AE16" s="16">
        <f t="shared" si="1"/>
        <v>12.391999999999996</v>
      </c>
      <c r="AF16" s="16">
        <f t="shared" si="1"/>
        <v>13.879999999999995</v>
      </c>
    </row>
    <row r="17" spans="2:32" x14ac:dyDescent="0.25">
      <c r="B17">
        <v>8</v>
      </c>
      <c r="C17" s="6">
        <f t="shared" si="4"/>
        <v>75.391999999999996</v>
      </c>
      <c r="D17" s="6">
        <f t="shared" si="5"/>
        <v>12.391999999999996</v>
      </c>
      <c r="E17" s="6">
        <f t="shared" si="6"/>
        <v>12.391999999999996</v>
      </c>
      <c r="H17" s="15">
        <v>2.5000000000000001E-2</v>
      </c>
      <c r="I17" s="16">
        <f t="shared" si="2"/>
        <v>62</v>
      </c>
      <c r="J17" s="16">
        <f t="shared" si="0"/>
        <v>63.55</v>
      </c>
      <c r="K17" s="16">
        <f t="shared" si="0"/>
        <v>65.100000000000009</v>
      </c>
      <c r="L17" s="16">
        <f t="shared" si="0"/>
        <v>66.649999999999991</v>
      </c>
      <c r="M17" s="16">
        <f t="shared" si="0"/>
        <v>68.2</v>
      </c>
      <c r="N17" s="16">
        <f t="shared" si="0"/>
        <v>69.75</v>
      </c>
      <c r="O17" s="16">
        <f t="shared" si="0"/>
        <v>71.3</v>
      </c>
      <c r="P17" s="16">
        <f t="shared" si="0"/>
        <v>72.850000000000009</v>
      </c>
      <c r="Q17" s="16">
        <f t="shared" si="0"/>
        <v>74.399999999999991</v>
      </c>
      <c r="R17" s="16">
        <f t="shared" si="0"/>
        <v>75.95</v>
      </c>
      <c r="S17" s="17">
        <f t="shared" si="0"/>
        <v>77.5</v>
      </c>
      <c r="U17" s="15">
        <v>2.5000000000000001E-2</v>
      </c>
      <c r="V17" s="16">
        <f t="shared" si="3"/>
        <v>-1</v>
      </c>
      <c r="W17" s="16">
        <f t="shared" si="1"/>
        <v>0.54999999999999716</v>
      </c>
      <c r="X17" s="16">
        <f t="shared" si="1"/>
        <v>2.1000000000000085</v>
      </c>
      <c r="Y17" s="16">
        <f t="shared" si="1"/>
        <v>3.6499999999999915</v>
      </c>
      <c r="Z17" s="16">
        <f t="shared" si="1"/>
        <v>5.2000000000000028</v>
      </c>
      <c r="AA17" s="16">
        <f t="shared" si="1"/>
        <v>6.75</v>
      </c>
      <c r="AB17" s="16">
        <f t="shared" si="1"/>
        <v>8.2999999999999972</v>
      </c>
      <c r="AC17" s="16">
        <f t="shared" si="1"/>
        <v>9.8500000000000085</v>
      </c>
      <c r="AD17" s="16">
        <f t="shared" si="1"/>
        <v>11.399999999999991</v>
      </c>
      <c r="AE17" s="16">
        <f t="shared" si="1"/>
        <v>12.950000000000003</v>
      </c>
      <c r="AF17" s="16">
        <f t="shared" si="1"/>
        <v>14.5</v>
      </c>
    </row>
    <row r="18" spans="2:32" x14ac:dyDescent="0.25">
      <c r="B18">
        <v>9</v>
      </c>
      <c r="C18" s="6">
        <f t="shared" si="4"/>
        <v>77.065999999999988</v>
      </c>
      <c r="D18" s="6">
        <f t="shared" si="5"/>
        <v>14.065999999999988</v>
      </c>
      <c r="E18" s="6">
        <f t="shared" si="6"/>
        <v>14.065999999999988</v>
      </c>
      <c r="H18" s="15">
        <v>2.5999999999999999E-2</v>
      </c>
      <c r="I18" s="16">
        <f t="shared" si="2"/>
        <v>62</v>
      </c>
      <c r="J18" s="16">
        <f t="shared" si="0"/>
        <v>63.612000000000002</v>
      </c>
      <c r="K18" s="16">
        <f t="shared" si="0"/>
        <v>65.224000000000004</v>
      </c>
      <c r="L18" s="16">
        <f t="shared" si="0"/>
        <v>66.835999999999999</v>
      </c>
      <c r="M18" s="16">
        <f t="shared" si="0"/>
        <v>68.448000000000008</v>
      </c>
      <c r="N18" s="16">
        <f t="shared" si="0"/>
        <v>70.059999999999988</v>
      </c>
      <c r="O18" s="16">
        <f t="shared" si="0"/>
        <v>71.671999999999997</v>
      </c>
      <c r="P18" s="16">
        <f t="shared" si="0"/>
        <v>73.283999999999992</v>
      </c>
      <c r="Q18" s="16">
        <f t="shared" si="0"/>
        <v>74.896000000000001</v>
      </c>
      <c r="R18" s="16">
        <f t="shared" si="0"/>
        <v>76.507999999999996</v>
      </c>
      <c r="S18" s="17">
        <f t="shared" si="0"/>
        <v>78.12</v>
      </c>
      <c r="U18" s="15">
        <v>2.5999999999999999E-2</v>
      </c>
      <c r="V18" s="16">
        <f t="shared" si="3"/>
        <v>-1</v>
      </c>
      <c r="W18" s="16">
        <f t="shared" si="1"/>
        <v>0.61200000000000188</v>
      </c>
      <c r="X18" s="16">
        <f t="shared" si="1"/>
        <v>2.2240000000000038</v>
      </c>
      <c r="Y18" s="16">
        <f t="shared" si="1"/>
        <v>3.8359999999999985</v>
      </c>
      <c r="Z18" s="16">
        <f t="shared" si="1"/>
        <v>5.4480000000000075</v>
      </c>
      <c r="AA18" s="16">
        <f t="shared" si="1"/>
        <v>7.0599999999999881</v>
      </c>
      <c r="AB18" s="16">
        <f t="shared" si="1"/>
        <v>8.671999999999997</v>
      </c>
      <c r="AC18" s="16">
        <f t="shared" si="1"/>
        <v>10.283999999999992</v>
      </c>
      <c r="AD18" s="16">
        <f t="shared" si="1"/>
        <v>11.896000000000001</v>
      </c>
      <c r="AE18" s="16">
        <f t="shared" si="1"/>
        <v>13.507999999999996</v>
      </c>
      <c r="AF18" s="16">
        <f t="shared" si="1"/>
        <v>15.120000000000005</v>
      </c>
    </row>
    <row r="19" spans="2:32" x14ac:dyDescent="0.25">
      <c r="B19">
        <v>10</v>
      </c>
      <c r="C19" s="6">
        <f t="shared" si="4"/>
        <v>78.739999999999995</v>
      </c>
      <c r="D19" s="6">
        <f t="shared" si="5"/>
        <v>15.739999999999995</v>
      </c>
      <c r="E19" s="6">
        <f t="shared" si="6"/>
        <v>15.739999999999995</v>
      </c>
      <c r="H19" s="15">
        <v>2.7E-2</v>
      </c>
      <c r="I19" s="16">
        <f t="shared" si="2"/>
        <v>62</v>
      </c>
      <c r="J19" s="16">
        <f t="shared" si="0"/>
        <v>63.673999999999992</v>
      </c>
      <c r="K19" s="16">
        <f t="shared" si="0"/>
        <v>65.347999999999999</v>
      </c>
      <c r="L19" s="16">
        <f t="shared" si="0"/>
        <v>67.021999999999991</v>
      </c>
      <c r="M19" s="16">
        <f t="shared" si="0"/>
        <v>68.696000000000012</v>
      </c>
      <c r="N19" s="16">
        <f t="shared" si="0"/>
        <v>70.37</v>
      </c>
      <c r="O19" s="16">
        <f t="shared" si="0"/>
        <v>72.043999999999997</v>
      </c>
      <c r="P19" s="16">
        <f t="shared" si="0"/>
        <v>73.718000000000004</v>
      </c>
      <c r="Q19" s="16">
        <f t="shared" si="0"/>
        <v>75.391999999999996</v>
      </c>
      <c r="R19" s="16">
        <f t="shared" si="0"/>
        <v>77.065999999999988</v>
      </c>
      <c r="S19" s="17">
        <f t="shared" si="0"/>
        <v>78.739999999999995</v>
      </c>
      <c r="U19" s="15">
        <v>2.7E-2</v>
      </c>
      <c r="V19" s="16">
        <f t="shared" si="3"/>
        <v>-1</v>
      </c>
      <c r="W19" s="16">
        <f t="shared" si="1"/>
        <v>0.67399999999999238</v>
      </c>
      <c r="X19" s="16">
        <f t="shared" si="1"/>
        <v>2.347999999999999</v>
      </c>
      <c r="Y19" s="16">
        <f t="shared" si="1"/>
        <v>4.0219999999999914</v>
      </c>
      <c r="Z19" s="16">
        <f t="shared" si="1"/>
        <v>5.6960000000000122</v>
      </c>
      <c r="AA19" s="16">
        <f t="shared" si="1"/>
        <v>7.3700000000000045</v>
      </c>
      <c r="AB19" s="16">
        <f t="shared" si="1"/>
        <v>9.0439999999999969</v>
      </c>
      <c r="AC19" s="16">
        <f t="shared" si="1"/>
        <v>10.718000000000004</v>
      </c>
      <c r="AD19" s="16">
        <f t="shared" si="1"/>
        <v>12.391999999999996</v>
      </c>
      <c r="AE19" s="16">
        <f t="shared" si="1"/>
        <v>14.065999999999988</v>
      </c>
      <c r="AF19" s="16">
        <f t="shared" si="1"/>
        <v>15.739999999999995</v>
      </c>
    </row>
    <row r="20" spans="2:32" x14ac:dyDescent="0.25">
      <c r="H20" s="15">
        <v>2.8000000000000001E-2</v>
      </c>
      <c r="I20" s="16">
        <f t="shared" si="2"/>
        <v>62</v>
      </c>
      <c r="J20" s="16">
        <f t="shared" si="0"/>
        <v>63.736000000000004</v>
      </c>
      <c r="K20" s="16">
        <f t="shared" si="0"/>
        <v>65.472000000000008</v>
      </c>
      <c r="L20" s="16">
        <f t="shared" si="0"/>
        <v>67.207999999999998</v>
      </c>
      <c r="M20" s="16">
        <f t="shared" si="0"/>
        <v>68.944000000000003</v>
      </c>
      <c r="N20" s="16">
        <f t="shared" si="0"/>
        <v>70.680000000000007</v>
      </c>
      <c r="O20" s="16">
        <f t="shared" si="0"/>
        <v>72.415999999999997</v>
      </c>
      <c r="P20" s="16">
        <f t="shared" si="0"/>
        <v>74.152000000000001</v>
      </c>
      <c r="Q20" s="16">
        <f t="shared" si="0"/>
        <v>75.888000000000005</v>
      </c>
      <c r="R20" s="16">
        <f t="shared" si="0"/>
        <v>77.623999999999995</v>
      </c>
      <c r="S20" s="17">
        <f t="shared" si="0"/>
        <v>79.36</v>
      </c>
      <c r="U20" s="15">
        <v>2.8000000000000001E-2</v>
      </c>
      <c r="V20" s="16">
        <f t="shared" si="3"/>
        <v>-1</v>
      </c>
      <c r="W20" s="16">
        <f t="shared" si="1"/>
        <v>0.73600000000000421</v>
      </c>
      <c r="X20" s="16">
        <f t="shared" si="1"/>
        <v>2.4720000000000084</v>
      </c>
      <c r="Y20" s="16">
        <f t="shared" si="1"/>
        <v>4.2079999999999984</v>
      </c>
      <c r="Z20" s="16">
        <f t="shared" si="1"/>
        <v>5.9440000000000026</v>
      </c>
      <c r="AA20" s="16">
        <f t="shared" si="1"/>
        <v>7.6800000000000068</v>
      </c>
      <c r="AB20" s="16">
        <f t="shared" si="1"/>
        <v>9.4159999999999968</v>
      </c>
      <c r="AC20" s="16">
        <f t="shared" si="1"/>
        <v>11.152000000000001</v>
      </c>
      <c r="AD20" s="16">
        <f t="shared" si="1"/>
        <v>12.888000000000005</v>
      </c>
      <c r="AE20" s="16">
        <f t="shared" si="1"/>
        <v>14.623999999999995</v>
      </c>
      <c r="AF20" s="16">
        <f t="shared" si="1"/>
        <v>16.36</v>
      </c>
    </row>
    <row r="21" spans="2:32" x14ac:dyDescent="0.25">
      <c r="H21" s="15">
        <v>2.9000000000000001E-2</v>
      </c>
      <c r="I21" s="16">
        <f t="shared" si="2"/>
        <v>62</v>
      </c>
      <c r="J21" s="16">
        <f t="shared" si="0"/>
        <v>63.797999999999995</v>
      </c>
      <c r="K21" s="16">
        <f t="shared" si="0"/>
        <v>65.596000000000004</v>
      </c>
      <c r="L21" s="16">
        <f t="shared" si="0"/>
        <v>67.393999999999991</v>
      </c>
      <c r="M21" s="16">
        <f t="shared" si="0"/>
        <v>69.192000000000007</v>
      </c>
      <c r="N21" s="16">
        <f t="shared" si="0"/>
        <v>70.989999999999995</v>
      </c>
      <c r="O21" s="16">
        <f t="shared" si="0"/>
        <v>72.787999999999997</v>
      </c>
      <c r="P21" s="16">
        <f t="shared" si="0"/>
        <v>74.585999999999999</v>
      </c>
      <c r="Q21" s="16">
        <f t="shared" si="0"/>
        <v>76.384</v>
      </c>
      <c r="R21" s="16">
        <f t="shared" si="0"/>
        <v>78.182000000000002</v>
      </c>
      <c r="S21" s="17">
        <f t="shared" si="0"/>
        <v>79.98</v>
      </c>
      <c r="U21" s="15">
        <v>2.9000000000000001E-2</v>
      </c>
      <c r="V21" s="16">
        <f t="shared" si="3"/>
        <v>-1</v>
      </c>
      <c r="W21" s="16">
        <f t="shared" si="1"/>
        <v>0.79799999999999471</v>
      </c>
      <c r="X21" s="16">
        <f t="shared" si="1"/>
        <v>2.5960000000000036</v>
      </c>
      <c r="Y21" s="16">
        <f t="shared" si="1"/>
        <v>4.3939999999999912</v>
      </c>
      <c r="Z21" s="16">
        <f t="shared" si="1"/>
        <v>6.1920000000000073</v>
      </c>
      <c r="AA21" s="16">
        <f t="shared" si="1"/>
        <v>7.9899999999999949</v>
      </c>
      <c r="AB21" s="16">
        <f t="shared" si="1"/>
        <v>9.7879999999999967</v>
      </c>
      <c r="AC21" s="16">
        <f t="shared" si="1"/>
        <v>11.585999999999999</v>
      </c>
      <c r="AD21" s="16">
        <f t="shared" si="1"/>
        <v>13.384</v>
      </c>
      <c r="AE21" s="16">
        <f t="shared" si="1"/>
        <v>15.182000000000002</v>
      </c>
      <c r="AF21" s="16">
        <f t="shared" si="1"/>
        <v>16.980000000000004</v>
      </c>
    </row>
    <row r="22" spans="2:32" x14ac:dyDescent="0.25">
      <c r="H22" s="15">
        <v>0.03</v>
      </c>
      <c r="I22" s="16">
        <f t="shared" si="2"/>
        <v>62</v>
      </c>
      <c r="J22" s="16">
        <f t="shared" si="0"/>
        <v>63.86</v>
      </c>
      <c r="K22" s="16">
        <f t="shared" si="0"/>
        <v>65.72</v>
      </c>
      <c r="L22" s="16">
        <f t="shared" si="0"/>
        <v>67.58</v>
      </c>
      <c r="M22" s="16">
        <f t="shared" si="0"/>
        <v>69.440000000000012</v>
      </c>
      <c r="N22" s="16">
        <f t="shared" si="0"/>
        <v>71.3</v>
      </c>
      <c r="O22" s="16">
        <f t="shared" si="0"/>
        <v>73.16</v>
      </c>
      <c r="P22" s="16">
        <f t="shared" si="0"/>
        <v>75.02</v>
      </c>
      <c r="Q22" s="16">
        <f t="shared" si="0"/>
        <v>76.88</v>
      </c>
      <c r="R22" s="16">
        <f t="shared" si="0"/>
        <v>78.739999999999995</v>
      </c>
      <c r="S22" s="17">
        <f t="shared" si="0"/>
        <v>80.600000000000009</v>
      </c>
      <c r="U22" s="15">
        <v>0.03</v>
      </c>
      <c r="V22" s="16">
        <f t="shared" si="3"/>
        <v>-1</v>
      </c>
      <c r="W22" s="16">
        <f t="shared" si="1"/>
        <v>0.85999999999999943</v>
      </c>
      <c r="X22" s="16">
        <f t="shared" si="1"/>
        <v>2.7199999999999989</v>
      </c>
      <c r="Y22" s="16">
        <f t="shared" si="1"/>
        <v>4.5799999999999983</v>
      </c>
      <c r="Z22" s="16">
        <f t="shared" si="1"/>
        <v>6.4400000000000119</v>
      </c>
      <c r="AA22" s="16">
        <f t="shared" si="1"/>
        <v>8.2999999999999972</v>
      </c>
      <c r="AB22" s="16">
        <f t="shared" si="1"/>
        <v>10.159999999999997</v>
      </c>
      <c r="AC22" s="16">
        <f t="shared" si="1"/>
        <v>12.019999999999996</v>
      </c>
      <c r="AD22" s="16">
        <f t="shared" si="1"/>
        <v>13.879999999999995</v>
      </c>
      <c r="AE22" s="16">
        <f t="shared" si="1"/>
        <v>15.739999999999995</v>
      </c>
      <c r="AF22" s="16">
        <f t="shared" si="1"/>
        <v>17.600000000000009</v>
      </c>
    </row>
    <row r="23" spans="2:32" x14ac:dyDescent="0.25">
      <c r="H23" s="15">
        <v>3.1E-2</v>
      </c>
      <c r="I23" s="16">
        <f t="shared" si="2"/>
        <v>62</v>
      </c>
      <c r="J23" s="16">
        <f t="shared" si="2"/>
        <v>63.921999999999997</v>
      </c>
      <c r="K23" s="16">
        <f t="shared" si="2"/>
        <v>65.844000000000008</v>
      </c>
      <c r="L23" s="16">
        <f t="shared" si="2"/>
        <v>67.765999999999991</v>
      </c>
      <c r="M23" s="16">
        <f t="shared" si="2"/>
        <v>69.688000000000002</v>
      </c>
      <c r="N23" s="16">
        <f t="shared" si="2"/>
        <v>71.61</v>
      </c>
      <c r="O23" s="16">
        <f t="shared" si="2"/>
        <v>73.531999999999996</v>
      </c>
      <c r="P23" s="16">
        <f t="shared" si="2"/>
        <v>75.454000000000008</v>
      </c>
      <c r="Q23" s="16">
        <f t="shared" si="2"/>
        <v>77.376000000000005</v>
      </c>
      <c r="R23" s="16">
        <f t="shared" si="2"/>
        <v>79.298000000000002</v>
      </c>
      <c r="S23" s="17">
        <f t="shared" si="2"/>
        <v>81.22</v>
      </c>
      <c r="U23" s="15">
        <v>3.1E-2</v>
      </c>
      <c r="V23" s="16">
        <f t="shared" si="3"/>
        <v>-1</v>
      </c>
      <c r="W23" s="16">
        <f t="shared" si="3"/>
        <v>0.92199999999999704</v>
      </c>
      <c r="X23" s="16">
        <f t="shared" si="3"/>
        <v>2.8440000000000083</v>
      </c>
      <c r="Y23" s="16">
        <f t="shared" si="3"/>
        <v>4.7659999999999911</v>
      </c>
      <c r="Z23" s="16">
        <f t="shared" si="3"/>
        <v>6.6880000000000024</v>
      </c>
      <c r="AA23" s="16">
        <f t="shared" si="3"/>
        <v>8.61</v>
      </c>
      <c r="AB23" s="16">
        <f t="shared" si="3"/>
        <v>10.531999999999996</v>
      </c>
      <c r="AC23" s="16">
        <f t="shared" si="3"/>
        <v>12.454000000000008</v>
      </c>
      <c r="AD23" s="16">
        <f t="shared" si="3"/>
        <v>14.376000000000005</v>
      </c>
      <c r="AE23" s="16">
        <f t="shared" si="3"/>
        <v>16.298000000000002</v>
      </c>
      <c r="AF23" s="16">
        <f t="shared" si="3"/>
        <v>18.22</v>
      </c>
    </row>
    <row r="24" spans="2:32" x14ac:dyDescent="0.25">
      <c r="B24" t="s">
        <v>34</v>
      </c>
      <c r="H24" s="15">
        <v>3.2000000000000001E-2</v>
      </c>
      <c r="I24" s="16">
        <f t="shared" si="2"/>
        <v>62</v>
      </c>
      <c r="J24" s="16">
        <f t="shared" si="2"/>
        <v>63.984000000000002</v>
      </c>
      <c r="K24" s="16">
        <f t="shared" si="2"/>
        <v>65.968000000000004</v>
      </c>
      <c r="L24" s="16">
        <f t="shared" si="2"/>
        <v>67.951999999999998</v>
      </c>
      <c r="M24" s="16">
        <f t="shared" si="2"/>
        <v>69.936000000000007</v>
      </c>
      <c r="N24" s="16">
        <f t="shared" si="2"/>
        <v>71.92</v>
      </c>
      <c r="O24" s="16">
        <f t="shared" si="2"/>
        <v>73.903999999999996</v>
      </c>
      <c r="P24" s="16">
        <f t="shared" si="2"/>
        <v>75.888000000000005</v>
      </c>
      <c r="Q24" s="16">
        <f t="shared" si="2"/>
        <v>77.872</v>
      </c>
      <c r="R24" s="16">
        <f t="shared" si="2"/>
        <v>79.856000000000009</v>
      </c>
      <c r="S24" s="17">
        <f t="shared" si="2"/>
        <v>81.84</v>
      </c>
      <c r="U24" s="15">
        <v>3.2000000000000001E-2</v>
      </c>
      <c r="V24" s="16">
        <f t="shared" si="3"/>
        <v>-1</v>
      </c>
      <c r="W24" s="16">
        <f t="shared" si="3"/>
        <v>0.98400000000000176</v>
      </c>
      <c r="X24" s="16">
        <f t="shared" si="3"/>
        <v>2.9680000000000035</v>
      </c>
      <c r="Y24" s="16">
        <f t="shared" si="3"/>
        <v>4.9519999999999982</v>
      </c>
      <c r="Z24" s="16">
        <f t="shared" si="3"/>
        <v>6.936000000000007</v>
      </c>
      <c r="AA24" s="16">
        <f t="shared" si="3"/>
        <v>8.9200000000000017</v>
      </c>
      <c r="AB24" s="16">
        <f t="shared" si="3"/>
        <v>10.903999999999996</v>
      </c>
      <c r="AC24" s="16">
        <f t="shared" si="3"/>
        <v>12.888000000000005</v>
      </c>
      <c r="AD24" s="16">
        <f t="shared" si="3"/>
        <v>14.872</v>
      </c>
      <c r="AE24" s="16">
        <f t="shared" si="3"/>
        <v>16.856000000000009</v>
      </c>
      <c r="AF24" s="16">
        <f t="shared" si="3"/>
        <v>18.840000000000003</v>
      </c>
    </row>
    <row r="25" spans="2:32" x14ac:dyDescent="0.25">
      <c r="B25" s="12" t="s">
        <v>38</v>
      </c>
      <c r="C25" s="28">
        <v>62</v>
      </c>
      <c r="H25" s="15">
        <v>3.3000000000000002E-2</v>
      </c>
      <c r="I25" s="16">
        <f t="shared" si="2"/>
        <v>62</v>
      </c>
      <c r="J25" s="16">
        <f t="shared" si="2"/>
        <v>64.045999999999992</v>
      </c>
      <c r="K25" s="16">
        <f t="shared" si="2"/>
        <v>66.091999999999999</v>
      </c>
      <c r="L25" s="16">
        <f t="shared" si="2"/>
        <v>68.138000000000005</v>
      </c>
      <c r="M25" s="16">
        <f t="shared" si="2"/>
        <v>70.184000000000012</v>
      </c>
      <c r="N25" s="16">
        <f t="shared" si="2"/>
        <v>72.23</v>
      </c>
      <c r="O25" s="16">
        <f t="shared" si="2"/>
        <v>74.275999999999996</v>
      </c>
      <c r="P25" s="16">
        <f t="shared" si="2"/>
        <v>76.322000000000003</v>
      </c>
      <c r="Q25" s="16">
        <f t="shared" si="2"/>
        <v>78.367999999999995</v>
      </c>
      <c r="R25" s="16">
        <f t="shared" si="2"/>
        <v>80.414000000000016</v>
      </c>
      <c r="S25" s="17">
        <f t="shared" si="2"/>
        <v>82.460000000000008</v>
      </c>
      <c r="U25" s="15">
        <v>3.3000000000000002E-2</v>
      </c>
      <c r="V25" s="16">
        <f t="shared" si="3"/>
        <v>-1</v>
      </c>
      <c r="W25" s="16">
        <f t="shared" si="3"/>
        <v>1.0459999999999923</v>
      </c>
      <c r="X25" s="16">
        <f t="shared" si="3"/>
        <v>3.0919999999999987</v>
      </c>
      <c r="Y25" s="16">
        <f t="shared" si="3"/>
        <v>5.1380000000000052</v>
      </c>
      <c r="Z25" s="16">
        <f t="shared" si="3"/>
        <v>7.1840000000000117</v>
      </c>
      <c r="AA25" s="16">
        <f t="shared" si="3"/>
        <v>9.230000000000004</v>
      </c>
      <c r="AB25" s="16">
        <f t="shared" si="3"/>
        <v>11.275999999999996</v>
      </c>
      <c r="AC25" s="16">
        <f t="shared" si="3"/>
        <v>13.322000000000003</v>
      </c>
      <c r="AD25" s="16">
        <f t="shared" si="3"/>
        <v>15.367999999999995</v>
      </c>
      <c r="AE25" s="16">
        <f t="shared" si="3"/>
        <v>17.414000000000016</v>
      </c>
      <c r="AF25" s="16">
        <f t="shared" si="3"/>
        <v>19.460000000000008</v>
      </c>
    </row>
    <row r="26" spans="2:32" x14ac:dyDescent="0.25">
      <c r="B26" s="1" t="s">
        <v>39</v>
      </c>
      <c r="C26" s="30">
        <v>2.4E-2</v>
      </c>
      <c r="H26" s="15">
        <v>3.4000000000000002E-2</v>
      </c>
      <c r="I26" s="16">
        <f t="shared" si="2"/>
        <v>62</v>
      </c>
      <c r="J26" s="16">
        <f t="shared" si="2"/>
        <v>64.108000000000004</v>
      </c>
      <c r="K26" s="16">
        <f t="shared" si="2"/>
        <v>66.216000000000008</v>
      </c>
      <c r="L26" s="16">
        <f t="shared" si="2"/>
        <v>68.324000000000012</v>
      </c>
      <c r="M26" s="16">
        <f t="shared" si="2"/>
        <v>70.432000000000002</v>
      </c>
      <c r="N26" s="16">
        <f t="shared" si="2"/>
        <v>72.539999999999992</v>
      </c>
      <c r="O26" s="16">
        <f t="shared" si="2"/>
        <v>74.647999999999996</v>
      </c>
      <c r="P26" s="16">
        <f t="shared" si="2"/>
        <v>76.756</v>
      </c>
      <c r="Q26" s="16">
        <f t="shared" si="2"/>
        <v>78.864000000000004</v>
      </c>
      <c r="R26" s="16">
        <f t="shared" si="2"/>
        <v>80.972000000000008</v>
      </c>
      <c r="S26" s="17">
        <f t="shared" si="2"/>
        <v>83.08</v>
      </c>
      <c r="U26" s="15">
        <v>3.4000000000000002E-2</v>
      </c>
      <c r="V26" s="16">
        <f t="shared" si="3"/>
        <v>-1</v>
      </c>
      <c r="W26" s="16">
        <f t="shared" si="3"/>
        <v>1.1080000000000041</v>
      </c>
      <c r="X26" s="16">
        <f t="shared" si="3"/>
        <v>3.2160000000000082</v>
      </c>
      <c r="Y26" s="16">
        <f t="shared" si="3"/>
        <v>5.3240000000000123</v>
      </c>
      <c r="Z26" s="16">
        <f t="shared" si="3"/>
        <v>7.4320000000000022</v>
      </c>
      <c r="AA26" s="16">
        <f t="shared" si="3"/>
        <v>9.539999999999992</v>
      </c>
      <c r="AB26" s="16">
        <f t="shared" si="3"/>
        <v>11.647999999999996</v>
      </c>
      <c r="AC26" s="16">
        <f t="shared" si="3"/>
        <v>13.756</v>
      </c>
      <c r="AD26" s="16">
        <f t="shared" si="3"/>
        <v>15.864000000000004</v>
      </c>
      <c r="AE26" s="16">
        <f t="shared" si="3"/>
        <v>17.972000000000008</v>
      </c>
      <c r="AF26" s="16">
        <f t="shared" si="3"/>
        <v>20.079999999999998</v>
      </c>
    </row>
    <row r="27" spans="2:32" x14ac:dyDescent="0.25">
      <c r="B27" s="12"/>
      <c r="C27" s="21" t="s">
        <v>35</v>
      </c>
      <c r="D27" s="21" t="s">
        <v>36</v>
      </c>
      <c r="E27" s="31" t="s">
        <v>37</v>
      </c>
      <c r="H27" s="18">
        <v>3.5000000000000003E-2</v>
      </c>
      <c r="I27" s="19">
        <f t="shared" si="2"/>
        <v>62</v>
      </c>
      <c r="J27" s="19">
        <f t="shared" si="2"/>
        <v>64.17</v>
      </c>
      <c r="K27" s="19">
        <f t="shared" si="2"/>
        <v>66.34</v>
      </c>
      <c r="L27" s="19">
        <f t="shared" si="2"/>
        <v>68.510000000000005</v>
      </c>
      <c r="M27" s="19">
        <f t="shared" si="2"/>
        <v>70.680000000000007</v>
      </c>
      <c r="N27" s="19">
        <f t="shared" si="2"/>
        <v>72.850000000000009</v>
      </c>
      <c r="O27" s="19">
        <f t="shared" si="2"/>
        <v>75.02</v>
      </c>
      <c r="P27" s="19">
        <f t="shared" si="2"/>
        <v>77.190000000000012</v>
      </c>
      <c r="Q27" s="19">
        <f t="shared" si="2"/>
        <v>79.36</v>
      </c>
      <c r="R27" s="19">
        <f t="shared" si="2"/>
        <v>81.53</v>
      </c>
      <c r="S27" s="20">
        <f t="shared" si="2"/>
        <v>83.7</v>
      </c>
      <c r="U27" s="18">
        <v>3.5000000000000003E-2</v>
      </c>
      <c r="V27" s="16">
        <f t="shared" si="3"/>
        <v>-1</v>
      </c>
      <c r="W27" s="16">
        <f t="shared" si="3"/>
        <v>1.1700000000000017</v>
      </c>
      <c r="X27" s="16">
        <f t="shared" si="3"/>
        <v>3.3400000000000034</v>
      </c>
      <c r="Y27" s="16">
        <f t="shared" si="3"/>
        <v>5.5100000000000051</v>
      </c>
      <c r="Z27" s="16">
        <f t="shared" si="3"/>
        <v>7.6800000000000068</v>
      </c>
      <c r="AA27" s="16">
        <f t="shared" si="3"/>
        <v>9.8500000000000085</v>
      </c>
      <c r="AB27" s="16">
        <f t="shared" si="3"/>
        <v>12.019999999999996</v>
      </c>
      <c r="AC27" s="16">
        <f t="shared" si="3"/>
        <v>14.190000000000012</v>
      </c>
      <c r="AD27" s="16">
        <f t="shared" si="3"/>
        <v>16.36</v>
      </c>
      <c r="AE27" s="16">
        <f t="shared" si="3"/>
        <v>18.53</v>
      </c>
      <c r="AF27" s="16">
        <f t="shared" si="3"/>
        <v>20.700000000000003</v>
      </c>
    </row>
    <row r="28" spans="2:32" x14ac:dyDescent="0.25">
      <c r="B28" s="1" t="s">
        <v>40</v>
      </c>
      <c r="C28" s="32">
        <v>53</v>
      </c>
      <c r="D28" s="32">
        <v>55</v>
      </c>
      <c r="E28" s="33">
        <v>57</v>
      </c>
    </row>
    <row r="29" spans="2:32" x14ac:dyDescent="0.25">
      <c r="B29" s="1" t="s">
        <v>41</v>
      </c>
      <c r="C29" s="32">
        <v>2</v>
      </c>
      <c r="D29" s="32">
        <v>3</v>
      </c>
      <c r="E29" s="33">
        <v>6</v>
      </c>
    </row>
    <row r="30" spans="2:32" x14ac:dyDescent="0.25">
      <c r="B30" s="1" t="s">
        <v>42</v>
      </c>
      <c r="C30" s="13">
        <f>$C$25*(1+$C$26*C29)</f>
        <v>64.975999999999999</v>
      </c>
      <c r="D30" s="13">
        <f t="shared" ref="D30:E30" si="7">$C$25*(1+$C$26*D29)</f>
        <v>66.463999999999999</v>
      </c>
      <c r="E30" s="14">
        <f t="shared" si="7"/>
        <v>70.928000000000011</v>
      </c>
      <c r="H30" s="12"/>
      <c r="I30" s="109" t="s">
        <v>17</v>
      </c>
      <c r="J30" s="109"/>
      <c r="K30" s="109"/>
      <c r="L30" s="109"/>
      <c r="M30" s="109"/>
      <c r="N30" s="109"/>
      <c r="O30" s="109"/>
      <c r="P30" s="109"/>
      <c r="Q30" s="109"/>
      <c r="R30" s="109"/>
      <c r="S30" s="110"/>
      <c r="U30" s="12"/>
      <c r="V30" s="109" t="s">
        <v>15</v>
      </c>
      <c r="W30" s="109"/>
      <c r="X30" s="109"/>
      <c r="Y30" s="109"/>
      <c r="Z30" s="109"/>
      <c r="AA30" s="109"/>
      <c r="AB30" s="109"/>
      <c r="AC30" s="109"/>
      <c r="AD30" s="109"/>
      <c r="AE30" s="109"/>
      <c r="AF30" s="110"/>
    </row>
    <row r="31" spans="2:32" x14ac:dyDescent="0.25">
      <c r="B31" s="29" t="s">
        <v>43</v>
      </c>
      <c r="C31" s="24">
        <f>C30-C28</f>
        <v>11.975999999999999</v>
      </c>
      <c r="D31" s="24">
        <f t="shared" ref="D31:E31" si="8">D30-D28</f>
        <v>11.463999999999999</v>
      </c>
      <c r="E31" s="34">
        <f t="shared" si="8"/>
        <v>13.928000000000011</v>
      </c>
      <c r="H31" s="1"/>
      <c r="I31" s="13">
        <v>0</v>
      </c>
      <c r="J31" s="13">
        <v>1</v>
      </c>
      <c r="K31" s="13">
        <v>2</v>
      </c>
      <c r="L31" s="13">
        <v>3</v>
      </c>
      <c r="M31" s="13">
        <v>4</v>
      </c>
      <c r="N31" s="13">
        <v>5</v>
      </c>
      <c r="O31" s="13">
        <v>6</v>
      </c>
      <c r="P31" s="13">
        <v>7</v>
      </c>
      <c r="Q31" s="13">
        <v>8</v>
      </c>
      <c r="R31" s="13">
        <v>9</v>
      </c>
      <c r="S31" s="14">
        <v>10</v>
      </c>
      <c r="U31" s="1"/>
      <c r="V31" s="13">
        <v>0</v>
      </c>
      <c r="W31" s="13">
        <v>1</v>
      </c>
      <c r="X31" s="13">
        <v>2</v>
      </c>
      <c r="Y31" s="13">
        <v>3</v>
      </c>
      <c r="Z31" s="13">
        <v>4</v>
      </c>
      <c r="AA31" s="13">
        <v>5</v>
      </c>
      <c r="AB31" s="13">
        <v>6</v>
      </c>
      <c r="AC31" s="13">
        <v>7</v>
      </c>
      <c r="AD31" s="13">
        <v>8</v>
      </c>
      <c r="AE31" s="13">
        <v>9</v>
      </c>
      <c r="AF31" s="14">
        <v>10</v>
      </c>
    </row>
    <row r="32" spans="2:32" x14ac:dyDescent="0.25">
      <c r="H32" s="15">
        <v>1.4999999999999999E-2</v>
      </c>
      <c r="I32" s="16"/>
      <c r="J32" s="16">
        <f>J7-I7</f>
        <v>0.92999999999999261</v>
      </c>
      <c r="K32" s="16">
        <f t="shared" ref="K32:S32" si="9">K7-J7</f>
        <v>0.93000000000000682</v>
      </c>
      <c r="L32" s="16">
        <f t="shared" si="9"/>
        <v>0.92999999999999261</v>
      </c>
      <c r="M32" s="16">
        <f t="shared" si="9"/>
        <v>0.93000000000000682</v>
      </c>
      <c r="N32" s="16">
        <f t="shared" si="9"/>
        <v>0.92999999999999261</v>
      </c>
      <c r="O32" s="16">
        <f t="shared" si="9"/>
        <v>0.93000000000000682</v>
      </c>
      <c r="P32" s="16">
        <f t="shared" si="9"/>
        <v>0.93000000000000682</v>
      </c>
      <c r="Q32" s="16">
        <f t="shared" si="9"/>
        <v>0.93000000000000682</v>
      </c>
      <c r="R32" s="16">
        <f t="shared" si="9"/>
        <v>0.92999999999999261</v>
      </c>
      <c r="S32" s="16">
        <f t="shared" si="9"/>
        <v>0.92999999999999261</v>
      </c>
      <c r="U32" s="15">
        <v>1.4999999999999999E-2</v>
      </c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7"/>
    </row>
    <row r="33" spans="8:32" x14ac:dyDescent="0.25">
      <c r="H33" s="15">
        <v>1.6E-2</v>
      </c>
      <c r="I33" s="16"/>
      <c r="J33" s="16">
        <f t="shared" ref="J33:S33" si="10">J8-I8</f>
        <v>0.99200000000000443</v>
      </c>
      <c r="K33" s="16">
        <f t="shared" si="10"/>
        <v>0.99199999999999733</v>
      </c>
      <c r="L33" s="16">
        <f t="shared" si="10"/>
        <v>0.99199999999999733</v>
      </c>
      <c r="M33" s="16">
        <f t="shared" si="10"/>
        <v>0.99200000000000443</v>
      </c>
      <c r="N33" s="16">
        <f t="shared" si="10"/>
        <v>0.99200000000000443</v>
      </c>
      <c r="O33" s="16">
        <f t="shared" si="10"/>
        <v>0.99199999999999022</v>
      </c>
      <c r="P33" s="16">
        <f t="shared" si="10"/>
        <v>0.99200000000000443</v>
      </c>
      <c r="Q33" s="16">
        <f t="shared" si="10"/>
        <v>0.99200000000000443</v>
      </c>
      <c r="R33" s="16">
        <f t="shared" si="10"/>
        <v>0.99200000000000443</v>
      </c>
      <c r="S33" s="16">
        <f t="shared" si="10"/>
        <v>0.99199999999999022</v>
      </c>
      <c r="U33" s="15">
        <v>1.6E-2</v>
      </c>
      <c r="V33" s="16">
        <f>I8-I7</f>
        <v>0</v>
      </c>
      <c r="W33" s="16">
        <f t="shared" ref="W33:AF33" si="11">J8-J7</f>
        <v>6.2000000000011823E-2</v>
      </c>
      <c r="X33" s="16">
        <f t="shared" si="11"/>
        <v>0.12400000000000233</v>
      </c>
      <c r="Y33" s="16">
        <f t="shared" si="11"/>
        <v>0.18600000000000705</v>
      </c>
      <c r="Z33" s="16">
        <f t="shared" si="11"/>
        <v>0.24800000000000466</v>
      </c>
      <c r="AA33" s="16">
        <f t="shared" si="11"/>
        <v>0.31000000000001648</v>
      </c>
      <c r="AB33" s="16">
        <f t="shared" si="11"/>
        <v>0.37199999999999989</v>
      </c>
      <c r="AC33" s="16">
        <f t="shared" si="11"/>
        <v>0.4339999999999975</v>
      </c>
      <c r="AD33" s="16">
        <f t="shared" si="11"/>
        <v>0.49599999999999511</v>
      </c>
      <c r="AE33" s="16">
        <f t="shared" si="11"/>
        <v>0.55800000000000693</v>
      </c>
      <c r="AF33" s="16">
        <f t="shared" si="11"/>
        <v>0.62000000000000455</v>
      </c>
    </row>
    <row r="34" spans="8:32" x14ac:dyDescent="0.25">
      <c r="H34" s="15">
        <v>1.7000000000000001E-2</v>
      </c>
      <c r="I34" s="16"/>
      <c r="J34" s="16">
        <f t="shared" ref="J34:S34" si="12">J9-I9</f>
        <v>1.0539999999999949</v>
      </c>
      <c r="K34" s="16">
        <f t="shared" si="12"/>
        <v>1.0540000000000092</v>
      </c>
      <c r="L34" s="16">
        <f t="shared" si="12"/>
        <v>1.0539999999999878</v>
      </c>
      <c r="M34" s="16">
        <f t="shared" si="12"/>
        <v>1.0540000000000163</v>
      </c>
      <c r="N34" s="16">
        <f t="shared" si="12"/>
        <v>1.0539999999999878</v>
      </c>
      <c r="O34" s="16">
        <f t="shared" si="12"/>
        <v>1.0540000000000163</v>
      </c>
      <c r="P34" s="16">
        <f t="shared" si="12"/>
        <v>1.0539999999999878</v>
      </c>
      <c r="Q34" s="16">
        <f t="shared" si="12"/>
        <v>1.054000000000002</v>
      </c>
      <c r="R34" s="16">
        <f t="shared" si="12"/>
        <v>1.054000000000002</v>
      </c>
      <c r="S34" s="16">
        <f t="shared" si="12"/>
        <v>1.0539999999999878</v>
      </c>
      <c r="U34" s="15">
        <v>1.7000000000000001E-2</v>
      </c>
      <c r="V34" s="16">
        <f t="shared" ref="V34:V52" si="13">I9-I8</f>
        <v>0</v>
      </c>
      <c r="W34" s="16">
        <f t="shared" ref="W34:W52" si="14">J9-J8</f>
        <v>6.1999999999990507E-2</v>
      </c>
      <c r="X34" s="16">
        <f t="shared" ref="X34:X52" si="15">K9-K8</f>
        <v>0.12400000000000233</v>
      </c>
      <c r="Y34" s="16">
        <f t="shared" ref="Y34:Y52" si="16">L9-L8</f>
        <v>0.18599999999999284</v>
      </c>
      <c r="Z34" s="16">
        <f t="shared" ref="Z34:Z52" si="17">M9-M8</f>
        <v>0.24800000000000466</v>
      </c>
      <c r="AA34" s="16">
        <f t="shared" ref="AA34:AA52" si="18">N9-N8</f>
        <v>0.30999999999998806</v>
      </c>
      <c r="AB34" s="16">
        <f t="shared" ref="AB34:AB52" si="19">O9-O8</f>
        <v>0.3720000000000141</v>
      </c>
      <c r="AC34" s="16">
        <f t="shared" ref="AC34:AC52" si="20">P9-P8</f>
        <v>0.4339999999999975</v>
      </c>
      <c r="AD34" s="16">
        <f t="shared" ref="AD34:AD52" si="21">Q9-Q8</f>
        <v>0.49599999999999511</v>
      </c>
      <c r="AE34" s="16">
        <f t="shared" ref="AE34:AE52" si="22">R9-R8</f>
        <v>0.55799999999999272</v>
      </c>
      <c r="AF34" s="16">
        <f t="shared" ref="AF34:AF52" si="23">S9-S8</f>
        <v>0.61999999999999034</v>
      </c>
    </row>
    <row r="35" spans="8:32" x14ac:dyDescent="0.25">
      <c r="H35" s="15">
        <v>1.7999999999999999E-2</v>
      </c>
      <c r="I35" s="16"/>
      <c r="J35" s="16">
        <f t="shared" ref="J35:S35" si="24">J10-I10</f>
        <v>1.1159999999999997</v>
      </c>
      <c r="K35" s="16">
        <f t="shared" si="24"/>
        <v>1.1159999999999997</v>
      </c>
      <c r="L35" s="16">
        <f t="shared" si="24"/>
        <v>1.1159999999999997</v>
      </c>
      <c r="M35" s="16">
        <f t="shared" si="24"/>
        <v>1.1159999999999997</v>
      </c>
      <c r="N35" s="16">
        <f t="shared" si="24"/>
        <v>1.1159999999999997</v>
      </c>
      <c r="O35" s="16">
        <f t="shared" si="24"/>
        <v>1.1160000000000139</v>
      </c>
      <c r="P35" s="16">
        <f t="shared" si="24"/>
        <v>1.1159999999999854</v>
      </c>
      <c r="Q35" s="16">
        <f t="shared" si="24"/>
        <v>1.1159999999999997</v>
      </c>
      <c r="R35" s="16">
        <f t="shared" si="24"/>
        <v>1.1159999999999997</v>
      </c>
      <c r="S35" s="16">
        <f t="shared" si="24"/>
        <v>1.1159999999999997</v>
      </c>
      <c r="U35" s="15">
        <v>1.7999999999999999E-2</v>
      </c>
      <c r="V35" s="16">
        <f t="shared" si="13"/>
        <v>0</v>
      </c>
      <c r="W35" s="16">
        <f t="shared" si="14"/>
        <v>6.2000000000004718E-2</v>
      </c>
      <c r="X35" s="16">
        <f t="shared" si="15"/>
        <v>0.12399999999999523</v>
      </c>
      <c r="Y35" s="16">
        <f t="shared" si="16"/>
        <v>0.18600000000000705</v>
      </c>
      <c r="Z35" s="16">
        <f t="shared" si="17"/>
        <v>0.24799999999999045</v>
      </c>
      <c r="AA35" s="16">
        <f t="shared" si="18"/>
        <v>0.31000000000000227</v>
      </c>
      <c r="AB35" s="16">
        <f t="shared" si="19"/>
        <v>0.37199999999999989</v>
      </c>
      <c r="AC35" s="16">
        <f t="shared" si="20"/>
        <v>0.4339999999999975</v>
      </c>
      <c r="AD35" s="16">
        <f t="shared" si="21"/>
        <v>0.49599999999999511</v>
      </c>
      <c r="AE35" s="16">
        <f t="shared" si="22"/>
        <v>0.55799999999999272</v>
      </c>
      <c r="AF35" s="16">
        <f t="shared" si="23"/>
        <v>0.62000000000000455</v>
      </c>
    </row>
    <row r="36" spans="8:32" x14ac:dyDescent="0.25">
      <c r="H36" s="15">
        <v>1.9E-2</v>
      </c>
      <c r="I36" s="16"/>
      <c r="J36" s="16">
        <f t="shared" ref="J36:S36" si="25">J11-I11</f>
        <v>1.1779999999999973</v>
      </c>
      <c r="K36" s="16">
        <f t="shared" si="25"/>
        <v>1.1780000000000115</v>
      </c>
      <c r="L36" s="16">
        <f t="shared" si="25"/>
        <v>1.1779999999999831</v>
      </c>
      <c r="M36" s="16">
        <f t="shared" si="25"/>
        <v>1.1780000000000115</v>
      </c>
      <c r="N36" s="16">
        <f t="shared" si="25"/>
        <v>1.1779999999999973</v>
      </c>
      <c r="O36" s="16">
        <f t="shared" si="25"/>
        <v>1.1779999999999973</v>
      </c>
      <c r="P36" s="16">
        <f t="shared" si="25"/>
        <v>1.1779999999999973</v>
      </c>
      <c r="Q36" s="16">
        <f t="shared" si="25"/>
        <v>1.1779999999999973</v>
      </c>
      <c r="R36" s="16">
        <f t="shared" si="25"/>
        <v>1.1780000000000115</v>
      </c>
      <c r="S36" s="16">
        <f t="shared" si="25"/>
        <v>1.1779999999999973</v>
      </c>
      <c r="U36" s="15">
        <v>1.9E-2</v>
      </c>
      <c r="V36" s="16">
        <f t="shared" si="13"/>
        <v>0</v>
      </c>
      <c r="W36" s="16">
        <f t="shared" si="14"/>
        <v>6.1999999999997613E-2</v>
      </c>
      <c r="X36" s="16">
        <f t="shared" si="15"/>
        <v>0.12400000000000944</v>
      </c>
      <c r="Y36" s="16">
        <f t="shared" si="16"/>
        <v>0.18599999999999284</v>
      </c>
      <c r="Z36" s="16">
        <f t="shared" si="17"/>
        <v>0.24800000000000466</v>
      </c>
      <c r="AA36" s="16">
        <f t="shared" si="18"/>
        <v>0.31000000000000227</v>
      </c>
      <c r="AB36" s="16">
        <f t="shared" si="19"/>
        <v>0.37199999999998568</v>
      </c>
      <c r="AC36" s="16">
        <f t="shared" si="20"/>
        <v>0.4339999999999975</v>
      </c>
      <c r="AD36" s="16">
        <f t="shared" si="21"/>
        <v>0.49599999999999511</v>
      </c>
      <c r="AE36" s="16">
        <f t="shared" si="22"/>
        <v>0.55800000000000693</v>
      </c>
      <c r="AF36" s="16">
        <f t="shared" si="23"/>
        <v>0.62000000000000455</v>
      </c>
    </row>
    <row r="37" spans="8:32" x14ac:dyDescent="0.25">
      <c r="H37" s="15">
        <v>0.02</v>
      </c>
      <c r="I37" s="16"/>
      <c r="J37" s="16">
        <f t="shared" ref="J37:S37" si="26">J12-I12</f>
        <v>1.240000000000002</v>
      </c>
      <c r="K37" s="16">
        <f t="shared" si="26"/>
        <v>1.240000000000002</v>
      </c>
      <c r="L37" s="16">
        <f t="shared" si="26"/>
        <v>1.2399999999999949</v>
      </c>
      <c r="M37" s="16">
        <f t="shared" si="26"/>
        <v>1.2400000000000091</v>
      </c>
      <c r="N37" s="16">
        <f t="shared" si="26"/>
        <v>1.2399999999999949</v>
      </c>
      <c r="O37" s="16">
        <f t="shared" si="26"/>
        <v>1.2400000000000091</v>
      </c>
      <c r="P37" s="16">
        <f t="shared" si="26"/>
        <v>1.2399999999999949</v>
      </c>
      <c r="Q37" s="16">
        <f t="shared" si="26"/>
        <v>1.2399999999999949</v>
      </c>
      <c r="R37" s="16">
        <f t="shared" si="26"/>
        <v>1.2399999999999949</v>
      </c>
      <c r="S37" s="16">
        <f t="shared" si="26"/>
        <v>1.2399999999999949</v>
      </c>
      <c r="U37" s="15">
        <v>0.02</v>
      </c>
      <c r="V37" s="16">
        <f t="shared" si="13"/>
        <v>0</v>
      </c>
      <c r="W37" s="16">
        <f t="shared" si="14"/>
        <v>6.2000000000004718E-2</v>
      </c>
      <c r="X37" s="16">
        <f t="shared" si="15"/>
        <v>0.12399999999999523</v>
      </c>
      <c r="Y37" s="16">
        <f t="shared" si="16"/>
        <v>0.18600000000000705</v>
      </c>
      <c r="Z37" s="16">
        <f t="shared" si="17"/>
        <v>0.24800000000000466</v>
      </c>
      <c r="AA37" s="16">
        <f t="shared" si="18"/>
        <v>0.31000000000000227</v>
      </c>
      <c r="AB37" s="16">
        <f t="shared" si="19"/>
        <v>0.3720000000000141</v>
      </c>
      <c r="AC37" s="16">
        <f t="shared" si="20"/>
        <v>0.43400000000001171</v>
      </c>
      <c r="AD37" s="16">
        <f t="shared" si="21"/>
        <v>0.49600000000000932</v>
      </c>
      <c r="AE37" s="16">
        <f t="shared" si="22"/>
        <v>0.55799999999999272</v>
      </c>
      <c r="AF37" s="16">
        <f t="shared" si="23"/>
        <v>0.61999999999999034</v>
      </c>
    </row>
    <row r="38" spans="8:32" x14ac:dyDescent="0.25">
      <c r="H38" s="15">
        <v>2.1000000000000001E-2</v>
      </c>
      <c r="I38" s="16"/>
      <c r="J38" s="16">
        <f t="shared" ref="J38:S38" si="27">J13-I13</f>
        <v>1.3019999999999925</v>
      </c>
      <c r="K38" s="16">
        <f t="shared" si="27"/>
        <v>1.3020000000000067</v>
      </c>
      <c r="L38" s="16">
        <f t="shared" si="27"/>
        <v>1.3019999999999925</v>
      </c>
      <c r="M38" s="16">
        <f t="shared" si="27"/>
        <v>1.3020000000000067</v>
      </c>
      <c r="N38" s="16">
        <f t="shared" si="27"/>
        <v>1.3020000000000067</v>
      </c>
      <c r="O38" s="16">
        <f t="shared" si="27"/>
        <v>1.3019999999999925</v>
      </c>
      <c r="P38" s="16">
        <f t="shared" si="27"/>
        <v>1.3020000000000067</v>
      </c>
      <c r="Q38" s="16">
        <f t="shared" si="27"/>
        <v>1.3019999999999925</v>
      </c>
      <c r="R38" s="16">
        <f t="shared" si="27"/>
        <v>1.3020000000000067</v>
      </c>
      <c r="S38" s="16">
        <f t="shared" si="27"/>
        <v>1.3019999999999925</v>
      </c>
      <c r="U38" s="15">
        <v>2.1000000000000001E-2</v>
      </c>
      <c r="V38" s="16">
        <f t="shared" si="13"/>
        <v>0</v>
      </c>
      <c r="W38" s="16">
        <f t="shared" si="14"/>
        <v>6.1999999999990507E-2</v>
      </c>
      <c r="X38" s="16">
        <f t="shared" si="15"/>
        <v>0.12399999999999523</v>
      </c>
      <c r="Y38" s="16">
        <f t="shared" si="16"/>
        <v>0.18599999999999284</v>
      </c>
      <c r="Z38" s="16">
        <f t="shared" si="17"/>
        <v>0.24799999999999045</v>
      </c>
      <c r="AA38" s="16">
        <f t="shared" si="18"/>
        <v>0.31000000000000227</v>
      </c>
      <c r="AB38" s="16">
        <f t="shared" si="19"/>
        <v>0.37199999999998568</v>
      </c>
      <c r="AC38" s="16">
        <f t="shared" si="20"/>
        <v>0.4339999999999975</v>
      </c>
      <c r="AD38" s="16">
        <f t="shared" si="21"/>
        <v>0.49599999999999511</v>
      </c>
      <c r="AE38" s="16">
        <f t="shared" si="22"/>
        <v>0.55800000000000693</v>
      </c>
      <c r="AF38" s="16">
        <f t="shared" si="23"/>
        <v>0.62000000000000455</v>
      </c>
    </row>
    <row r="39" spans="8:32" x14ac:dyDescent="0.25">
      <c r="H39" s="15">
        <v>2.1999999999999999E-2</v>
      </c>
      <c r="I39" s="16"/>
      <c r="J39" s="16">
        <f t="shared" ref="J39:S39" si="28">J14-I14</f>
        <v>1.3640000000000043</v>
      </c>
      <c r="K39" s="16">
        <f t="shared" si="28"/>
        <v>1.3640000000000043</v>
      </c>
      <c r="L39" s="16">
        <f t="shared" si="28"/>
        <v>1.3639999999999901</v>
      </c>
      <c r="M39" s="16">
        <f t="shared" si="28"/>
        <v>1.3640000000000043</v>
      </c>
      <c r="N39" s="16">
        <f t="shared" si="28"/>
        <v>1.3639999999999901</v>
      </c>
      <c r="O39" s="16">
        <f t="shared" si="28"/>
        <v>1.3640000000000185</v>
      </c>
      <c r="P39" s="16">
        <f t="shared" si="28"/>
        <v>1.3639999999999901</v>
      </c>
      <c r="Q39" s="16">
        <f t="shared" si="28"/>
        <v>1.3639999999999901</v>
      </c>
      <c r="R39" s="16">
        <f t="shared" si="28"/>
        <v>1.3640000000000043</v>
      </c>
      <c r="S39" s="16">
        <f t="shared" si="28"/>
        <v>1.3640000000000043</v>
      </c>
      <c r="U39" s="15">
        <v>2.1999999999999999E-2</v>
      </c>
      <c r="V39" s="16">
        <f t="shared" si="13"/>
        <v>0</v>
      </c>
      <c r="W39" s="16">
        <f t="shared" si="14"/>
        <v>6.2000000000011823E-2</v>
      </c>
      <c r="X39" s="16">
        <f t="shared" si="15"/>
        <v>0.12400000000000944</v>
      </c>
      <c r="Y39" s="16">
        <f t="shared" si="16"/>
        <v>0.18600000000000705</v>
      </c>
      <c r="Z39" s="16">
        <f t="shared" si="17"/>
        <v>0.24800000000000466</v>
      </c>
      <c r="AA39" s="16">
        <f t="shared" si="18"/>
        <v>0.30999999999998806</v>
      </c>
      <c r="AB39" s="16">
        <f t="shared" si="19"/>
        <v>0.3720000000000141</v>
      </c>
      <c r="AC39" s="16">
        <f t="shared" si="20"/>
        <v>0.4339999999999975</v>
      </c>
      <c r="AD39" s="16">
        <f t="shared" si="21"/>
        <v>0.49599999999999511</v>
      </c>
      <c r="AE39" s="16">
        <f t="shared" si="22"/>
        <v>0.55799999999999272</v>
      </c>
      <c r="AF39" s="16">
        <f t="shared" si="23"/>
        <v>0.62000000000000455</v>
      </c>
    </row>
    <row r="40" spans="8:32" x14ac:dyDescent="0.25">
      <c r="H40" s="15">
        <v>2.3E-2</v>
      </c>
      <c r="I40" s="16"/>
      <c r="J40" s="16">
        <f t="shared" ref="J40:S40" si="29">J15-I15</f>
        <v>1.4259999999999948</v>
      </c>
      <c r="K40" s="16">
        <f t="shared" si="29"/>
        <v>1.426000000000009</v>
      </c>
      <c r="L40" s="16">
        <f t="shared" si="29"/>
        <v>1.4259999999999877</v>
      </c>
      <c r="M40" s="16">
        <f t="shared" si="29"/>
        <v>1.4260000000000161</v>
      </c>
      <c r="N40" s="16">
        <f t="shared" si="29"/>
        <v>1.4259999999999877</v>
      </c>
      <c r="O40" s="16">
        <f t="shared" si="29"/>
        <v>1.4260000000000019</v>
      </c>
      <c r="P40" s="16">
        <f t="shared" si="29"/>
        <v>1.4260000000000019</v>
      </c>
      <c r="Q40" s="16">
        <f t="shared" si="29"/>
        <v>1.4260000000000019</v>
      </c>
      <c r="R40" s="16">
        <f t="shared" si="29"/>
        <v>1.4260000000000019</v>
      </c>
      <c r="S40" s="16">
        <f t="shared" si="29"/>
        <v>1.4260000000000019</v>
      </c>
      <c r="U40" s="15">
        <v>2.3E-2</v>
      </c>
      <c r="V40" s="16">
        <f t="shared" si="13"/>
        <v>0</v>
      </c>
      <c r="W40" s="16">
        <f t="shared" si="14"/>
        <v>6.1999999999990507E-2</v>
      </c>
      <c r="X40" s="16">
        <f t="shared" si="15"/>
        <v>0.12399999999999523</v>
      </c>
      <c r="Y40" s="16">
        <f t="shared" si="16"/>
        <v>0.18599999999999284</v>
      </c>
      <c r="Z40" s="16">
        <f t="shared" si="17"/>
        <v>0.24800000000000466</v>
      </c>
      <c r="AA40" s="16">
        <f t="shared" si="18"/>
        <v>0.31000000000000227</v>
      </c>
      <c r="AB40" s="16">
        <f t="shared" si="19"/>
        <v>0.37199999999998568</v>
      </c>
      <c r="AC40" s="16">
        <f t="shared" si="20"/>
        <v>0.4339999999999975</v>
      </c>
      <c r="AD40" s="16">
        <f t="shared" si="21"/>
        <v>0.49600000000000932</v>
      </c>
      <c r="AE40" s="16">
        <f t="shared" si="22"/>
        <v>0.55800000000000693</v>
      </c>
      <c r="AF40" s="16">
        <f t="shared" si="23"/>
        <v>0.62000000000000455</v>
      </c>
    </row>
    <row r="41" spans="8:32" x14ac:dyDescent="0.25">
      <c r="H41" s="15">
        <v>2.4E-2</v>
      </c>
      <c r="I41" s="16"/>
      <c r="J41" s="16">
        <f t="shared" ref="J41:S41" si="30">J16-I16</f>
        <v>1.4879999999999995</v>
      </c>
      <c r="K41" s="16">
        <f t="shared" si="30"/>
        <v>1.4879999999999995</v>
      </c>
      <c r="L41" s="16">
        <f t="shared" si="30"/>
        <v>1.4879999999999995</v>
      </c>
      <c r="M41" s="16">
        <f t="shared" si="30"/>
        <v>1.4879999999999995</v>
      </c>
      <c r="N41" s="16">
        <f t="shared" si="30"/>
        <v>1.4880000000000138</v>
      </c>
      <c r="O41" s="16">
        <f t="shared" si="30"/>
        <v>1.4879999999999995</v>
      </c>
      <c r="P41" s="16">
        <f t="shared" si="30"/>
        <v>1.4879999999999853</v>
      </c>
      <c r="Q41" s="16">
        <f t="shared" si="30"/>
        <v>1.4879999999999995</v>
      </c>
      <c r="R41" s="16">
        <f t="shared" si="30"/>
        <v>1.4879999999999995</v>
      </c>
      <c r="S41" s="16">
        <f t="shared" si="30"/>
        <v>1.4879999999999995</v>
      </c>
      <c r="U41" s="15">
        <v>2.4E-2</v>
      </c>
      <c r="V41" s="16">
        <f t="shared" si="13"/>
        <v>0</v>
      </c>
      <c r="W41" s="16">
        <f t="shared" si="14"/>
        <v>6.2000000000004718E-2</v>
      </c>
      <c r="X41" s="16">
        <f t="shared" si="15"/>
        <v>0.12399999999999523</v>
      </c>
      <c r="Y41" s="16">
        <f t="shared" si="16"/>
        <v>0.18600000000000705</v>
      </c>
      <c r="Z41" s="16">
        <f t="shared" si="17"/>
        <v>0.24799999999999045</v>
      </c>
      <c r="AA41" s="16">
        <f t="shared" si="18"/>
        <v>0.31000000000001648</v>
      </c>
      <c r="AB41" s="16">
        <f t="shared" si="19"/>
        <v>0.3720000000000141</v>
      </c>
      <c r="AC41" s="16">
        <f t="shared" si="20"/>
        <v>0.4339999999999975</v>
      </c>
      <c r="AD41" s="16">
        <f t="shared" si="21"/>
        <v>0.49599999999999511</v>
      </c>
      <c r="AE41" s="16">
        <f t="shared" si="22"/>
        <v>0.55799999999999272</v>
      </c>
      <c r="AF41" s="16">
        <f t="shared" si="23"/>
        <v>0.61999999999999034</v>
      </c>
    </row>
    <row r="42" spans="8:32" x14ac:dyDescent="0.25">
      <c r="H42" s="15">
        <v>2.5000000000000001E-2</v>
      </c>
      <c r="I42" s="16"/>
      <c r="J42" s="16">
        <f t="shared" ref="J42:S42" si="31">J17-I17</f>
        <v>1.5499999999999972</v>
      </c>
      <c r="K42" s="16">
        <f t="shared" si="31"/>
        <v>1.5500000000000114</v>
      </c>
      <c r="L42" s="16">
        <f t="shared" si="31"/>
        <v>1.5499999999999829</v>
      </c>
      <c r="M42" s="16">
        <f t="shared" si="31"/>
        <v>1.5500000000000114</v>
      </c>
      <c r="N42" s="16">
        <f t="shared" si="31"/>
        <v>1.5499999999999972</v>
      </c>
      <c r="O42" s="16">
        <f t="shared" si="31"/>
        <v>1.5499999999999972</v>
      </c>
      <c r="P42" s="16">
        <f t="shared" si="31"/>
        <v>1.5500000000000114</v>
      </c>
      <c r="Q42" s="16">
        <f t="shared" si="31"/>
        <v>1.5499999999999829</v>
      </c>
      <c r="R42" s="16">
        <f t="shared" si="31"/>
        <v>1.5500000000000114</v>
      </c>
      <c r="S42" s="16">
        <f t="shared" si="31"/>
        <v>1.5499999999999972</v>
      </c>
      <c r="U42" s="15">
        <v>2.5000000000000001E-2</v>
      </c>
      <c r="V42" s="16">
        <f t="shared" si="13"/>
        <v>0</v>
      </c>
      <c r="W42" s="16">
        <f t="shared" si="14"/>
        <v>6.1999999999997613E-2</v>
      </c>
      <c r="X42" s="16">
        <f t="shared" si="15"/>
        <v>0.12400000000000944</v>
      </c>
      <c r="Y42" s="16">
        <f t="shared" si="16"/>
        <v>0.18599999999999284</v>
      </c>
      <c r="Z42" s="16">
        <f t="shared" si="17"/>
        <v>0.24800000000000466</v>
      </c>
      <c r="AA42" s="16">
        <f t="shared" si="18"/>
        <v>0.30999999999998806</v>
      </c>
      <c r="AB42" s="16">
        <f t="shared" si="19"/>
        <v>0.37199999999998568</v>
      </c>
      <c r="AC42" s="16">
        <f t="shared" si="20"/>
        <v>0.43400000000001171</v>
      </c>
      <c r="AD42" s="16">
        <f t="shared" si="21"/>
        <v>0.49599999999999511</v>
      </c>
      <c r="AE42" s="16">
        <f t="shared" si="22"/>
        <v>0.55800000000000693</v>
      </c>
      <c r="AF42" s="16">
        <f t="shared" si="23"/>
        <v>0.62000000000000455</v>
      </c>
    </row>
    <row r="43" spans="8:32" x14ac:dyDescent="0.25">
      <c r="H43" s="15">
        <v>2.5999999999999999E-2</v>
      </c>
      <c r="I43" s="16"/>
      <c r="J43" s="16">
        <f t="shared" ref="J43:S43" si="32">J18-I18</f>
        <v>1.6120000000000019</v>
      </c>
      <c r="K43" s="16">
        <f t="shared" si="32"/>
        <v>1.6120000000000019</v>
      </c>
      <c r="L43" s="16">
        <f t="shared" si="32"/>
        <v>1.6119999999999948</v>
      </c>
      <c r="M43" s="16">
        <f t="shared" si="32"/>
        <v>1.612000000000009</v>
      </c>
      <c r="N43" s="16">
        <f t="shared" si="32"/>
        <v>1.6119999999999806</v>
      </c>
      <c r="O43" s="16">
        <f t="shared" si="32"/>
        <v>1.612000000000009</v>
      </c>
      <c r="P43" s="16">
        <f t="shared" si="32"/>
        <v>1.6119999999999948</v>
      </c>
      <c r="Q43" s="16">
        <f t="shared" si="32"/>
        <v>1.612000000000009</v>
      </c>
      <c r="R43" s="16">
        <f t="shared" si="32"/>
        <v>1.6119999999999948</v>
      </c>
      <c r="S43" s="16">
        <f t="shared" si="32"/>
        <v>1.612000000000009</v>
      </c>
      <c r="U43" s="15">
        <v>2.5999999999999999E-2</v>
      </c>
      <c r="V43" s="16">
        <f t="shared" si="13"/>
        <v>0</v>
      </c>
      <c r="W43" s="16">
        <f t="shared" si="14"/>
        <v>6.2000000000004718E-2</v>
      </c>
      <c r="X43" s="16">
        <f t="shared" si="15"/>
        <v>0.12399999999999523</v>
      </c>
      <c r="Y43" s="16">
        <f t="shared" si="16"/>
        <v>0.18600000000000705</v>
      </c>
      <c r="Z43" s="16">
        <f t="shared" si="17"/>
        <v>0.24800000000000466</v>
      </c>
      <c r="AA43" s="16">
        <f t="shared" si="18"/>
        <v>0.30999999999998806</v>
      </c>
      <c r="AB43" s="16">
        <f t="shared" si="19"/>
        <v>0.37199999999999989</v>
      </c>
      <c r="AC43" s="16">
        <f t="shared" si="20"/>
        <v>0.43399999999998329</v>
      </c>
      <c r="AD43" s="16">
        <f t="shared" si="21"/>
        <v>0.49600000000000932</v>
      </c>
      <c r="AE43" s="16">
        <f t="shared" si="22"/>
        <v>0.55799999999999272</v>
      </c>
      <c r="AF43" s="16">
        <f t="shared" si="23"/>
        <v>0.62000000000000455</v>
      </c>
    </row>
    <row r="44" spans="8:32" x14ac:dyDescent="0.25">
      <c r="H44" s="15">
        <v>2.7E-2</v>
      </c>
      <c r="I44" s="16"/>
      <c r="J44" s="16">
        <f t="shared" ref="J44:S44" si="33">J19-I19</f>
        <v>1.6739999999999924</v>
      </c>
      <c r="K44" s="16">
        <f t="shared" si="33"/>
        <v>1.6740000000000066</v>
      </c>
      <c r="L44" s="16">
        <f t="shared" si="33"/>
        <v>1.6739999999999924</v>
      </c>
      <c r="M44" s="16">
        <f t="shared" si="33"/>
        <v>1.6740000000000208</v>
      </c>
      <c r="N44" s="16">
        <f t="shared" si="33"/>
        <v>1.6739999999999924</v>
      </c>
      <c r="O44" s="16">
        <f t="shared" si="33"/>
        <v>1.6739999999999924</v>
      </c>
      <c r="P44" s="16">
        <f t="shared" si="33"/>
        <v>1.6740000000000066</v>
      </c>
      <c r="Q44" s="16">
        <f t="shared" si="33"/>
        <v>1.6739999999999924</v>
      </c>
      <c r="R44" s="16">
        <f t="shared" si="33"/>
        <v>1.6739999999999924</v>
      </c>
      <c r="S44" s="16">
        <f t="shared" si="33"/>
        <v>1.6740000000000066</v>
      </c>
      <c r="U44" s="15">
        <v>2.7E-2</v>
      </c>
      <c r="V44" s="16">
        <f t="shared" si="13"/>
        <v>0</v>
      </c>
      <c r="W44" s="16">
        <f t="shared" si="14"/>
        <v>6.1999999999990507E-2</v>
      </c>
      <c r="X44" s="16">
        <f t="shared" si="15"/>
        <v>0.12399999999999523</v>
      </c>
      <c r="Y44" s="16">
        <f t="shared" si="16"/>
        <v>0.18599999999999284</v>
      </c>
      <c r="Z44" s="16">
        <f t="shared" si="17"/>
        <v>0.24800000000000466</v>
      </c>
      <c r="AA44" s="16">
        <f t="shared" si="18"/>
        <v>0.31000000000001648</v>
      </c>
      <c r="AB44" s="16">
        <f t="shared" si="19"/>
        <v>0.37199999999999989</v>
      </c>
      <c r="AC44" s="16">
        <f t="shared" si="20"/>
        <v>0.43400000000001171</v>
      </c>
      <c r="AD44" s="16">
        <f t="shared" si="21"/>
        <v>0.49599999999999511</v>
      </c>
      <c r="AE44" s="16">
        <f t="shared" si="22"/>
        <v>0.55799999999999272</v>
      </c>
      <c r="AF44" s="16">
        <f t="shared" si="23"/>
        <v>0.61999999999999034</v>
      </c>
    </row>
    <row r="45" spans="8:32" x14ac:dyDescent="0.25">
      <c r="H45" s="15">
        <v>2.8000000000000001E-2</v>
      </c>
      <c r="I45" s="16"/>
      <c r="J45" s="16">
        <f t="shared" ref="J45:S45" si="34">J20-I20</f>
        <v>1.7360000000000042</v>
      </c>
      <c r="K45" s="16">
        <f t="shared" si="34"/>
        <v>1.7360000000000042</v>
      </c>
      <c r="L45" s="16">
        <f t="shared" si="34"/>
        <v>1.73599999999999</v>
      </c>
      <c r="M45" s="16">
        <f t="shared" si="34"/>
        <v>1.7360000000000042</v>
      </c>
      <c r="N45" s="16">
        <f t="shared" si="34"/>
        <v>1.7360000000000042</v>
      </c>
      <c r="O45" s="16">
        <f t="shared" si="34"/>
        <v>1.73599999999999</v>
      </c>
      <c r="P45" s="16">
        <f t="shared" si="34"/>
        <v>1.7360000000000042</v>
      </c>
      <c r="Q45" s="16">
        <f t="shared" si="34"/>
        <v>1.7360000000000042</v>
      </c>
      <c r="R45" s="16">
        <f t="shared" si="34"/>
        <v>1.73599999999999</v>
      </c>
      <c r="S45" s="16">
        <f t="shared" si="34"/>
        <v>1.7360000000000042</v>
      </c>
      <c r="U45" s="15">
        <v>2.8000000000000001E-2</v>
      </c>
      <c r="V45" s="16">
        <f t="shared" si="13"/>
        <v>0</v>
      </c>
      <c r="W45" s="16">
        <f t="shared" si="14"/>
        <v>6.2000000000011823E-2</v>
      </c>
      <c r="X45" s="16">
        <f t="shared" si="15"/>
        <v>0.12400000000000944</v>
      </c>
      <c r="Y45" s="16">
        <f t="shared" si="16"/>
        <v>0.18600000000000705</v>
      </c>
      <c r="Z45" s="16">
        <f t="shared" si="17"/>
        <v>0.24799999999999045</v>
      </c>
      <c r="AA45" s="16">
        <f t="shared" si="18"/>
        <v>0.31000000000000227</v>
      </c>
      <c r="AB45" s="16">
        <f t="shared" si="19"/>
        <v>0.37199999999999989</v>
      </c>
      <c r="AC45" s="16">
        <f t="shared" si="20"/>
        <v>0.4339999999999975</v>
      </c>
      <c r="AD45" s="16">
        <f t="shared" si="21"/>
        <v>0.49600000000000932</v>
      </c>
      <c r="AE45" s="16">
        <f t="shared" si="22"/>
        <v>0.55800000000000693</v>
      </c>
      <c r="AF45" s="16">
        <f t="shared" si="23"/>
        <v>0.62000000000000455</v>
      </c>
    </row>
    <row r="46" spans="8:32" x14ac:dyDescent="0.25">
      <c r="H46" s="15">
        <v>2.9000000000000001E-2</v>
      </c>
      <c r="I46" s="16"/>
      <c r="J46" s="16">
        <f t="shared" ref="J46:S46" si="35">J21-I21</f>
        <v>1.7979999999999947</v>
      </c>
      <c r="K46" s="16">
        <f t="shared" si="35"/>
        <v>1.7980000000000089</v>
      </c>
      <c r="L46" s="16">
        <f t="shared" si="35"/>
        <v>1.7979999999999876</v>
      </c>
      <c r="M46" s="16">
        <f t="shared" si="35"/>
        <v>1.798000000000016</v>
      </c>
      <c r="N46" s="16">
        <f t="shared" si="35"/>
        <v>1.7979999999999876</v>
      </c>
      <c r="O46" s="16">
        <f t="shared" si="35"/>
        <v>1.7980000000000018</v>
      </c>
      <c r="P46" s="16">
        <f t="shared" si="35"/>
        <v>1.7980000000000018</v>
      </c>
      <c r="Q46" s="16">
        <f t="shared" si="35"/>
        <v>1.7980000000000018</v>
      </c>
      <c r="R46" s="16">
        <f t="shared" si="35"/>
        <v>1.7980000000000018</v>
      </c>
      <c r="S46" s="16">
        <f t="shared" si="35"/>
        <v>1.7980000000000018</v>
      </c>
      <c r="U46" s="15">
        <v>2.9000000000000001E-2</v>
      </c>
      <c r="V46" s="16">
        <f t="shared" si="13"/>
        <v>0</v>
      </c>
      <c r="W46" s="16">
        <f t="shared" si="14"/>
        <v>6.1999999999990507E-2</v>
      </c>
      <c r="X46" s="16">
        <f t="shared" si="15"/>
        <v>0.12399999999999523</v>
      </c>
      <c r="Y46" s="16">
        <f t="shared" si="16"/>
        <v>0.18599999999999284</v>
      </c>
      <c r="Z46" s="16">
        <f t="shared" si="17"/>
        <v>0.24800000000000466</v>
      </c>
      <c r="AA46" s="16">
        <f t="shared" si="18"/>
        <v>0.30999999999998806</v>
      </c>
      <c r="AB46" s="16">
        <f t="shared" si="19"/>
        <v>0.37199999999999989</v>
      </c>
      <c r="AC46" s="16">
        <f t="shared" si="20"/>
        <v>0.4339999999999975</v>
      </c>
      <c r="AD46" s="16">
        <f t="shared" si="21"/>
        <v>0.49599999999999511</v>
      </c>
      <c r="AE46" s="16">
        <f t="shared" si="22"/>
        <v>0.55800000000000693</v>
      </c>
      <c r="AF46" s="16">
        <f t="shared" si="23"/>
        <v>0.62000000000000455</v>
      </c>
    </row>
    <row r="47" spans="8:32" x14ac:dyDescent="0.25">
      <c r="H47" s="15">
        <v>0.03</v>
      </c>
      <c r="I47" s="16"/>
      <c r="J47" s="16">
        <f t="shared" ref="J47:S47" si="36">J22-I22</f>
        <v>1.8599999999999994</v>
      </c>
      <c r="K47" s="16">
        <f t="shared" si="36"/>
        <v>1.8599999999999994</v>
      </c>
      <c r="L47" s="16">
        <f t="shared" si="36"/>
        <v>1.8599999999999994</v>
      </c>
      <c r="M47" s="16">
        <f t="shared" si="36"/>
        <v>1.8600000000000136</v>
      </c>
      <c r="N47" s="16">
        <f t="shared" si="36"/>
        <v>1.8599999999999852</v>
      </c>
      <c r="O47" s="16">
        <f t="shared" si="36"/>
        <v>1.8599999999999994</v>
      </c>
      <c r="P47" s="16">
        <f t="shared" si="36"/>
        <v>1.8599999999999994</v>
      </c>
      <c r="Q47" s="16">
        <f t="shared" si="36"/>
        <v>1.8599999999999994</v>
      </c>
      <c r="R47" s="16">
        <f t="shared" si="36"/>
        <v>1.8599999999999994</v>
      </c>
      <c r="S47" s="16">
        <f t="shared" si="36"/>
        <v>1.8600000000000136</v>
      </c>
      <c r="U47" s="15">
        <v>0.03</v>
      </c>
      <c r="V47" s="16">
        <f t="shared" si="13"/>
        <v>0</v>
      </c>
      <c r="W47" s="16">
        <f t="shared" si="14"/>
        <v>6.2000000000004718E-2</v>
      </c>
      <c r="X47" s="16">
        <f t="shared" si="15"/>
        <v>0.12399999999999523</v>
      </c>
      <c r="Y47" s="16">
        <f t="shared" si="16"/>
        <v>0.18600000000000705</v>
      </c>
      <c r="Z47" s="16">
        <f t="shared" si="17"/>
        <v>0.24800000000000466</v>
      </c>
      <c r="AA47" s="16">
        <f t="shared" si="18"/>
        <v>0.31000000000000227</v>
      </c>
      <c r="AB47" s="16">
        <f t="shared" si="19"/>
        <v>0.37199999999999989</v>
      </c>
      <c r="AC47" s="16">
        <f t="shared" si="20"/>
        <v>0.4339999999999975</v>
      </c>
      <c r="AD47" s="16">
        <f t="shared" si="21"/>
        <v>0.49599999999999511</v>
      </c>
      <c r="AE47" s="16">
        <f t="shared" si="22"/>
        <v>0.55799999999999272</v>
      </c>
      <c r="AF47" s="16">
        <f t="shared" si="23"/>
        <v>0.62000000000000455</v>
      </c>
    </row>
    <row r="48" spans="8:32" x14ac:dyDescent="0.25">
      <c r="H48" s="15">
        <v>3.1E-2</v>
      </c>
      <c r="I48" s="16"/>
      <c r="J48" s="16">
        <f t="shared" ref="J48:S48" si="37">J23-I23</f>
        <v>1.921999999999997</v>
      </c>
      <c r="K48" s="16">
        <f t="shared" si="37"/>
        <v>1.9220000000000113</v>
      </c>
      <c r="L48" s="16">
        <f t="shared" si="37"/>
        <v>1.9219999999999828</v>
      </c>
      <c r="M48" s="16">
        <f t="shared" si="37"/>
        <v>1.9220000000000113</v>
      </c>
      <c r="N48" s="16">
        <f t="shared" si="37"/>
        <v>1.921999999999997</v>
      </c>
      <c r="O48" s="16">
        <f t="shared" si="37"/>
        <v>1.921999999999997</v>
      </c>
      <c r="P48" s="16">
        <f t="shared" si="37"/>
        <v>1.9220000000000113</v>
      </c>
      <c r="Q48" s="16">
        <f t="shared" si="37"/>
        <v>1.921999999999997</v>
      </c>
      <c r="R48" s="16">
        <f t="shared" si="37"/>
        <v>1.921999999999997</v>
      </c>
      <c r="S48" s="16">
        <f t="shared" si="37"/>
        <v>1.921999999999997</v>
      </c>
      <c r="U48" s="15">
        <v>3.1E-2</v>
      </c>
      <c r="V48" s="16">
        <f t="shared" si="13"/>
        <v>0</v>
      </c>
      <c r="W48" s="16">
        <f t="shared" si="14"/>
        <v>6.1999999999997613E-2</v>
      </c>
      <c r="X48" s="16">
        <f t="shared" si="15"/>
        <v>0.12400000000000944</v>
      </c>
      <c r="Y48" s="16">
        <f t="shared" si="16"/>
        <v>0.18599999999999284</v>
      </c>
      <c r="Z48" s="16">
        <f t="shared" si="17"/>
        <v>0.24799999999999045</v>
      </c>
      <c r="AA48" s="16">
        <f t="shared" si="18"/>
        <v>0.31000000000000227</v>
      </c>
      <c r="AB48" s="16">
        <f t="shared" si="19"/>
        <v>0.37199999999999989</v>
      </c>
      <c r="AC48" s="16">
        <f t="shared" si="20"/>
        <v>0.43400000000001171</v>
      </c>
      <c r="AD48" s="16">
        <f t="shared" si="21"/>
        <v>0.49600000000000932</v>
      </c>
      <c r="AE48" s="16">
        <f t="shared" si="22"/>
        <v>0.55800000000000693</v>
      </c>
      <c r="AF48" s="16">
        <f t="shared" si="23"/>
        <v>0.61999999999999034</v>
      </c>
    </row>
    <row r="49" spans="8:32" x14ac:dyDescent="0.25">
      <c r="H49" s="15">
        <v>3.2000000000000001E-2</v>
      </c>
      <c r="I49" s="16"/>
      <c r="J49" s="16">
        <f t="shared" ref="J49:S49" si="38">J24-I24</f>
        <v>1.9840000000000018</v>
      </c>
      <c r="K49" s="16">
        <f t="shared" si="38"/>
        <v>1.9840000000000018</v>
      </c>
      <c r="L49" s="16">
        <f t="shared" si="38"/>
        <v>1.9839999999999947</v>
      </c>
      <c r="M49" s="16">
        <f t="shared" si="38"/>
        <v>1.9840000000000089</v>
      </c>
      <c r="N49" s="16">
        <f t="shared" si="38"/>
        <v>1.9839999999999947</v>
      </c>
      <c r="O49" s="16">
        <f t="shared" si="38"/>
        <v>1.9839999999999947</v>
      </c>
      <c r="P49" s="16">
        <f t="shared" si="38"/>
        <v>1.9840000000000089</v>
      </c>
      <c r="Q49" s="16">
        <f t="shared" si="38"/>
        <v>1.9839999999999947</v>
      </c>
      <c r="R49" s="16">
        <f t="shared" si="38"/>
        <v>1.9840000000000089</v>
      </c>
      <c r="S49" s="16">
        <f t="shared" si="38"/>
        <v>1.9839999999999947</v>
      </c>
      <c r="U49" s="15">
        <v>3.2000000000000001E-2</v>
      </c>
      <c r="V49" s="16">
        <f t="shared" si="13"/>
        <v>0</v>
      </c>
      <c r="W49" s="16">
        <f t="shared" si="14"/>
        <v>6.2000000000004718E-2</v>
      </c>
      <c r="X49" s="16">
        <f t="shared" si="15"/>
        <v>0.12399999999999523</v>
      </c>
      <c r="Y49" s="16">
        <f t="shared" si="16"/>
        <v>0.18600000000000705</v>
      </c>
      <c r="Z49" s="16">
        <f t="shared" si="17"/>
        <v>0.24800000000000466</v>
      </c>
      <c r="AA49" s="16">
        <f t="shared" si="18"/>
        <v>0.31000000000000227</v>
      </c>
      <c r="AB49" s="16">
        <f t="shared" si="19"/>
        <v>0.37199999999999989</v>
      </c>
      <c r="AC49" s="16">
        <f t="shared" si="20"/>
        <v>0.4339999999999975</v>
      </c>
      <c r="AD49" s="16">
        <f t="shared" si="21"/>
        <v>0.49599999999999511</v>
      </c>
      <c r="AE49" s="16">
        <f t="shared" si="22"/>
        <v>0.55800000000000693</v>
      </c>
      <c r="AF49" s="16">
        <f t="shared" si="23"/>
        <v>0.62000000000000455</v>
      </c>
    </row>
    <row r="50" spans="8:32" x14ac:dyDescent="0.25">
      <c r="H50" s="15">
        <v>3.3000000000000002E-2</v>
      </c>
      <c r="I50" s="16"/>
      <c r="J50" s="16">
        <f t="shared" ref="J50:S50" si="39">J25-I25</f>
        <v>2.0459999999999923</v>
      </c>
      <c r="K50" s="16">
        <f t="shared" si="39"/>
        <v>2.0460000000000065</v>
      </c>
      <c r="L50" s="16">
        <f t="shared" si="39"/>
        <v>2.0460000000000065</v>
      </c>
      <c r="M50" s="16">
        <f t="shared" si="39"/>
        <v>2.0460000000000065</v>
      </c>
      <c r="N50" s="16">
        <f t="shared" si="39"/>
        <v>2.0459999999999923</v>
      </c>
      <c r="O50" s="16">
        <f t="shared" si="39"/>
        <v>2.0459999999999923</v>
      </c>
      <c r="P50" s="16">
        <f t="shared" si="39"/>
        <v>2.0460000000000065</v>
      </c>
      <c r="Q50" s="16">
        <f t="shared" si="39"/>
        <v>2.0459999999999923</v>
      </c>
      <c r="R50" s="16">
        <f t="shared" si="39"/>
        <v>2.0460000000000207</v>
      </c>
      <c r="S50" s="16">
        <f t="shared" si="39"/>
        <v>2.0459999999999923</v>
      </c>
      <c r="U50" s="15">
        <v>3.3000000000000002E-2</v>
      </c>
      <c r="V50" s="16">
        <f t="shared" si="13"/>
        <v>0</v>
      </c>
      <c r="W50" s="16">
        <f t="shared" si="14"/>
        <v>6.1999999999990507E-2</v>
      </c>
      <c r="X50" s="16">
        <f t="shared" si="15"/>
        <v>0.12399999999999523</v>
      </c>
      <c r="Y50" s="16">
        <f t="shared" si="16"/>
        <v>0.18600000000000705</v>
      </c>
      <c r="Z50" s="16">
        <f t="shared" si="17"/>
        <v>0.24800000000000466</v>
      </c>
      <c r="AA50" s="16">
        <f t="shared" si="18"/>
        <v>0.31000000000000227</v>
      </c>
      <c r="AB50" s="16">
        <f t="shared" si="19"/>
        <v>0.37199999999999989</v>
      </c>
      <c r="AC50" s="16">
        <f t="shared" si="20"/>
        <v>0.4339999999999975</v>
      </c>
      <c r="AD50" s="16">
        <f t="shared" si="21"/>
        <v>0.49599999999999511</v>
      </c>
      <c r="AE50" s="16">
        <f t="shared" si="22"/>
        <v>0.55800000000000693</v>
      </c>
      <c r="AF50" s="16">
        <f t="shared" si="23"/>
        <v>0.62000000000000455</v>
      </c>
    </row>
    <row r="51" spans="8:32" x14ac:dyDescent="0.25">
      <c r="H51" s="15">
        <v>3.4000000000000002E-2</v>
      </c>
      <c r="I51" s="16"/>
      <c r="J51" s="16">
        <f t="shared" ref="J51:S51" si="40">J26-I26</f>
        <v>2.1080000000000041</v>
      </c>
      <c r="K51" s="16">
        <f t="shared" si="40"/>
        <v>2.1080000000000041</v>
      </c>
      <c r="L51" s="16">
        <f t="shared" si="40"/>
        <v>2.1080000000000041</v>
      </c>
      <c r="M51" s="16">
        <f t="shared" si="40"/>
        <v>2.1079999999999899</v>
      </c>
      <c r="N51" s="16">
        <f t="shared" si="40"/>
        <v>2.1079999999999899</v>
      </c>
      <c r="O51" s="16">
        <f t="shared" si="40"/>
        <v>2.1080000000000041</v>
      </c>
      <c r="P51" s="16">
        <f t="shared" si="40"/>
        <v>2.1080000000000041</v>
      </c>
      <c r="Q51" s="16">
        <f t="shared" si="40"/>
        <v>2.1080000000000041</v>
      </c>
      <c r="R51" s="16">
        <f t="shared" si="40"/>
        <v>2.1080000000000041</v>
      </c>
      <c r="S51" s="16">
        <f t="shared" si="40"/>
        <v>2.1079999999999899</v>
      </c>
      <c r="U51" s="15">
        <v>3.4000000000000002E-2</v>
      </c>
      <c r="V51" s="16">
        <f t="shared" si="13"/>
        <v>0</v>
      </c>
      <c r="W51" s="16">
        <f t="shared" si="14"/>
        <v>6.2000000000011823E-2</v>
      </c>
      <c r="X51" s="16">
        <f t="shared" si="15"/>
        <v>0.12400000000000944</v>
      </c>
      <c r="Y51" s="16">
        <f t="shared" si="16"/>
        <v>0.18600000000000705</v>
      </c>
      <c r="Z51" s="16">
        <f t="shared" si="17"/>
        <v>0.24799999999999045</v>
      </c>
      <c r="AA51" s="16">
        <f t="shared" si="18"/>
        <v>0.30999999999998806</v>
      </c>
      <c r="AB51" s="16">
        <f t="shared" si="19"/>
        <v>0.37199999999999989</v>
      </c>
      <c r="AC51" s="16">
        <f t="shared" si="20"/>
        <v>0.4339999999999975</v>
      </c>
      <c r="AD51" s="16">
        <f t="shared" si="21"/>
        <v>0.49600000000000932</v>
      </c>
      <c r="AE51" s="16">
        <f t="shared" si="22"/>
        <v>0.55799999999999272</v>
      </c>
      <c r="AF51" s="16">
        <f t="shared" si="23"/>
        <v>0.61999999999999034</v>
      </c>
    </row>
    <row r="52" spans="8:32" x14ac:dyDescent="0.25">
      <c r="H52" s="18">
        <v>3.5000000000000003E-2</v>
      </c>
      <c r="I52" s="19"/>
      <c r="J52" s="16">
        <f t="shared" ref="J52:S52" si="41">J27-I27</f>
        <v>2.1700000000000017</v>
      </c>
      <c r="K52" s="16">
        <f t="shared" si="41"/>
        <v>2.1700000000000017</v>
      </c>
      <c r="L52" s="16">
        <f t="shared" si="41"/>
        <v>2.1700000000000017</v>
      </c>
      <c r="M52" s="16">
        <f t="shared" si="41"/>
        <v>2.1700000000000017</v>
      </c>
      <c r="N52" s="16">
        <f t="shared" si="41"/>
        <v>2.1700000000000017</v>
      </c>
      <c r="O52" s="16">
        <f t="shared" si="41"/>
        <v>2.1699999999999875</v>
      </c>
      <c r="P52" s="16">
        <f t="shared" si="41"/>
        <v>2.1700000000000159</v>
      </c>
      <c r="Q52" s="16">
        <f t="shared" si="41"/>
        <v>2.1699999999999875</v>
      </c>
      <c r="R52" s="16">
        <f t="shared" si="41"/>
        <v>2.1700000000000017</v>
      </c>
      <c r="S52" s="16">
        <f t="shared" si="41"/>
        <v>2.1700000000000017</v>
      </c>
      <c r="U52" s="18">
        <v>3.5000000000000003E-2</v>
      </c>
      <c r="V52" s="16">
        <f t="shared" si="13"/>
        <v>0</v>
      </c>
      <c r="W52" s="16">
        <f t="shared" si="14"/>
        <v>6.1999999999997613E-2</v>
      </c>
      <c r="X52" s="16">
        <f t="shared" si="15"/>
        <v>0.12399999999999523</v>
      </c>
      <c r="Y52" s="16">
        <f t="shared" si="16"/>
        <v>0.18599999999999284</v>
      </c>
      <c r="Z52" s="16">
        <f t="shared" si="17"/>
        <v>0.24800000000000466</v>
      </c>
      <c r="AA52" s="16">
        <f t="shared" si="18"/>
        <v>0.31000000000001648</v>
      </c>
      <c r="AB52" s="16">
        <f t="shared" si="19"/>
        <v>0.37199999999999989</v>
      </c>
      <c r="AC52" s="16">
        <f t="shared" si="20"/>
        <v>0.43400000000001171</v>
      </c>
      <c r="AD52" s="16">
        <f t="shared" si="21"/>
        <v>0.49599999999999511</v>
      </c>
      <c r="AE52" s="16">
        <f t="shared" si="22"/>
        <v>0.55799999999999272</v>
      </c>
      <c r="AF52" s="16">
        <f t="shared" si="23"/>
        <v>0.62000000000000455</v>
      </c>
    </row>
    <row r="53" spans="8:32" x14ac:dyDescent="0.25">
      <c r="J53" s="10" t="s">
        <v>18</v>
      </c>
      <c r="K53" s="10"/>
      <c r="L53" s="10"/>
      <c r="M53" s="10"/>
      <c r="N53" s="10"/>
      <c r="O53" s="10"/>
      <c r="P53" s="10"/>
      <c r="Q53" s="10"/>
      <c r="R53" s="10"/>
      <c r="S53" s="10"/>
    </row>
    <row r="54" spans="8:32" x14ac:dyDescent="0.25">
      <c r="J54" t="s">
        <v>19</v>
      </c>
    </row>
  </sheetData>
  <mergeCells count="4">
    <mergeCell ref="I5:S5"/>
    <mergeCell ref="V5:AF5"/>
    <mergeCell ref="I30:S30"/>
    <mergeCell ref="V30:AF30"/>
  </mergeCells>
  <conditionalFormatting sqref="I7:S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:AF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:S53 I32:S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2:AF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E31">
    <cfRule type="colorScale" priority="1">
      <colorScale>
        <cfvo type="min"/>
        <cfvo type="max"/>
        <color rgb="FF92D050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29"/>
  <sheetViews>
    <sheetView zoomScale="85" zoomScaleNormal="85" workbookViewId="0">
      <selection activeCell="I37" sqref="I37"/>
    </sheetView>
  </sheetViews>
  <sheetFormatPr baseColWidth="10" defaultRowHeight="15" x14ac:dyDescent="0.25"/>
  <cols>
    <col min="3" max="3" width="11.7109375" customWidth="1"/>
    <col min="4" max="7" width="15.85546875" customWidth="1"/>
    <col min="8" max="9" width="11.7109375" customWidth="1"/>
    <col min="10" max="10" width="23" customWidth="1"/>
  </cols>
  <sheetData>
    <row r="1" spans="3:14" x14ac:dyDescent="0.25">
      <c r="C1" s="111" t="s">
        <v>31</v>
      </c>
      <c r="D1" s="111"/>
      <c r="E1" s="111"/>
      <c r="F1" s="111"/>
      <c r="G1" s="111"/>
      <c r="H1" s="111"/>
    </row>
    <row r="2" spans="3:14" x14ac:dyDescent="0.25"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L2" t="s">
        <v>29</v>
      </c>
      <c r="N2" s="58">
        <f>Archive!G11</f>
        <v>4.9547738693467327</v>
      </c>
    </row>
    <row r="3" spans="3:14" x14ac:dyDescent="0.25">
      <c r="C3">
        <v>18445</v>
      </c>
      <c r="D3">
        <v>20460</v>
      </c>
      <c r="E3">
        <v>7336</v>
      </c>
      <c r="F3">
        <v>9072</v>
      </c>
      <c r="G3">
        <v>4574</v>
      </c>
      <c r="H3">
        <v>635</v>
      </c>
      <c r="L3" t="s">
        <v>30</v>
      </c>
      <c r="N3" s="7">
        <v>49</v>
      </c>
    </row>
    <row r="4" spans="3:14" x14ac:dyDescent="0.25">
      <c r="C4">
        <v>29891</v>
      </c>
      <c r="D4">
        <v>9445</v>
      </c>
      <c r="E4">
        <v>13242</v>
      </c>
      <c r="F4">
        <v>4651</v>
      </c>
      <c r="G4">
        <v>2510</v>
      </c>
      <c r="H4">
        <v>1188</v>
      </c>
    </row>
    <row r="5" spans="3:14" x14ac:dyDescent="0.25">
      <c r="C5">
        <v>19315</v>
      </c>
      <c r="D5">
        <v>19653</v>
      </c>
      <c r="E5">
        <v>6885</v>
      </c>
      <c r="F5">
        <v>9083</v>
      </c>
      <c r="G5">
        <v>3910</v>
      </c>
      <c r="H5">
        <v>600</v>
      </c>
    </row>
    <row r="6" spans="3:14" x14ac:dyDescent="0.25">
      <c r="C6">
        <v>29235</v>
      </c>
      <c r="D6">
        <v>9778</v>
      </c>
      <c r="E6">
        <v>13148</v>
      </c>
      <c r="F6">
        <v>4597</v>
      </c>
      <c r="G6">
        <v>3034</v>
      </c>
      <c r="H6">
        <v>1508</v>
      </c>
    </row>
    <row r="7" spans="3:14" x14ac:dyDescent="0.25">
      <c r="C7">
        <v>21002</v>
      </c>
      <c r="D7">
        <v>18773</v>
      </c>
      <c r="E7">
        <v>7065</v>
      </c>
      <c r="F7">
        <v>8771</v>
      </c>
      <c r="G7">
        <v>4191</v>
      </c>
      <c r="H7">
        <v>640</v>
      </c>
    </row>
    <row r="8" spans="3:14" x14ac:dyDescent="0.25">
      <c r="C8">
        <v>27283</v>
      </c>
      <c r="D8">
        <v>11070</v>
      </c>
      <c r="E8">
        <v>14108</v>
      </c>
      <c r="F8">
        <v>5558</v>
      </c>
      <c r="G8">
        <v>2836</v>
      </c>
      <c r="H8">
        <v>1088</v>
      </c>
    </row>
    <row r="9" spans="3:14" x14ac:dyDescent="0.25">
      <c r="C9">
        <v>22479</v>
      </c>
      <c r="D9">
        <v>19404</v>
      </c>
      <c r="E9">
        <v>6940</v>
      </c>
      <c r="F9">
        <v>8009</v>
      </c>
      <c r="G9">
        <v>4114</v>
      </c>
      <c r="H9">
        <v>820</v>
      </c>
    </row>
    <row r="10" spans="3:14" x14ac:dyDescent="0.25">
      <c r="C10">
        <v>27783</v>
      </c>
      <c r="D10">
        <v>12290</v>
      </c>
      <c r="E10">
        <v>13147</v>
      </c>
      <c r="F10">
        <v>6203</v>
      </c>
      <c r="G10">
        <v>3097</v>
      </c>
      <c r="H10">
        <v>1316</v>
      </c>
    </row>
    <row r="11" spans="3:14" x14ac:dyDescent="0.25">
      <c r="C11">
        <v>22991</v>
      </c>
      <c r="D11">
        <v>18022</v>
      </c>
      <c r="E11">
        <v>6987</v>
      </c>
      <c r="F11">
        <v>8034</v>
      </c>
      <c r="G11">
        <v>4352</v>
      </c>
      <c r="H11">
        <v>726</v>
      </c>
    </row>
    <row r="12" spans="3:14" x14ac:dyDescent="0.25">
      <c r="C12">
        <v>25478</v>
      </c>
      <c r="D12">
        <v>11329</v>
      </c>
      <c r="E12">
        <v>14167</v>
      </c>
      <c r="F12">
        <v>5533</v>
      </c>
      <c r="G12">
        <v>2912</v>
      </c>
      <c r="H12">
        <v>924</v>
      </c>
    </row>
    <row r="13" spans="3:14" x14ac:dyDescent="0.25">
      <c r="C13">
        <v>23336</v>
      </c>
      <c r="D13">
        <v>16534</v>
      </c>
      <c r="E13">
        <v>6269</v>
      </c>
      <c r="F13">
        <v>7335</v>
      </c>
      <c r="G13">
        <v>3293</v>
      </c>
      <c r="H13">
        <v>987</v>
      </c>
    </row>
    <row r="14" spans="3:14" x14ac:dyDescent="0.25">
      <c r="C14" s="24">
        <v>26263</v>
      </c>
      <c r="D14" s="24">
        <v>13461</v>
      </c>
      <c r="E14" s="24">
        <v>11141</v>
      </c>
      <c r="F14" s="24">
        <v>6447</v>
      </c>
      <c r="G14" s="24">
        <v>3054</v>
      </c>
      <c r="H14" s="24">
        <v>1011</v>
      </c>
      <c r="I14" s="24"/>
    </row>
    <row r="15" spans="3:14" x14ac:dyDescent="0.25">
      <c r="C15" s="25">
        <f>SUM(C3:C14)</f>
        <v>293501</v>
      </c>
      <c r="D15" s="25">
        <f t="shared" ref="D15:H15" si="0">SUM(D3:D14)</f>
        <v>180219</v>
      </c>
      <c r="E15" s="25">
        <f t="shared" si="0"/>
        <v>120435</v>
      </c>
      <c r="F15" s="25">
        <f t="shared" si="0"/>
        <v>83293</v>
      </c>
      <c r="G15" s="25">
        <f t="shared" si="0"/>
        <v>41877</v>
      </c>
      <c r="H15" s="25">
        <f t="shared" si="0"/>
        <v>11443</v>
      </c>
      <c r="I15" s="26">
        <f>SUM(C15:H15)</f>
        <v>730768</v>
      </c>
      <c r="J15" t="s">
        <v>32</v>
      </c>
    </row>
    <row r="16" spans="3:14" x14ac:dyDescent="0.25">
      <c r="C16" s="27">
        <f>C15/$I$15</f>
        <v>0.40163362380399797</v>
      </c>
      <c r="D16" s="27">
        <f t="shared" ref="D16:H16" si="1">D15/$I$15</f>
        <v>0.24661588903728679</v>
      </c>
      <c r="E16" s="27">
        <f t="shared" si="1"/>
        <v>0.16480606704179712</v>
      </c>
      <c r="F16" s="27">
        <f t="shared" si="1"/>
        <v>0.11398008670330392</v>
      </c>
      <c r="G16" s="27">
        <f t="shared" si="1"/>
        <v>5.7305464935519891E-2</v>
      </c>
      <c r="H16" s="27">
        <f t="shared" si="1"/>
        <v>1.5658868478094279E-2</v>
      </c>
      <c r="I16" t="s">
        <v>33</v>
      </c>
    </row>
    <row r="18" spans="3:10" x14ac:dyDescent="0.25">
      <c r="C18" s="25">
        <f t="shared" ref="C18:H18" si="2">C16*$N$2*$N$3</f>
        <v>97.510185429479165</v>
      </c>
      <c r="D18" s="25">
        <f t="shared" si="2"/>
        <v>59.874372175615434</v>
      </c>
      <c r="E18" s="25">
        <f t="shared" si="2"/>
        <v>40.012262929936604</v>
      </c>
      <c r="F18" s="25">
        <f t="shared" si="2"/>
        <v>27.672532205946858</v>
      </c>
      <c r="G18" s="25">
        <f t="shared" si="2"/>
        <v>13.91284539143069</v>
      </c>
      <c r="H18" s="25">
        <f t="shared" si="2"/>
        <v>3.80172146558114</v>
      </c>
      <c r="I18" t="s">
        <v>28</v>
      </c>
    </row>
    <row r="19" spans="3:10" x14ac:dyDescent="0.25">
      <c r="C19" s="25">
        <f>C18/2</f>
        <v>48.755092714739583</v>
      </c>
      <c r="D19" s="25">
        <f t="shared" ref="D19:G19" si="3">D18/2</f>
        <v>29.937186087807717</v>
      </c>
      <c r="E19" s="25">
        <f t="shared" si="3"/>
        <v>20.006131464968302</v>
      </c>
      <c r="F19" s="25">
        <f t="shared" si="3"/>
        <v>13.836266102973429</v>
      </c>
      <c r="G19" s="25">
        <f t="shared" si="3"/>
        <v>6.9564226957153448</v>
      </c>
      <c r="H19" s="25">
        <f>H18/2</f>
        <v>1.90086073279057</v>
      </c>
      <c r="I19" t="s">
        <v>83</v>
      </c>
    </row>
    <row r="21" spans="3:10" x14ac:dyDescent="0.25">
      <c r="C21" s="10">
        <f>C16/$H$16</f>
        <v>25.648955693437035</v>
      </c>
      <c r="D21" s="10">
        <f t="shared" ref="D21:H21" si="4">D16/$H$16</f>
        <v>15.749279035218036</v>
      </c>
      <c r="E21" s="10">
        <f t="shared" si="4"/>
        <v>10.524774971598356</v>
      </c>
      <c r="F21" s="10">
        <f t="shared" si="4"/>
        <v>7.2789478283666869</v>
      </c>
      <c r="G21" s="10">
        <f t="shared" si="4"/>
        <v>3.6596172332430306</v>
      </c>
      <c r="H21" s="10">
        <f t="shared" si="4"/>
        <v>1</v>
      </c>
      <c r="I21" t="s">
        <v>73</v>
      </c>
    </row>
    <row r="22" spans="3:10" x14ac:dyDescent="0.25">
      <c r="C22" s="64">
        <f>1/C21</f>
        <v>3.8987942119447637E-2</v>
      </c>
      <c r="D22" s="64">
        <f t="shared" ref="D22:H22" si="5">1/D21</f>
        <v>6.3494970008711626E-2</v>
      </c>
      <c r="E22" s="64">
        <f t="shared" si="5"/>
        <v>9.5013907917133725E-2</v>
      </c>
      <c r="F22" s="64">
        <f t="shared" si="5"/>
        <v>0.13738249312667331</v>
      </c>
      <c r="G22" s="64">
        <f t="shared" si="5"/>
        <v>0.27325262077035128</v>
      </c>
      <c r="H22" s="64">
        <f t="shared" si="5"/>
        <v>1</v>
      </c>
      <c r="I22" t="s">
        <v>74</v>
      </c>
    </row>
    <row r="24" spans="3:10" x14ac:dyDescent="0.25">
      <c r="C24" s="81" t="s">
        <v>81</v>
      </c>
      <c r="D24" s="82"/>
      <c r="E24" s="82"/>
      <c r="F24" s="82"/>
      <c r="G24" s="82"/>
      <c r="H24" s="82"/>
      <c r="I24" s="21"/>
      <c r="J24" s="31"/>
    </row>
    <row r="25" spans="3:10" x14ac:dyDescent="0.25">
      <c r="C25" s="1">
        <v>25.36</v>
      </c>
      <c r="D25" s="13">
        <v>15.5</v>
      </c>
      <c r="E25" s="13">
        <v>10.47</v>
      </c>
      <c r="F25" s="13">
        <v>7.12</v>
      </c>
      <c r="G25" s="13">
        <v>3.65</v>
      </c>
      <c r="H25" s="83">
        <v>1</v>
      </c>
      <c r="I25" s="13" t="s">
        <v>82</v>
      </c>
      <c r="J25" s="14"/>
    </row>
    <row r="26" spans="3:10" x14ac:dyDescent="0.25">
      <c r="C26" s="84">
        <f>C25/SUM($C$25:$H$25)</f>
        <v>0.40190174326465927</v>
      </c>
      <c r="D26" s="36">
        <f t="shared" ref="D26:H26" si="6">D25/SUM($C$25:$H$25)</f>
        <v>0.24564183835182252</v>
      </c>
      <c r="E26" s="36">
        <f t="shared" si="6"/>
        <v>0.16592709984152143</v>
      </c>
      <c r="F26" s="36">
        <f t="shared" si="6"/>
        <v>0.1128367670364501</v>
      </c>
      <c r="G26" s="36">
        <f t="shared" si="6"/>
        <v>5.7844690966719493E-2</v>
      </c>
      <c r="H26" s="36">
        <f t="shared" si="6"/>
        <v>1.5847860538827259E-2</v>
      </c>
      <c r="I26" s="13"/>
      <c r="J26" s="14"/>
    </row>
    <row r="27" spans="3:10" x14ac:dyDescent="0.25">
      <c r="C27" s="85">
        <f>C26*$N$2*$N$3</f>
        <v>97.575280523059007</v>
      </c>
      <c r="D27" s="86">
        <f t="shared" ref="D27:H27" si="7">D26*$N$2*$N$3</f>
        <v>59.637888332311313</v>
      </c>
      <c r="E27" s="86">
        <f t="shared" si="7"/>
        <v>40.284431667051585</v>
      </c>
      <c r="F27" s="86">
        <f t="shared" si="7"/>
        <v>27.394952575874619</v>
      </c>
      <c r="G27" s="86">
        <f t="shared" si="7"/>
        <v>14.043760800834599</v>
      </c>
      <c r="H27" s="86">
        <f t="shared" si="7"/>
        <v>3.8476056988587946</v>
      </c>
      <c r="I27" s="13" t="s">
        <v>28</v>
      </c>
      <c r="J27" s="14"/>
    </row>
    <row r="28" spans="3:10" x14ac:dyDescent="0.25">
      <c r="C28" s="87">
        <f>C27/47*24</f>
        <v>49.825675160710979</v>
      </c>
      <c r="D28" s="87">
        <f t="shared" ref="D28:H28" si="8">D27/47*24</f>
        <v>30.453389786712158</v>
      </c>
      <c r="E28" s="87">
        <f t="shared" si="8"/>
        <v>20.570773617217831</v>
      </c>
      <c r="F28" s="87">
        <f t="shared" si="8"/>
        <v>13.988911953638103</v>
      </c>
      <c r="G28" s="87">
        <f t="shared" si="8"/>
        <v>7.1712821110644764</v>
      </c>
      <c r="H28" s="87">
        <f t="shared" si="8"/>
        <v>1.9647348249491718</v>
      </c>
      <c r="I28" s="24" t="s">
        <v>84</v>
      </c>
      <c r="J28" s="34"/>
    </row>
    <row r="29" spans="3:10" x14ac:dyDescent="0.25">
      <c r="C29" t="s">
        <v>22</v>
      </c>
      <c r="D29" t="s">
        <v>23</v>
      </c>
      <c r="E29" t="s">
        <v>24</v>
      </c>
      <c r="F29" t="s">
        <v>25</v>
      </c>
      <c r="G29" t="s">
        <v>26</v>
      </c>
      <c r="H29" t="s">
        <v>27</v>
      </c>
    </row>
  </sheetData>
  <mergeCells count="1">
    <mergeCell ref="C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28"/>
  <sheetViews>
    <sheetView topLeftCell="A4" workbookViewId="0">
      <selection activeCell="A10" sqref="A10"/>
    </sheetView>
  </sheetViews>
  <sheetFormatPr baseColWidth="10" defaultRowHeight="15" x14ac:dyDescent="0.25"/>
  <cols>
    <col min="1" max="1" width="19.42578125" bestFit="1" customWidth="1"/>
    <col min="2" max="2" width="18.28515625" bestFit="1" customWidth="1"/>
    <col min="3" max="3" width="17.42578125" bestFit="1" customWidth="1"/>
    <col min="4" max="4" width="13.5703125" bestFit="1" customWidth="1"/>
    <col min="5" max="17" width="11.5703125" bestFit="1" customWidth="1"/>
    <col min="18" max="18" width="12.5703125" bestFit="1" customWidth="1"/>
    <col min="19" max="19" width="15.42578125" customWidth="1"/>
  </cols>
  <sheetData>
    <row r="3" spans="1:22" x14ac:dyDescent="0.25">
      <c r="B3" t="s">
        <v>114</v>
      </c>
      <c r="C3" s="93">
        <v>0.12</v>
      </c>
    </row>
    <row r="4" spans="1:22" x14ac:dyDescent="0.25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</row>
    <row r="5" spans="1:22" x14ac:dyDescent="0.25">
      <c r="B5" s="34" t="s">
        <v>99</v>
      </c>
      <c r="C5" s="24" t="s">
        <v>22</v>
      </c>
      <c r="D5" s="24" t="s">
        <v>23</v>
      </c>
      <c r="E5" s="91" t="s">
        <v>110</v>
      </c>
      <c r="F5" s="91" t="s">
        <v>111</v>
      </c>
      <c r="G5" s="91" t="s">
        <v>112</v>
      </c>
      <c r="H5" s="91" t="s">
        <v>27</v>
      </c>
      <c r="I5" s="24" t="s">
        <v>100</v>
      </c>
      <c r="J5" s="24" t="s">
        <v>101</v>
      </c>
      <c r="K5" s="24" t="s">
        <v>98</v>
      </c>
      <c r="L5" s="24" t="s">
        <v>102</v>
      </c>
      <c r="M5" s="24" t="s">
        <v>103</v>
      </c>
      <c r="N5" s="24" t="s">
        <v>104</v>
      </c>
      <c r="O5" s="24" t="s">
        <v>105</v>
      </c>
      <c r="P5" s="24" t="s">
        <v>106</v>
      </c>
      <c r="Q5" s="24" t="s">
        <v>107</v>
      </c>
      <c r="R5" s="91" t="s">
        <v>108</v>
      </c>
      <c r="S5" s="29" t="s">
        <v>113</v>
      </c>
      <c r="T5" s="90" t="s">
        <v>115</v>
      </c>
      <c r="U5" s="90" t="s">
        <v>116</v>
      </c>
      <c r="V5" s="13"/>
    </row>
    <row r="6" spans="1:22" x14ac:dyDescent="0.25">
      <c r="A6" t="s">
        <v>109</v>
      </c>
      <c r="B6" s="14">
        <v>49</v>
      </c>
      <c r="C6" s="13">
        <v>0.97762175102141802</v>
      </c>
      <c r="D6" s="13">
        <v>0.59752118063217585</v>
      </c>
      <c r="E6" s="13">
        <v>0.40361592007863756</v>
      </c>
      <c r="F6" s="13">
        <v>0.27447424555490918</v>
      </c>
      <c r="G6" s="13">
        <v>0.14070660060048013</v>
      </c>
      <c r="H6" s="13">
        <v>3.8549753589172633E-2</v>
      </c>
      <c r="I6" s="13"/>
      <c r="J6" s="13"/>
      <c r="K6" s="13"/>
      <c r="L6" s="13"/>
      <c r="M6" s="13"/>
      <c r="N6" s="13"/>
      <c r="O6" s="13"/>
      <c r="P6" s="13"/>
      <c r="Q6" s="13"/>
      <c r="R6" s="90"/>
      <c r="S6" s="92">
        <f>1/24</f>
        <v>4.1666666666666664E-2</v>
      </c>
      <c r="T6" s="94">
        <f>S6</f>
        <v>4.1666666666666664E-2</v>
      </c>
      <c r="U6" s="13"/>
      <c r="V6" s="13"/>
    </row>
    <row r="7" spans="1:22" x14ac:dyDescent="0.25">
      <c r="A7" t="s">
        <v>98</v>
      </c>
      <c r="B7" s="14">
        <v>5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>
        <v>1</v>
      </c>
      <c r="O7" s="13">
        <v>4</v>
      </c>
      <c r="P7" s="13"/>
      <c r="Q7" s="13"/>
      <c r="R7" s="13">
        <v>8</v>
      </c>
      <c r="S7" s="92">
        <v>2.2599999999999998</v>
      </c>
      <c r="T7" s="94">
        <f>S7/(1-$C$3)</f>
        <v>2.5681818181818179</v>
      </c>
      <c r="U7" s="13">
        <f>T7*B7*24</f>
        <v>308.18181818181813</v>
      </c>
      <c r="V7" s="13"/>
    </row>
    <row r="8" spans="1:22" x14ac:dyDescent="0.25">
      <c r="A8" t="s">
        <v>97</v>
      </c>
      <c r="B8" s="14">
        <v>6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>
        <v>4</v>
      </c>
      <c r="P8" s="13">
        <v>5</v>
      </c>
      <c r="Q8" s="13"/>
      <c r="R8" s="13"/>
      <c r="S8" s="92">
        <v>0.84</v>
      </c>
      <c r="T8" s="94">
        <f t="shared" ref="T8:T12" si="0">S8/(1-$C$3)</f>
        <v>0.95454545454545447</v>
      </c>
      <c r="U8" s="13">
        <f t="shared" ref="U8:U12" si="1">T8*B8*24</f>
        <v>137.45454545454544</v>
      </c>
      <c r="V8" s="13"/>
    </row>
    <row r="9" spans="1:22" x14ac:dyDescent="0.25">
      <c r="A9" t="s">
        <v>135</v>
      </c>
      <c r="B9" s="14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92"/>
      <c r="T9" s="94"/>
      <c r="U9" s="13"/>
      <c r="V9" s="13"/>
    </row>
    <row r="10" spans="1:22" x14ac:dyDescent="0.25">
      <c r="A10" t="s">
        <v>94</v>
      </c>
      <c r="B10" s="14">
        <v>2</v>
      </c>
      <c r="C10" s="13"/>
      <c r="D10" s="13"/>
      <c r="E10" s="13"/>
      <c r="F10" s="13"/>
      <c r="G10" s="13"/>
      <c r="H10" s="13"/>
      <c r="I10" s="13">
        <v>8</v>
      </c>
      <c r="J10" s="13">
        <v>2</v>
      </c>
      <c r="K10" s="13">
        <v>1</v>
      </c>
      <c r="L10" s="13"/>
      <c r="M10" s="13">
        <v>1</v>
      </c>
      <c r="N10" s="13"/>
      <c r="O10" s="13"/>
      <c r="P10" s="13"/>
      <c r="Q10" s="13"/>
      <c r="R10" s="13"/>
      <c r="S10" s="92">
        <v>1.476</v>
      </c>
      <c r="T10" s="94">
        <f t="shared" si="0"/>
        <v>1.6772727272727272</v>
      </c>
      <c r="U10" s="13">
        <f t="shared" si="1"/>
        <v>80.509090909090901</v>
      </c>
      <c r="V10" s="13"/>
    </row>
    <row r="11" spans="1:22" x14ac:dyDescent="0.25">
      <c r="A11" t="s">
        <v>96</v>
      </c>
      <c r="B11" s="14">
        <v>6</v>
      </c>
      <c r="C11" s="1"/>
      <c r="D11" s="13"/>
      <c r="E11" s="13"/>
      <c r="F11" s="13"/>
      <c r="G11" s="13"/>
      <c r="H11" s="13"/>
      <c r="I11" s="13">
        <v>14</v>
      </c>
      <c r="J11" s="13">
        <v>2</v>
      </c>
      <c r="K11" s="13">
        <v>1</v>
      </c>
      <c r="L11" s="13">
        <v>2</v>
      </c>
      <c r="M11" s="13"/>
      <c r="N11" s="13"/>
      <c r="O11" s="13"/>
      <c r="P11" s="13"/>
      <c r="Q11" s="13">
        <v>2</v>
      </c>
      <c r="R11" s="14"/>
      <c r="S11" s="92">
        <v>0.16900000000000001</v>
      </c>
      <c r="T11" s="94">
        <f t="shared" si="0"/>
        <v>0.19204545454545455</v>
      </c>
      <c r="U11" s="13">
        <f t="shared" si="1"/>
        <v>27.654545454545456</v>
      </c>
      <c r="V11" s="13"/>
    </row>
    <row r="12" spans="1:22" x14ac:dyDescent="0.25">
      <c r="A12" t="s">
        <v>95</v>
      </c>
      <c r="B12" s="14">
        <v>6</v>
      </c>
      <c r="C12" s="29"/>
      <c r="D12" s="24"/>
      <c r="E12" s="24"/>
      <c r="F12" s="24"/>
      <c r="G12" s="24"/>
      <c r="H12" s="24"/>
      <c r="I12" s="24">
        <v>40</v>
      </c>
      <c r="J12" s="24">
        <v>10</v>
      </c>
      <c r="K12" s="24">
        <v>2</v>
      </c>
      <c r="L12" s="24">
        <v>4</v>
      </c>
      <c r="M12" s="24"/>
      <c r="N12" s="24">
        <v>140</v>
      </c>
      <c r="O12" s="24"/>
      <c r="P12" s="24"/>
      <c r="Q12" s="24"/>
      <c r="R12" s="34"/>
      <c r="S12" s="92">
        <v>6.3200000000000006E-2</v>
      </c>
      <c r="T12" s="94">
        <f t="shared" si="0"/>
        <v>7.1818181818181823E-2</v>
      </c>
      <c r="U12" s="13">
        <f t="shared" si="1"/>
        <v>10.341818181818182</v>
      </c>
      <c r="V12" s="13"/>
    </row>
    <row r="13" spans="1:22" x14ac:dyDescent="0.25">
      <c r="A13" s="13" t="s">
        <v>117</v>
      </c>
      <c r="B13">
        <f>SUM(B6:B12)</f>
        <v>74</v>
      </c>
      <c r="C13" s="46">
        <f>SUMPRODUCT(C6:C12,$B$6:$B$12,$T$6:$T$12)</f>
        <v>1.9959777416687283</v>
      </c>
      <c r="D13" s="46">
        <f t="shared" ref="D13:R13" si="2">SUMPRODUCT(D6:D12,$B$6:$B$12,$T$6:$T$12)</f>
        <v>1.2199390771240255</v>
      </c>
      <c r="E13" s="46">
        <f t="shared" si="2"/>
        <v>0.82404917016055157</v>
      </c>
      <c r="F13" s="46">
        <f t="shared" si="2"/>
        <v>0.56038491800793955</v>
      </c>
      <c r="G13" s="46">
        <f t="shared" si="2"/>
        <v>0.28727597622598022</v>
      </c>
      <c r="H13" s="46">
        <f t="shared" si="2"/>
        <v>7.8705746911227448E-2</v>
      </c>
      <c r="I13" s="46">
        <f t="shared" si="2"/>
        <v>60.204545454545453</v>
      </c>
      <c r="J13" s="46">
        <f t="shared" si="2"/>
        <v>13.322727272727274</v>
      </c>
      <c r="K13" s="46">
        <f t="shared" si="2"/>
        <v>5.3686363636363641</v>
      </c>
      <c r="L13" s="46">
        <f t="shared" si="2"/>
        <v>4.0281818181818183</v>
      </c>
      <c r="M13" s="46">
        <f t="shared" si="2"/>
        <v>3.3545454545454545</v>
      </c>
      <c r="N13" s="46">
        <f t="shared" si="2"/>
        <v>73.168181818181822</v>
      </c>
      <c r="O13" s="46">
        <f t="shared" si="2"/>
        <v>74.272727272727266</v>
      </c>
      <c r="P13" s="46">
        <f t="shared" si="2"/>
        <v>28.636363636363633</v>
      </c>
      <c r="Q13" s="46">
        <f t="shared" si="2"/>
        <v>2.3045454545454547</v>
      </c>
      <c r="R13" s="46">
        <f t="shared" si="2"/>
        <v>102.72727272727272</v>
      </c>
      <c r="S13" s="90"/>
      <c r="T13" s="13"/>
      <c r="U13" s="13"/>
      <c r="V13" s="13"/>
    </row>
    <row r="14" spans="1:22" x14ac:dyDescent="0.25">
      <c r="A14" s="13" t="s">
        <v>118</v>
      </c>
      <c r="B14" s="13"/>
      <c r="C14" s="96">
        <f>C13*24</f>
        <v>47.903465800049482</v>
      </c>
      <c r="D14" s="96">
        <f t="shared" ref="D14:R14" si="3">D13*24</f>
        <v>29.278537850976612</v>
      </c>
      <c r="E14" s="96">
        <f t="shared" si="3"/>
        <v>19.777180083853239</v>
      </c>
      <c r="F14" s="96">
        <f t="shared" si="3"/>
        <v>13.44923803219055</v>
      </c>
      <c r="G14" s="96">
        <f t="shared" si="3"/>
        <v>6.8946234294235254</v>
      </c>
      <c r="H14" s="96">
        <f t="shared" si="3"/>
        <v>1.8889379258694587</v>
      </c>
      <c r="I14" s="96">
        <f t="shared" si="3"/>
        <v>1444.909090909091</v>
      </c>
      <c r="J14" s="96">
        <f t="shared" si="3"/>
        <v>319.74545454545455</v>
      </c>
      <c r="K14" s="96">
        <f t="shared" si="3"/>
        <v>128.84727272727275</v>
      </c>
      <c r="L14" s="96">
        <f t="shared" si="3"/>
        <v>96.676363636363646</v>
      </c>
      <c r="M14" s="96">
        <f t="shared" si="3"/>
        <v>80.509090909090901</v>
      </c>
      <c r="N14" s="96">
        <f t="shared" si="3"/>
        <v>1756.0363636363636</v>
      </c>
      <c r="O14" s="96">
        <f t="shared" si="3"/>
        <v>1782.5454545454545</v>
      </c>
      <c r="P14" s="96">
        <f t="shared" si="3"/>
        <v>687.27272727272725</v>
      </c>
      <c r="Q14" s="96">
        <f t="shared" si="3"/>
        <v>55.309090909090912</v>
      </c>
      <c r="R14" s="96">
        <f t="shared" si="3"/>
        <v>2465.454545454545</v>
      </c>
      <c r="S14" s="13"/>
      <c r="T14" s="13"/>
      <c r="U14" s="13"/>
      <c r="V14" s="13"/>
    </row>
    <row r="15" spans="1:22" x14ac:dyDescent="0.25">
      <c r="A15" s="90" t="s">
        <v>119</v>
      </c>
      <c r="B15" s="13"/>
      <c r="C15" s="98">
        <f>C14-U10</f>
        <v>-32.605625109041419</v>
      </c>
      <c r="D15" s="98">
        <f>D14</f>
        <v>29.278537850976612</v>
      </c>
      <c r="E15" s="98">
        <f>E14-U11</f>
        <v>-7.8773653706922175</v>
      </c>
      <c r="F15" s="98">
        <f>F14</f>
        <v>13.44923803219055</v>
      </c>
      <c r="G15" s="98">
        <f>G14-U12</f>
        <v>-3.4471947523946564</v>
      </c>
      <c r="H15" s="98">
        <f>H14</f>
        <v>1.8889379258694587</v>
      </c>
      <c r="I15" s="98">
        <f>I14</f>
        <v>1444.909090909091</v>
      </c>
      <c r="J15" s="98">
        <f>J14</f>
        <v>319.74545454545455</v>
      </c>
      <c r="K15" s="98">
        <f>K14-U7</f>
        <v>-179.33454545454538</v>
      </c>
      <c r="L15" s="98">
        <f>L14-U8</f>
        <v>-40.778181818181793</v>
      </c>
      <c r="M15" s="98">
        <f t="shared" ref="M15:R15" si="4">M14</f>
        <v>80.509090909090901</v>
      </c>
      <c r="N15" s="98">
        <f t="shared" si="4"/>
        <v>1756.0363636363636</v>
      </c>
      <c r="O15" s="98">
        <f t="shared" si="4"/>
        <v>1782.5454545454545</v>
      </c>
      <c r="P15" s="98">
        <f t="shared" si="4"/>
        <v>687.27272727272725</v>
      </c>
      <c r="Q15" s="98">
        <f t="shared" si="4"/>
        <v>55.309090909090912</v>
      </c>
      <c r="R15" s="98">
        <f t="shared" si="4"/>
        <v>2465.454545454545</v>
      </c>
      <c r="S15" s="13"/>
      <c r="T15" s="13"/>
      <c r="U15" s="13"/>
      <c r="V15" s="13"/>
    </row>
    <row r="16" spans="1:22" x14ac:dyDescent="0.25">
      <c r="A16" s="90" t="s">
        <v>120</v>
      </c>
      <c r="B16" s="13"/>
      <c r="C16" s="47">
        <v>0</v>
      </c>
      <c r="D16" s="47">
        <v>20</v>
      </c>
      <c r="E16" s="47">
        <v>0</v>
      </c>
      <c r="F16" s="47">
        <v>10</v>
      </c>
      <c r="G16" s="47">
        <v>0</v>
      </c>
      <c r="H16" s="47">
        <v>2</v>
      </c>
      <c r="I16" s="47">
        <v>250</v>
      </c>
      <c r="J16" s="47">
        <v>0</v>
      </c>
      <c r="K16" s="47">
        <v>0</v>
      </c>
      <c r="L16" s="47">
        <v>0</v>
      </c>
      <c r="M16" s="47">
        <v>0</v>
      </c>
      <c r="N16" s="47">
        <v>200</v>
      </c>
      <c r="O16" s="47">
        <v>1500</v>
      </c>
      <c r="P16" s="47">
        <v>2000</v>
      </c>
      <c r="Q16" s="47">
        <v>0</v>
      </c>
      <c r="R16" s="47">
        <v>2500</v>
      </c>
      <c r="S16" s="97"/>
      <c r="T16" s="13"/>
      <c r="U16" s="13"/>
      <c r="V16" s="13"/>
    </row>
    <row r="17" spans="1:22" x14ac:dyDescent="0.25">
      <c r="B17" s="13"/>
      <c r="C17" s="98">
        <f>C15-C16</f>
        <v>-32.605625109041419</v>
      </c>
      <c r="D17" s="98">
        <f t="shared" ref="D17:R17" si="5">D15-D16</f>
        <v>9.2785378509766119</v>
      </c>
      <c r="E17" s="98">
        <f t="shared" si="5"/>
        <v>-7.8773653706922175</v>
      </c>
      <c r="F17" s="98">
        <f t="shared" si="5"/>
        <v>3.44923803219055</v>
      </c>
      <c r="G17" s="98">
        <f t="shared" si="5"/>
        <v>-3.4471947523946564</v>
      </c>
      <c r="H17" s="98">
        <f t="shared" si="5"/>
        <v>-0.11106207413054126</v>
      </c>
      <c r="I17" s="98">
        <f t="shared" si="5"/>
        <v>1194.909090909091</v>
      </c>
      <c r="J17" s="98">
        <f t="shared" si="5"/>
        <v>319.74545454545455</v>
      </c>
      <c r="K17" s="98">
        <f t="shared" si="5"/>
        <v>-179.33454545454538</v>
      </c>
      <c r="L17" s="98">
        <f t="shared" si="5"/>
        <v>-40.778181818181793</v>
      </c>
      <c r="M17" s="98">
        <f t="shared" si="5"/>
        <v>80.509090909090901</v>
      </c>
      <c r="N17" s="98">
        <f t="shared" si="5"/>
        <v>1556.0363636363636</v>
      </c>
      <c r="O17" s="98">
        <f t="shared" si="5"/>
        <v>282.5454545454545</v>
      </c>
      <c r="P17" s="98">
        <f t="shared" si="5"/>
        <v>-1312.7272727272727</v>
      </c>
      <c r="Q17" s="98">
        <f t="shared" si="5"/>
        <v>55.309090909090912</v>
      </c>
      <c r="R17" s="98">
        <f t="shared" si="5"/>
        <v>-34.545454545454959</v>
      </c>
      <c r="S17" s="13"/>
      <c r="T17" s="13"/>
      <c r="U17" s="13"/>
      <c r="V17" s="13"/>
    </row>
    <row r="18" spans="1:22" x14ac:dyDescent="0.25"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 x14ac:dyDescent="0.25"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3" spans="1:22" x14ac:dyDescent="0.25">
      <c r="A23" t="s">
        <v>121</v>
      </c>
    </row>
    <row r="24" spans="1:22" x14ac:dyDescent="0.25">
      <c r="A24" t="s">
        <v>132</v>
      </c>
      <c r="B24" t="s">
        <v>126</v>
      </c>
      <c r="C24">
        <v>1200</v>
      </c>
      <c r="D24" t="s">
        <v>131</v>
      </c>
    </row>
    <row r="25" spans="1:22" x14ac:dyDescent="0.25">
      <c r="A25" t="s">
        <v>124</v>
      </c>
      <c r="B25" t="s">
        <v>127</v>
      </c>
      <c r="C25">
        <v>320</v>
      </c>
      <c r="D25" t="s">
        <v>131</v>
      </c>
    </row>
    <row r="26" spans="1:22" x14ac:dyDescent="0.25">
      <c r="A26" t="s">
        <v>122</v>
      </c>
      <c r="B26" t="s">
        <v>128</v>
      </c>
      <c r="C26">
        <v>80</v>
      </c>
      <c r="D26" t="s">
        <v>131</v>
      </c>
    </row>
    <row r="27" spans="1:22" x14ac:dyDescent="0.25">
      <c r="A27" t="s">
        <v>123</v>
      </c>
      <c r="B27" t="s">
        <v>129</v>
      </c>
      <c r="C27">
        <v>1500</v>
      </c>
      <c r="D27" t="s">
        <v>131</v>
      </c>
    </row>
    <row r="28" spans="1:22" x14ac:dyDescent="0.25">
      <c r="A28" t="s">
        <v>125</v>
      </c>
      <c r="B28" t="s">
        <v>130</v>
      </c>
      <c r="C28">
        <v>55</v>
      </c>
      <c r="D28" t="s">
        <v>131</v>
      </c>
    </row>
  </sheetData>
  <conditionalFormatting sqref="C15:R15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C17:R17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18"/>
  <sheetViews>
    <sheetView workbookViewId="0">
      <selection activeCell="B6" sqref="B6"/>
    </sheetView>
  </sheetViews>
  <sheetFormatPr baseColWidth="10" defaultRowHeight="15" x14ac:dyDescent="0.25"/>
  <cols>
    <col min="1" max="1" width="19.42578125" bestFit="1" customWidth="1"/>
    <col min="2" max="2" width="18.28515625" bestFit="1" customWidth="1"/>
    <col min="3" max="3" width="17.7109375" bestFit="1" customWidth="1"/>
    <col min="4" max="4" width="11.5703125" bestFit="1" customWidth="1"/>
    <col min="5" max="5" width="15.5703125" bestFit="1" customWidth="1"/>
    <col min="6" max="6" width="11.5703125" bestFit="1" customWidth="1"/>
    <col min="7" max="7" width="15.5703125" bestFit="1" customWidth="1"/>
    <col min="8" max="10" width="11.5703125" bestFit="1" customWidth="1"/>
    <col min="11" max="12" width="14.5703125" bestFit="1" customWidth="1"/>
    <col min="13" max="17" width="11.5703125" bestFit="1" customWidth="1"/>
    <col min="18" max="18" width="12.5703125" bestFit="1" customWidth="1"/>
    <col min="19" max="19" width="15.42578125" customWidth="1"/>
  </cols>
  <sheetData>
    <row r="3" spans="1:22" x14ac:dyDescent="0.25">
      <c r="B3" t="s">
        <v>114</v>
      </c>
      <c r="C3" s="93">
        <v>0.12</v>
      </c>
    </row>
    <row r="4" spans="1:22" x14ac:dyDescent="0.25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</row>
    <row r="5" spans="1:22" x14ac:dyDescent="0.25">
      <c r="B5" s="34" t="s">
        <v>99</v>
      </c>
      <c r="C5" s="24" t="s">
        <v>22</v>
      </c>
      <c r="D5" s="24" t="s">
        <v>23</v>
      </c>
      <c r="E5" s="91" t="s">
        <v>110</v>
      </c>
      <c r="F5" s="91" t="s">
        <v>111</v>
      </c>
      <c r="G5" s="91" t="s">
        <v>112</v>
      </c>
      <c r="H5" s="91" t="s">
        <v>27</v>
      </c>
      <c r="I5" s="24" t="s">
        <v>100</v>
      </c>
      <c r="J5" s="24" t="s">
        <v>101</v>
      </c>
      <c r="K5" s="24" t="s">
        <v>98</v>
      </c>
      <c r="L5" s="24" t="s">
        <v>102</v>
      </c>
      <c r="M5" s="24" t="s">
        <v>103</v>
      </c>
      <c r="N5" s="24" t="s">
        <v>104</v>
      </c>
      <c r="O5" s="24" t="s">
        <v>105</v>
      </c>
      <c r="P5" s="24" t="s">
        <v>106</v>
      </c>
      <c r="Q5" s="24" t="s">
        <v>107</v>
      </c>
      <c r="R5" s="91" t="s">
        <v>108</v>
      </c>
      <c r="S5" s="29" t="s">
        <v>113</v>
      </c>
      <c r="T5" s="90" t="s">
        <v>115</v>
      </c>
      <c r="U5" s="90" t="s">
        <v>116</v>
      </c>
      <c r="V5" s="13"/>
    </row>
    <row r="6" spans="1:22" x14ac:dyDescent="0.25">
      <c r="A6" t="s">
        <v>109</v>
      </c>
      <c r="B6" s="14">
        <v>49</v>
      </c>
      <c r="C6" s="13">
        <v>0.97762175102141802</v>
      </c>
      <c r="D6" s="13">
        <v>0.59752118063217585</v>
      </c>
      <c r="E6" s="13">
        <v>0.40361592007863756</v>
      </c>
      <c r="F6" s="13">
        <v>0.27447424555490918</v>
      </c>
      <c r="G6" s="13">
        <v>0.14070660060048013</v>
      </c>
      <c r="H6" s="13">
        <v>3.8549753589172633E-2</v>
      </c>
      <c r="I6" s="13"/>
      <c r="J6" s="13"/>
      <c r="K6" s="13"/>
      <c r="L6" s="13"/>
      <c r="M6" s="13"/>
      <c r="N6" s="13"/>
      <c r="O6" s="13"/>
      <c r="P6" s="13"/>
      <c r="Q6" s="13"/>
      <c r="R6" s="90"/>
      <c r="S6" s="92">
        <f>1/24</f>
        <v>4.1666666666666664E-2</v>
      </c>
      <c r="T6" s="94">
        <f>S6</f>
        <v>4.1666666666666664E-2</v>
      </c>
      <c r="U6" s="13"/>
      <c r="V6" s="13"/>
    </row>
    <row r="7" spans="1:22" x14ac:dyDescent="0.25">
      <c r="A7" t="s">
        <v>98</v>
      </c>
      <c r="B7" s="14">
        <v>1.3235981107296508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>
        <v>1</v>
      </c>
      <c r="O7" s="13">
        <v>4</v>
      </c>
      <c r="P7" s="13"/>
      <c r="Q7" s="13"/>
      <c r="R7" s="13">
        <v>8</v>
      </c>
      <c r="S7" s="92">
        <v>2.2599999999999998</v>
      </c>
      <c r="T7" s="94">
        <f>S7/(1-$C$3)</f>
        <v>2.5681818181818179</v>
      </c>
      <c r="U7" s="13">
        <f>T7*B7*24</f>
        <v>81.58177446133665</v>
      </c>
      <c r="V7" s="13"/>
    </row>
    <row r="8" spans="1:22" x14ac:dyDescent="0.25">
      <c r="A8" t="s">
        <v>97</v>
      </c>
      <c r="B8" s="14">
        <v>2.9412344898812712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>
        <v>4</v>
      </c>
      <c r="P8" s="13">
        <v>5</v>
      </c>
      <c r="Q8" s="13"/>
      <c r="R8" s="13"/>
      <c r="S8" s="92">
        <v>0.84</v>
      </c>
      <c r="T8" s="94">
        <f t="shared" ref="T8:T11" si="0">S8/(1-$C$3)</f>
        <v>0.95454545454545447</v>
      </c>
      <c r="U8" s="13">
        <f t="shared" ref="U8:U11" si="1">T8*B8*24</f>
        <v>67.381008313643662</v>
      </c>
      <c r="V8" s="13"/>
    </row>
    <row r="9" spans="1:22" x14ac:dyDescent="0.25">
      <c r="A9" t="s">
        <v>94</v>
      </c>
      <c r="B9" s="14">
        <v>1.1901451020731906</v>
      </c>
      <c r="C9" s="13"/>
      <c r="D9" s="13"/>
      <c r="E9" s="13"/>
      <c r="F9" s="13"/>
      <c r="G9" s="13"/>
      <c r="H9" s="13"/>
      <c r="I9" s="13">
        <v>8</v>
      </c>
      <c r="J9" s="13">
        <v>2</v>
      </c>
      <c r="K9" s="13">
        <v>1</v>
      </c>
      <c r="L9" s="13"/>
      <c r="M9" s="13">
        <v>1</v>
      </c>
      <c r="N9" s="13"/>
      <c r="O9" s="13"/>
      <c r="P9" s="13"/>
      <c r="Q9" s="13"/>
      <c r="R9" s="13"/>
      <c r="S9" s="92">
        <v>1.476</v>
      </c>
      <c r="T9" s="94">
        <f t="shared" si="0"/>
        <v>1.6772727272727272</v>
      </c>
      <c r="U9" s="13">
        <f t="shared" si="1"/>
        <v>47.908750108909885</v>
      </c>
      <c r="V9" s="13"/>
    </row>
    <row r="10" spans="1:22" x14ac:dyDescent="0.25">
      <c r="A10" t="s">
        <v>96</v>
      </c>
      <c r="B10" s="14">
        <v>4.2945434377985254</v>
      </c>
      <c r="C10" s="1"/>
      <c r="D10" s="13"/>
      <c r="E10" s="13"/>
      <c r="F10" s="13"/>
      <c r="G10" s="13"/>
      <c r="H10" s="13"/>
      <c r="I10" s="13">
        <v>14</v>
      </c>
      <c r="J10" s="13">
        <v>2</v>
      </c>
      <c r="K10" s="13">
        <v>1</v>
      </c>
      <c r="L10" s="13">
        <v>2</v>
      </c>
      <c r="M10" s="13"/>
      <c r="N10" s="13"/>
      <c r="O10" s="13"/>
      <c r="P10" s="13"/>
      <c r="Q10" s="13">
        <v>2</v>
      </c>
      <c r="R10" s="14"/>
      <c r="S10" s="92">
        <v>0.16900000000000001</v>
      </c>
      <c r="T10" s="94">
        <f t="shared" si="0"/>
        <v>0.19204545454545455</v>
      </c>
      <c r="U10" s="13">
        <f t="shared" si="1"/>
        <v>19.793941117853205</v>
      </c>
      <c r="V10" s="13"/>
    </row>
    <row r="11" spans="1:22" x14ac:dyDescent="0.25">
      <c r="A11" t="s">
        <v>95</v>
      </c>
      <c r="B11" s="14">
        <v>4.0302753621832004</v>
      </c>
      <c r="C11" s="29"/>
      <c r="D11" s="24"/>
      <c r="E11" s="24"/>
      <c r="F11" s="24"/>
      <c r="G11" s="24"/>
      <c r="H11" s="24"/>
      <c r="I11" s="24">
        <v>40</v>
      </c>
      <c r="J11" s="24">
        <v>10</v>
      </c>
      <c r="K11" s="24">
        <v>2</v>
      </c>
      <c r="L11" s="24">
        <v>4</v>
      </c>
      <c r="M11" s="24"/>
      <c r="N11" s="24">
        <v>140</v>
      </c>
      <c r="O11" s="24"/>
      <c r="P11" s="24"/>
      <c r="Q11" s="24"/>
      <c r="R11" s="34"/>
      <c r="S11" s="92">
        <v>6.3200000000000006E-2</v>
      </c>
      <c r="T11" s="94">
        <f t="shared" si="0"/>
        <v>7.1818181818181823E-2</v>
      </c>
      <c r="U11" s="13">
        <f t="shared" si="1"/>
        <v>6.9467291697266802</v>
      </c>
      <c r="V11" s="13"/>
    </row>
    <row r="12" spans="1:22" x14ac:dyDescent="0.25">
      <c r="A12" s="13" t="s">
        <v>117</v>
      </c>
      <c r="B12">
        <f>SUM(B6:B11)</f>
        <v>62.779796502665832</v>
      </c>
      <c r="C12" s="46">
        <f>SUMPRODUCT(C6:C11,$B$6:$B$11,$T$6:$T$11)</f>
        <v>1.9959777416687283</v>
      </c>
      <c r="D12" s="46">
        <f t="shared" ref="D12:R12" si="2">SUMPRODUCT(D6:D11,$B$6:$B$11,$T$6:$T$11)</f>
        <v>1.2199390771240255</v>
      </c>
      <c r="E12" s="46">
        <f t="shared" si="2"/>
        <v>0.82404917016055157</v>
      </c>
      <c r="F12" s="46">
        <f t="shared" si="2"/>
        <v>0.56038491800793955</v>
      </c>
      <c r="G12" s="46">
        <f t="shared" si="2"/>
        <v>0.28727597622598022</v>
      </c>
      <c r="H12" s="46">
        <f t="shared" si="2"/>
        <v>7.8705746911227448E-2</v>
      </c>
      <c r="I12" s="46">
        <f t="shared" si="2"/>
        <v>39.093930971262132</v>
      </c>
      <c r="J12" s="46">
        <f t="shared" si="2"/>
        <v>8.5363614229497085</v>
      </c>
      <c r="K12" s="46">
        <f t="shared" si="2"/>
        <v>3.3998395652590188</v>
      </c>
      <c r="L12" s="46">
        <f t="shared" si="2"/>
        <v>2.8072832881088803</v>
      </c>
      <c r="M12" s="46">
        <f t="shared" si="2"/>
        <v>1.9961979212045786</v>
      </c>
      <c r="N12" s="46">
        <f t="shared" si="2"/>
        <v>43.921827425961332</v>
      </c>
      <c r="O12" s="46">
        <f t="shared" si="2"/>
        <v>24.827130462496719</v>
      </c>
      <c r="P12" s="46">
        <f t="shared" si="2"/>
        <v>14.037710065342431</v>
      </c>
      <c r="Q12" s="46">
        <f t="shared" si="2"/>
        <v>1.6494950931544337</v>
      </c>
      <c r="R12" s="46">
        <f t="shared" si="2"/>
        <v>27.193924820445549</v>
      </c>
      <c r="S12" s="90"/>
      <c r="T12" s="13"/>
      <c r="U12" s="13"/>
      <c r="V12" s="13"/>
    </row>
    <row r="13" spans="1:22" x14ac:dyDescent="0.25">
      <c r="A13" s="13" t="s">
        <v>118</v>
      </c>
      <c r="B13" s="13"/>
      <c r="C13" s="96">
        <f>C12*24</f>
        <v>47.903465800049482</v>
      </c>
      <c r="D13" s="96">
        <f t="shared" ref="D13:R13" si="3">D12*24</f>
        <v>29.278537850976612</v>
      </c>
      <c r="E13" s="96">
        <f t="shared" si="3"/>
        <v>19.777180083853239</v>
      </c>
      <c r="F13" s="96">
        <f t="shared" si="3"/>
        <v>13.44923803219055</v>
      </c>
      <c r="G13" s="96">
        <f t="shared" si="3"/>
        <v>6.8946234294235254</v>
      </c>
      <c r="H13" s="96">
        <f t="shared" si="3"/>
        <v>1.8889379258694587</v>
      </c>
      <c r="I13" s="96">
        <f t="shared" si="3"/>
        <v>938.25434331029123</v>
      </c>
      <c r="J13" s="96">
        <f t="shared" si="3"/>
        <v>204.87267415079299</v>
      </c>
      <c r="K13" s="96">
        <f t="shared" si="3"/>
        <v>81.596149566216454</v>
      </c>
      <c r="L13" s="96">
        <f t="shared" si="3"/>
        <v>67.374798914613123</v>
      </c>
      <c r="M13" s="96">
        <f t="shared" si="3"/>
        <v>47.908750108909885</v>
      </c>
      <c r="N13" s="96">
        <f t="shared" si="3"/>
        <v>1054.1238582230719</v>
      </c>
      <c r="O13" s="96">
        <f t="shared" si="3"/>
        <v>595.8511310999213</v>
      </c>
      <c r="P13" s="96">
        <f t="shared" si="3"/>
        <v>336.90504156821834</v>
      </c>
      <c r="Q13" s="96">
        <f t="shared" si="3"/>
        <v>39.58788223570641</v>
      </c>
      <c r="R13" s="96">
        <f t="shared" si="3"/>
        <v>652.6541956906932</v>
      </c>
      <c r="S13" s="13"/>
      <c r="T13" s="13"/>
      <c r="U13" s="13"/>
      <c r="V13" s="13"/>
    </row>
    <row r="14" spans="1:22" x14ac:dyDescent="0.25">
      <c r="A14" s="90" t="s">
        <v>119</v>
      </c>
      <c r="B14" s="13"/>
      <c r="C14" s="95">
        <f>C13-U9</f>
        <v>-5.2843088604035415E-3</v>
      </c>
      <c r="D14" s="95">
        <f>D13</f>
        <v>29.278537850976612</v>
      </c>
      <c r="E14" s="95">
        <f>E13-U10</f>
        <v>-1.6761033999966202E-2</v>
      </c>
      <c r="F14" s="95">
        <f>F13</f>
        <v>13.44923803219055</v>
      </c>
      <c r="G14" s="95">
        <f>G13-U11</f>
        <v>-5.2105740303154846E-2</v>
      </c>
      <c r="H14" s="95">
        <f>H13</f>
        <v>1.8889379258694587</v>
      </c>
      <c r="I14" s="95">
        <f>I13</f>
        <v>938.25434331029123</v>
      </c>
      <c r="J14" s="95">
        <f>J13</f>
        <v>204.87267415079299</v>
      </c>
      <c r="K14" s="95">
        <f>K13-U7</f>
        <v>1.4375104879803757E-2</v>
      </c>
      <c r="L14" s="95">
        <f>L13-U8</f>
        <v>-6.2093990305385205E-3</v>
      </c>
      <c r="M14" s="95">
        <f t="shared" ref="M14:R14" si="4">M13</f>
        <v>47.908750108909885</v>
      </c>
      <c r="N14" s="95">
        <f t="shared" si="4"/>
        <v>1054.1238582230719</v>
      </c>
      <c r="O14" s="95">
        <f t="shared" si="4"/>
        <v>595.8511310999213</v>
      </c>
      <c r="P14" s="95">
        <f t="shared" si="4"/>
        <v>336.90504156821834</v>
      </c>
      <c r="Q14" s="95">
        <f t="shared" si="4"/>
        <v>39.58788223570641</v>
      </c>
      <c r="R14" s="95">
        <f t="shared" si="4"/>
        <v>652.6541956906932</v>
      </c>
      <c r="S14" s="13"/>
      <c r="T14" s="13"/>
      <c r="U14" s="13"/>
      <c r="V14" s="13"/>
    </row>
    <row r="15" spans="1:22" x14ac:dyDescent="0.25">
      <c r="B15" s="13"/>
      <c r="C15" s="46">
        <f>C14^2</f>
        <v>2.7923920132139376E-5</v>
      </c>
      <c r="D15" s="46"/>
      <c r="E15" s="46">
        <f t="shared" ref="E15:L15" si="5">E14^2</f>
        <v>2.8093226074802301E-4</v>
      </c>
      <c r="F15" s="46"/>
      <c r="G15" s="46">
        <f t="shared" si="5"/>
        <v>2.7150081725398154E-3</v>
      </c>
      <c r="H15" s="46"/>
      <c r="I15" s="46"/>
      <c r="J15" s="46"/>
      <c r="K15" s="46">
        <f t="shared" si="5"/>
        <v>2.0664364030535779E-4</v>
      </c>
      <c r="L15" s="46">
        <f t="shared" si="5"/>
        <v>3.8556636320452718E-5</v>
      </c>
      <c r="M15" s="46"/>
      <c r="N15" s="46"/>
      <c r="O15" s="46"/>
      <c r="P15" s="46"/>
      <c r="Q15" s="46"/>
      <c r="R15" s="46"/>
      <c r="S15" s="46">
        <f>SUM(C15:R15)</f>
        <v>3.2690646300457885E-3</v>
      </c>
      <c r="T15" s="13"/>
      <c r="U15" s="13"/>
      <c r="V15" s="13"/>
    </row>
    <row r="16" spans="1:22" x14ac:dyDescent="0.25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2:22" x14ac:dyDescent="0.25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2:22" x14ac:dyDescent="0.25"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Archive</vt:lpstr>
      <vt:lpstr>BonusPrice</vt:lpstr>
      <vt:lpstr>Expected sold units</vt:lpstr>
      <vt:lpstr>Production plans</vt:lpstr>
      <vt:lpstr>Production plans optimization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2021-08-07T02:49:31Z</dcterms:created>
  <dcterms:modified xsi:type="dcterms:W3CDTF">2021-09-21T03:00:20Z</dcterms:modified>
</cp:coreProperties>
</file>