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1730" activeTab="3"/>
  </bookViews>
  <sheets>
    <sheet name="BFR-OB-ST-RE" sheetId="4" r:id="rId1"/>
    <sheet name="RE" sheetId="6" r:id="rId2"/>
    <sheet name="HGEC" sheetId="5" r:id="rId3"/>
    <sheet name="SAT-Ion-HGEC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3" l="1"/>
  <c r="D24" i="3"/>
  <c r="C24" i="3"/>
  <c r="B24" i="3"/>
  <c r="B38" i="5"/>
  <c r="B42" i="5"/>
  <c r="B38" i="6"/>
  <c r="B42" i="6"/>
  <c r="B38" i="4"/>
  <c r="B42" i="4" l="1"/>
  <c r="B37" i="4"/>
  <c r="B35" i="4"/>
  <c r="B36" i="4"/>
  <c r="B19" i="6"/>
  <c r="B20" i="6" s="1"/>
  <c r="F24" i="4"/>
  <c r="E24" i="4"/>
  <c r="D24" i="4"/>
  <c r="C24" i="4"/>
  <c r="B24" i="4"/>
  <c r="B24" i="6"/>
  <c r="B27" i="6" s="1"/>
  <c r="B21" i="6"/>
  <c r="B41" i="6" l="1"/>
  <c r="B25" i="6"/>
  <c r="B28" i="6" l="1"/>
  <c r="B35" i="6" s="1"/>
  <c r="B36" i="6" s="1"/>
  <c r="B37" i="6" s="1"/>
  <c r="B26" i="6"/>
  <c r="E19" i="3" l="1"/>
  <c r="D19" i="3"/>
  <c r="C19" i="3"/>
  <c r="B19" i="3"/>
  <c r="E16" i="3"/>
  <c r="D16" i="3"/>
  <c r="C16" i="3"/>
  <c r="B19" i="5"/>
  <c r="B24" i="5" l="1"/>
  <c r="B27" i="5" l="1"/>
  <c r="F19" i="4"/>
  <c r="E19" i="4"/>
  <c r="D19" i="4"/>
  <c r="C19" i="4"/>
  <c r="F16" i="4"/>
  <c r="C16" i="4"/>
  <c r="B20" i="5" l="1"/>
  <c r="B21" i="5"/>
  <c r="B25" i="5"/>
  <c r="B20" i="4"/>
  <c r="B27" i="4"/>
  <c r="C25" i="4" s="1"/>
  <c r="B21" i="4"/>
  <c r="E16" i="4"/>
  <c r="B20" i="3"/>
  <c r="F25" i="4" l="1"/>
  <c r="B41" i="5"/>
  <c r="B26" i="5" s="1"/>
  <c r="B28" i="5"/>
  <c r="B41" i="4"/>
  <c r="E25" i="4"/>
  <c r="I25" i="4"/>
  <c r="H25" i="4"/>
  <c r="G25" i="4"/>
  <c r="L25" i="4"/>
  <c r="D25" i="4"/>
  <c r="K25" i="4"/>
  <c r="J25" i="4"/>
  <c r="B25" i="4"/>
  <c r="B21" i="3"/>
  <c r="B41" i="3" s="1"/>
  <c r="C26" i="4" l="1"/>
  <c r="L26" i="4"/>
  <c r="E26" i="4"/>
  <c r="J26" i="4"/>
  <c r="K26" i="4"/>
  <c r="D26" i="4"/>
  <c r="F26" i="4"/>
  <c r="B35" i="5"/>
  <c r="B36" i="5" s="1"/>
  <c r="B37" i="5" s="1"/>
  <c r="G26" i="4"/>
  <c r="H26" i="4"/>
  <c r="I26" i="4"/>
  <c r="B28" i="4"/>
  <c r="B26" i="4"/>
  <c r="B27" i="3"/>
  <c r="E25" i="3" s="1"/>
  <c r="E26" i="3" s="1"/>
  <c r="D34" i="4" l="1"/>
  <c r="I25" i="3"/>
  <c r="I26" i="3" s="1"/>
  <c r="G25" i="3"/>
  <c r="G26" i="3" s="1"/>
  <c r="J25" i="3"/>
  <c r="J26" i="3" s="1"/>
  <c r="H25" i="3"/>
  <c r="H26" i="3" s="1"/>
  <c r="L25" i="3"/>
  <c r="L26" i="3" s="1"/>
  <c r="D25" i="3"/>
  <c r="D26" i="3" s="1"/>
  <c r="K25" i="3"/>
  <c r="K26" i="3" s="1"/>
  <c r="B25" i="3"/>
  <c r="F25" i="3"/>
  <c r="F26" i="3" s="1"/>
  <c r="C25" i="3"/>
  <c r="C26" i="3" s="1"/>
  <c r="B28" i="3" l="1"/>
  <c r="B26" i="3"/>
  <c r="B38" i="3" l="1"/>
  <c r="B35" i="3" s="1"/>
  <c r="B36" i="3" s="1"/>
  <c r="B37" i="3" s="1"/>
  <c r="B42" i="3"/>
</calcChain>
</file>

<file path=xl/sharedStrings.xml><?xml version="1.0" encoding="utf-8"?>
<sst xmlns="http://schemas.openxmlformats.org/spreadsheetml/2006/main" count="187" uniqueCount="73">
  <si>
    <t>Alphas</t>
  </si>
  <si>
    <t>Product Name</t>
  </si>
  <si>
    <t>BFR</t>
  </si>
  <si>
    <t xml:space="preserve">(Pu) Produced units per hour </t>
  </si>
  <si>
    <t>(Pw) Product wages, no Admin costs</t>
  </si>
  <si>
    <t>(In) Input resources</t>
  </si>
  <si>
    <t>Input resources</t>
  </si>
  <si>
    <t xml:space="preserve">(those not produced) </t>
  </si>
  <si>
    <t>Fuselage</t>
  </si>
  <si>
    <t>Propellant tank</t>
  </si>
  <si>
    <t>Cockpit</t>
  </si>
  <si>
    <t>HeatShield</t>
  </si>
  <si>
    <t>Steel</t>
  </si>
  <si>
    <t>HGEC</t>
  </si>
  <si>
    <t xml:space="preserve">Aluminium </t>
  </si>
  <si>
    <t>Name</t>
  </si>
  <si>
    <t>Price</t>
  </si>
  <si>
    <t>(Rp) Retail price, of the final product</t>
  </si>
  <si>
    <t>(Bl) Building level</t>
  </si>
  <si>
    <t>Required per end product</t>
  </si>
  <si>
    <t>Required buildings to produce 1 end product</t>
  </si>
  <si>
    <t>End Product</t>
  </si>
  <si>
    <t>Total Alpha</t>
  </si>
  <si>
    <t xml:space="preserve">*Dependencies should be adjusted manually </t>
  </si>
  <si>
    <t>% required (alpha)</t>
  </si>
  <si>
    <t>Daily Profit</t>
  </si>
  <si>
    <t>BFR-OB</t>
  </si>
  <si>
    <t>BFR-Starship</t>
  </si>
  <si>
    <t>OB-Rocket engine</t>
  </si>
  <si>
    <t>St-Rocket engine</t>
  </si>
  <si>
    <t>RP1</t>
  </si>
  <si>
    <t>RP2</t>
  </si>
  <si>
    <t>RP3</t>
  </si>
  <si>
    <t>RP4</t>
  </si>
  <si>
    <t>RP5</t>
  </si>
  <si>
    <t>RP6</t>
  </si>
  <si>
    <t>RP7</t>
  </si>
  <si>
    <t>RP8</t>
  </si>
  <si>
    <t>RP9</t>
  </si>
  <si>
    <t>RP10</t>
  </si>
  <si>
    <t>(In_T) Total Input Resources</t>
  </si>
  <si>
    <t>(Pb) Productivity bonus</t>
  </si>
  <si>
    <t>(Sk) Executives Management Skills</t>
  </si>
  <si>
    <t>(Pw_t) Total product wages, no Admin costs</t>
  </si>
  <si>
    <t>(Pu_T) Alpha End product</t>
  </si>
  <si>
    <t>Optimal Daily Profit</t>
  </si>
  <si>
    <t>Attitude controller</t>
  </si>
  <si>
    <t>amount of self produced required products</t>
  </si>
  <si>
    <t>Total Unitary costs</t>
  </si>
  <si>
    <t>Total Unitary profit</t>
  </si>
  <si>
    <t>COLOR CODES</t>
  </si>
  <si>
    <t>Partial results</t>
  </si>
  <si>
    <t>Final results</t>
  </si>
  <si>
    <t>Change constantly (manually)</t>
  </si>
  <si>
    <t xml:space="preserve">Change rarely (manually) </t>
  </si>
  <si>
    <t>Total Unitary admin costs</t>
  </si>
  <si>
    <t>(Bl*) Optimal Building level</t>
  </si>
  <si>
    <t>Optimum Building levels</t>
  </si>
  <si>
    <t>Flight computer</t>
  </si>
  <si>
    <t>Attitude control</t>
  </si>
  <si>
    <t>Satellite</t>
  </si>
  <si>
    <t>Silicon</t>
  </si>
  <si>
    <t>Chemicals</t>
  </si>
  <si>
    <t>Golden bars</t>
  </si>
  <si>
    <t>Batteries</t>
  </si>
  <si>
    <t>Sat-HGEC</t>
  </si>
  <si>
    <t>Sat-Ion Drive</t>
  </si>
  <si>
    <t>Sat-Ion-HGEC</t>
  </si>
  <si>
    <t xml:space="preserve">HGEC </t>
  </si>
  <si>
    <t>RE</t>
  </si>
  <si>
    <t>Aluminium</t>
  </si>
  <si>
    <t>Required buildings to produce 1 end product in one hour</t>
  </si>
  <si>
    <t xml:space="preserve">Total Unitary costs (considering Admin costs)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</si>
</sst>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44" fontId="0" fillId="2" borderId="0" xfId="2" applyFont="1" applyFill="1" applyBorder="1"/>
    <xf numFmtId="44" fontId="0" fillId="2" borderId="5" xfId="2" applyFont="1" applyFill="1" applyBorder="1"/>
    <xf numFmtId="44" fontId="0" fillId="2" borderId="7" xfId="2" applyFont="1" applyFill="1" applyBorder="1"/>
    <xf numFmtId="44" fontId="0" fillId="2" borderId="8" xfId="2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4" fontId="0" fillId="4" borderId="3" xfId="2" applyFont="1" applyFill="1" applyBorder="1"/>
    <xf numFmtId="44" fontId="0" fillId="4" borderId="8" xfId="2" applyFont="1" applyFill="1" applyBorder="1"/>
    <xf numFmtId="0" fontId="0" fillId="0" borderId="1" xfId="0" applyBorder="1"/>
    <xf numFmtId="0" fontId="0" fillId="3" borderId="2" xfId="0" applyFill="1" applyBorder="1"/>
    <xf numFmtId="0" fontId="0" fillId="3" borderId="3" xfId="0" applyFill="1" applyBorder="1"/>
    <xf numFmtId="0" fontId="0" fillId="0" borderId="6" xfId="0" applyBorder="1"/>
    <xf numFmtId="0" fontId="0" fillId="0" borderId="4" xfId="0" applyBorder="1"/>
    <xf numFmtId="10" fontId="0" fillId="4" borderId="14" xfId="0" applyNumberFormat="1" applyFill="1" applyBorder="1"/>
    <xf numFmtId="10" fontId="0" fillId="2" borderId="8" xfId="0" applyNumberFormat="1" applyFill="1" applyBorder="1"/>
    <xf numFmtId="0" fontId="0" fillId="0" borderId="5" xfId="0" applyBorder="1"/>
    <xf numFmtId="44" fontId="0" fillId="5" borderId="8" xfId="2" applyFont="1" applyFill="1" applyBorder="1"/>
    <xf numFmtId="0" fontId="0" fillId="0" borderId="3" xfId="0" applyBorder="1"/>
    <xf numFmtId="0" fontId="0" fillId="2" borderId="6" xfId="0" applyFill="1" applyBorder="1"/>
    <xf numFmtId="44" fontId="0" fillId="2" borderId="3" xfId="2" applyFont="1" applyFill="1" applyBorder="1"/>
    <xf numFmtId="44" fontId="0" fillId="3" borderId="0" xfId="2" applyFont="1" applyFill="1" applyBorder="1"/>
    <xf numFmtId="44" fontId="0" fillId="3" borderId="5" xfId="2" applyFont="1" applyFill="1" applyBorder="1"/>
    <xf numFmtId="0" fontId="0" fillId="3" borderId="0" xfId="0" applyFill="1" applyBorder="1"/>
    <xf numFmtId="0" fontId="0" fillId="3" borderId="5" xfId="0" applyFill="1" applyBorder="1"/>
    <xf numFmtId="44" fontId="0" fillId="4" borderId="8" xfId="0" applyNumberFormat="1" applyFill="1" applyBorder="1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4" borderId="3" xfId="0" applyFill="1" applyBorder="1"/>
    <xf numFmtId="0" fontId="0" fillId="4" borderId="5" xfId="0" applyFill="1" applyBorder="1"/>
    <xf numFmtId="0" fontId="0" fillId="5" borderId="3" xfId="0" applyFill="1" applyBorder="1"/>
    <xf numFmtId="10" fontId="0" fillId="2" borderId="5" xfId="0" applyNumberFormat="1" applyFill="1" applyBorder="1"/>
    <xf numFmtId="10" fontId="0" fillId="4" borderId="0" xfId="1" applyNumberFormat="1" applyFont="1" applyFill="1" applyBorder="1"/>
    <xf numFmtId="10" fontId="0" fillId="4" borderId="5" xfId="1" applyNumberFormat="1" applyFont="1" applyFill="1" applyBorder="1"/>
    <xf numFmtId="0" fontId="0" fillId="4" borderId="8" xfId="0" applyFill="1" applyBorder="1"/>
    <xf numFmtId="0" fontId="0" fillId="0" borderId="0" xfId="0" applyFill="1" applyBorder="1"/>
    <xf numFmtId="0" fontId="0" fillId="3" borderId="1" xfId="0" applyFill="1" applyBorder="1"/>
    <xf numFmtId="10" fontId="0" fillId="4" borderId="4" xfId="1" applyNumberFormat="1" applyFont="1" applyFill="1" applyBorder="1"/>
    <xf numFmtId="43" fontId="0" fillId="5" borderId="6" xfId="3" applyFont="1" applyFill="1" applyBorder="1"/>
    <xf numFmtId="43" fontId="0" fillId="5" borderId="7" xfId="3" applyFont="1" applyFill="1" applyBorder="1"/>
    <xf numFmtId="43" fontId="0" fillId="5" borderId="8" xfId="3" applyFont="1" applyFill="1" applyBorder="1"/>
    <xf numFmtId="0" fontId="0" fillId="0" borderId="15" xfId="0" applyBorder="1"/>
    <xf numFmtId="0" fontId="0" fillId="2" borderId="9" xfId="0" applyFill="1" applyBorder="1"/>
    <xf numFmtId="0" fontId="0" fillId="2" borderId="10" xfId="0" applyFill="1" applyBorder="1"/>
    <xf numFmtId="0" fontId="0" fillId="3" borderId="10" xfId="0" applyFill="1" applyBorder="1"/>
    <xf numFmtId="44" fontId="0" fillId="3" borderId="10" xfId="2" applyFont="1" applyFill="1" applyBorder="1"/>
    <xf numFmtId="44" fontId="0" fillId="2" borderId="10" xfId="2" applyFont="1" applyFill="1" applyBorder="1"/>
    <xf numFmtId="44" fontId="0" fillId="4" borderId="9" xfId="2" applyFont="1" applyFill="1" applyBorder="1"/>
    <xf numFmtId="44" fontId="0" fillId="4" borderId="11" xfId="2" applyFont="1" applyFill="1" applyBorder="1"/>
    <xf numFmtId="0" fontId="0" fillId="0" borderId="4" xfId="0" applyFill="1" applyBorder="1"/>
    <xf numFmtId="43" fontId="0" fillId="5" borderId="5" xfId="3" applyFont="1" applyFill="1" applyBorder="1"/>
    <xf numFmtId="10" fontId="0" fillId="4" borderId="8" xfId="0" applyNumberFormat="1" applyFill="1" applyBorder="1"/>
    <xf numFmtId="44" fontId="0" fillId="4" borderId="5" xfId="2" applyFont="1" applyFill="1" applyBorder="1"/>
    <xf numFmtId="10" fontId="0" fillId="0" borderId="0" xfId="0" applyNumberFormat="1"/>
    <xf numFmtId="44" fontId="0" fillId="0" borderId="0" xfId="0" applyNumberFormat="1"/>
  </cellXfs>
  <cellStyles count="4">
    <cellStyle name="Millares" xfId="3" builtinId="3"/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828675</xdr:colOff>
      <xdr:row>40</xdr:row>
      <xdr:rowOff>161925</xdr:rowOff>
    </xdr:from>
    <xdr:to>
      <xdr:col>5</xdr:col>
      <xdr:colOff>419460</xdr:colOff>
      <xdr:row>43</xdr:row>
      <xdr:rowOff>66744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7743825"/>
          <a:ext cx="2581635" cy="495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800100</xdr:colOff>
      <xdr:row>38</xdr:row>
      <xdr:rowOff>38100</xdr:rowOff>
    </xdr:from>
    <xdr:to>
      <xdr:col>6</xdr:col>
      <xdr:colOff>200512</xdr:colOff>
      <xdr:row>40</xdr:row>
      <xdr:rowOff>190574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7239000"/>
          <a:ext cx="3486637" cy="533474"/>
        </a:xfrm>
        <a:prstGeom prst="rect">
          <a:avLst/>
        </a:prstGeom>
      </xdr:spPr>
    </xdr:pic>
    <xdr:clientData/>
  </xdr:twoCellAnchor>
  <xdr:twoCellAnchor editAs="oneCell">
    <xdr:from>
      <xdr:col>2</xdr:col>
      <xdr:colOff>828675</xdr:colOff>
      <xdr:row>40</xdr:row>
      <xdr:rowOff>161925</xdr:rowOff>
    </xdr:from>
    <xdr:to>
      <xdr:col>5</xdr:col>
      <xdr:colOff>419460</xdr:colOff>
      <xdr:row>43</xdr:row>
      <xdr:rowOff>66744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1100" y="7743825"/>
          <a:ext cx="2581635" cy="4953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800100</xdr:colOff>
      <xdr:row>38</xdr:row>
      <xdr:rowOff>38100</xdr:rowOff>
    </xdr:from>
    <xdr:to>
      <xdr:col>6</xdr:col>
      <xdr:colOff>200512</xdr:colOff>
      <xdr:row>40</xdr:row>
      <xdr:rowOff>190574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7239000"/>
          <a:ext cx="3486637" cy="533474"/>
        </a:xfrm>
        <a:prstGeom prst="rect">
          <a:avLst/>
        </a:prstGeom>
      </xdr:spPr>
    </xdr:pic>
    <xdr:clientData/>
  </xdr:twoCellAnchor>
  <xdr:twoCellAnchor editAs="oneCell">
    <xdr:from>
      <xdr:col>2</xdr:col>
      <xdr:colOff>828675</xdr:colOff>
      <xdr:row>40</xdr:row>
      <xdr:rowOff>161925</xdr:rowOff>
    </xdr:from>
    <xdr:to>
      <xdr:col>5</xdr:col>
      <xdr:colOff>419460</xdr:colOff>
      <xdr:row>43</xdr:row>
      <xdr:rowOff>66744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1100" y="7743825"/>
          <a:ext cx="2581635" cy="4953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800100</xdr:colOff>
      <xdr:row>38</xdr:row>
      <xdr:rowOff>38100</xdr:rowOff>
    </xdr:from>
    <xdr:to>
      <xdr:col>6</xdr:col>
      <xdr:colOff>200512</xdr:colOff>
      <xdr:row>40</xdr:row>
      <xdr:rowOff>190574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7048500"/>
          <a:ext cx="3486637" cy="533474"/>
        </a:xfrm>
        <a:prstGeom prst="rect">
          <a:avLst/>
        </a:prstGeom>
      </xdr:spPr>
    </xdr:pic>
    <xdr:clientData/>
  </xdr:twoCellAnchor>
  <xdr:twoCellAnchor editAs="oneCell">
    <xdr:from>
      <xdr:col>2</xdr:col>
      <xdr:colOff>828675</xdr:colOff>
      <xdr:row>40</xdr:row>
      <xdr:rowOff>161925</xdr:rowOff>
    </xdr:from>
    <xdr:to>
      <xdr:col>5</xdr:col>
      <xdr:colOff>419460</xdr:colOff>
      <xdr:row>43</xdr:row>
      <xdr:rowOff>66744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1100" y="7553325"/>
          <a:ext cx="2581635" cy="495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topLeftCell="A14" workbookViewId="0">
      <selection activeCell="B39" sqref="B39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8" t="s">
        <v>7</v>
      </c>
      <c r="E2" s="40" t="s">
        <v>50</v>
      </c>
    </row>
    <row r="3" spans="1:13" x14ac:dyDescent="0.25">
      <c r="A3" s="23" t="s">
        <v>15</v>
      </c>
      <c r="B3" s="26" t="s">
        <v>16</v>
      </c>
      <c r="E3" s="37" t="s">
        <v>53</v>
      </c>
      <c r="F3" s="37"/>
    </row>
    <row r="4" spans="1:13" x14ac:dyDescent="0.25">
      <c r="A4" s="1" t="s">
        <v>8</v>
      </c>
      <c r="B4" s="30">
        <v>2840</v>
      </c>
      <c r="E4" s="38" t="s">
        <v>54</v>
      </c>
      <c r="F4" s="38"/>
    </row>
    <row r="5" spans="1:13" x14ac:dyDescent="0.25">
      <c r="A5" s="4" t="s">
        <v>9</v>
      </c>
      <c r="B5" s="8">
        <v>9475</v>
      </c>
      <c r="E5" s="39" t="s">
        <v>51</v>
      </c>
      <c r="F5" s="39"/>
    </row>
    <row r="6" spans="1:13" x14ac:dyDescent="0.25">
      <c r="A6" s="4" t="s">
        <v>10</v>
      </c>
      <c r="B6" s="8">
        <v>5150</v>
      </c>
      <c r="E6" s="36" t="s">
        <v>52</v>
      </c>
      <c r="F6" s="36"/>
    </row>
    <row r="7" spans="1:13" x14ac:dyDescent="0.25">
      <c r="A7" s="4" t="s">
        <v>11</v>
      </c>
      <c r="B7" s="8">
        <v>440</v>
      </c>
    </row>
    <row r="8" spans="1:13" x14ac:dyDescent="0.25">
      <c r="A8" s="4" t="s">
        <v>46</v>
      </c>
      <c r="B8" s="8">
        <v>1480</v>
      </c>
    </row>
    <row r="9" spans="1:13" x14ac:dyDescent="0.25">
      <c r="A9" s="4" t="s">
        <v>12</v>
      </c>
      <c r="B9" s="8">
        <v>10.6</v>
      </c>
    </row>
    <row r="10" spans="1:13" x14ac:dyDescent="0.25">
      <c r="A10" s="4" t="s">
        <v>13</v>
      </c>
      <c r="B10" s="8">
        <v>820</v>
      </c>
    </row>
    <row r="11" spans="1:13" x14ac:dyDescent="0.25">
      <c r="A11" s="29" t="s">
        <v>14</v>
      </c>
      <c r="B11" s="10">
        <v>18.7</v>
      </c>
    </row>
    <row r="14" spans="1:13" x14ac:dyDescent="0.25">
      <c r="A14" t="s">
        <v>0</v>
      </c>
      <c r="B14" s="14" t="s">
        <v>21</v>
      </c>
      <c r="C14" s="15" t="s">
        <v>30</v>
      </c>
      <c r="D14" s="15" t="s">
        <v>31</v>
      </c>
      <c r="E14" s="15" t="s">
        <v>32</v>
      </c>
      <c r="F14" s="15" t="s">
        <v>33</v>
      </c>
      <c r="G14" s="15" t="s">
        <v>34</v>
      </c>
      <c r="H14" s="15" t="s">
        <v>35</v>
      </c>
      <c r="I14" s="15" t="s">
        <v>36</v>
      </c>
      <c r="J14" s="15" t="s">
        <v>37</v>
      </c>
      <c r="K14" s="15" t="s">
        <v>38</v>
      </c>
      <c r="L14" s="16" t="s">
        <v>39</v>
      </c>
    </row>
    <row r="15" spans="1:13" x14ac:dyDescent="0.25">
      <c r="A15" s="11" t="s">
        <v>1</v>
      </c>
      <c r="B15" s="2" t="s">
        <v>2</v>
      </c>
      <c r="C15" s="2" t="s">
        <v>26</v>
      </c>
      <c r="D15" s="2" t="s">
        <v>27</v>
      </c>
      <c r="E15" s="2" t="s">
        <v>28</v>
      </c>
      <c r="F15" s="2" t="s">
        <v>29</v>
      </c>
      <c r="G15" s="2"/>
      <c r="H15" s="2"/>
      <c r="I15" s="2"/>
      <c r="J15" s="2"/>
      <c r="K15" s="2"/>
      <c r="L15" s="3"/>
    </row>
    <row r="16" spans="1:13" x14ac:dyDescent="0.25">
      <c r="A16" s="12" t="s">
        <v>19</v>
      </c>
      <c r="B16" s="5">
        <v>1</v>
      </c>
      <c r="C16" s="5">
        <f>B16*1</f>
        <v>1</v>
      </c>
      <c r="D16" s="5">
        <v>1</v>
      </c>
      <c r="E16" s="5">
        <f>C16*34</f>
        <v>34</v>
      </c>
      <c r="F16" s="5">
        <f>D16*7</f>
        <v>7</v>
      </c>
      <c r="G16" s="5"/>
      <c r="H16" s="5"/>
      <c r="I16" s="5"/>
      <c r="J16" s="5"/>
      <c r="K16" s="5"/>
      <c r="L16" s="6"/>
      <c r="M16" t="s">
        <v>47</v>
      </c>
    </row>
    <row r="17" spans="1:13" x14ac:dyDescent="0.25">
      <c r="A17" s="12" t="s">
        <v>3</v>
      </c>
      <c r="B17" s="33">
        <v>0.21</v>
      </c>
      <c r="C17" s="33">
        <v>1.5</v>
      </c>
      <c r="D17" s="33">
        <v>0.3</v>
      </c>
      <c r="E17" s="33">
        <v>0.28000000000000003</v>
      </c>
      <c r="F17" s="33">
        <v>0.28000000000000003</v>
      </c>
      <c r="G17" s="33"/>
      <c r="H17" s="33"/>
      <c r="I17" s="33"/>
      <c r="J17" s="33"/>
      <c r="K17" s="33"/>
      <c r="L17" s="34"/>
    </row>
    <row r="18" spans="1:13" x14ac:dyDescent="0.25">
      <c r="A18" s="12" t="s">
        <v>4</v>
      </c>
      <c r="B18" s="31">
        <v>3600</v>
      </c>
      <c r="C18" s="31">
        <v>390</v>
      </c>
      <c r="D18" s="31">
        <v>1950</v>
      </c>
      <c r="E18" s="31">
        <v>2220</v>
      </c>
      <c r="F18" s="31">
        <v>2220</v>
      </c>
      <c r="G18" s="31"/>
      <c r="H18" s="31"/>
      <c r="I18" s="31"/>
      <c r="J18" s="31"/>
      <c r="K18" s="31"/>
      <c r="L18" s="32"/>
    </row>
    <row r="19" spans="1:13" x14ac:dyDescent="0.25">
      <c r="A19" s="12" t="s">
        <v>5</v>
      </c>
      <c r="B19" s="7">
        <v>0</v>
      </c>
      <c r="C19" s="9">
        <f>40*B4+16*B5</f>
        <v>265200</v>
      </c>
      <c r="D19" s="9">
        <f>2*B6+10*B7+4*B8+6*B5</f>
        <v>77470</v>
      </c>
      <c r="E19" s="9">
        <f>20*B9+8*B10+10*B11</f>
        <v>6959</v>
      </c>
      <c r="F19" s="9">
        <f>20*B9+8*B10+10*B11</f>
        <v>6959</v>
      </c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40</v>
      </c>
      <c r="B20" s="17">
        <f>SUMPRODUCT(B19:L19,B16:L16)</f>
        <v>627989</v>
      </c>
    </row>
    <row r="21" spans="1:13" ht="14.25" customHeight="1" x14ac:dyDescent="0.25">
      <c r="A21" s="13" t="s">
        <v>43</v>
      </c>
      <c r="B21" s="18">
        <f>SUMPRODUCT(B18:L18,B16:L16)</f>
        <v>96960</v>
      </c>
    </row>
    <row r="22" spans="1:13" ht="14.25" customHeight="1" x14ac:dyDescent="0.25"/>
    <row r="23" spans="1:13" ht="14.25" customHeight="1" x14ac:dyDescent="0.25"/>
    <row r="24" spans="1:13" x14ac:dyDescent="0.25">
      <c r="A24" s="19" t="s">
        <v>20</v>
      </c>
      <c r="B24" s="49">
        <f>B16/B17</f>
        <v>4.7619047619047619</v>
      </c>
      <c r="C24" s="20">
        <f>1/C17*C16</f>
        <v>0.66666666666666663</v>
      </c>
      <c r="D24" s="20">
        <f>1/D17*D16</f>
        <v>3.3333333333333335</v>
      </c>
      <c r="E24" s="20">
        <f>1/E17*E16</f>
        <v>121.42857142857142</v>
      </c>
      <c r="F24" s="20">
        <f>1/F17*F16</f>
        <v>25</v>
      </c>
      <c r="G24" s="20"/>
      <c r="H24" s="20"/>
      <c r="I24" s="20"/>
      <c r="J24" s="20"/>
      <c r="K24" s="20"/>
      <c r="L24" s="21"/>
      <c r="M24" t="s">
        <v>23</v>
      </c>
    </row>
    <row r="25" spans="1:13" x14ac:dyDescent="0.25">
      <c r="A25" s="23" t="s">
        <v>24</v>
      </c>
      <c r="B25" s="50">
        <f>B24/$B$27</f>
        <v>3.0684258975145751E-2</v>
      </c>
      <c r="C25" s="45">
        <f t="shared" ref="C25:L25" si="0">C24/$B$27</f>
        <v>4.2957962565204049E-3</v>
      </c>
      <c r="D25" s="45">
        <f t="shared" si="0"/>
        <v>2.147898128260203E-2</v>
      </c>
      <c r="E25" s="45">
        <f t="shared" si="0"/>
        <v>0.78244860386621662</v>
      </c>
      <c r="F25" s="45">
        <f t="shared" si="0"/>
        <v>0.16109235961951521</v>
      </c>
      <c r="G25" s="45">
        <f t="shared" si="0"/>
        <v>0</v>
      </c>
      <c r="H25" s="45">
        <f t="shared" si="0"/>
        <v>0</v>
      </c>
      <c r="I25" s="45">
        <f t="shared" si="0"/>
        <v>0</v>
      </c>
      <c r="J25" s="45">
        <f t="shared" si="0"/>
        <v>0</v>
      </c>
      <c r="K25" s="45">
        <f t="shared" si="0"/>
        <v>0</v>
      </c>
      <c r="L25" s="46">
        <f t="shared" si="0"/>
        <v>0</v>
      </c>
    </row>
    <row r="26" spans="1:13" x14ac:dyDescent="0.25">
      <c r="A26" s="48" t="s">
        <v>57</v>
      </c>
      <c r="B26" s="51">
        <f>B25*$B$41</f>
        <v>3.1484333667663003</v>
      </c>
      <c r="C26" s="52">
        <f t="shared" ref="C26:L26" si="1">C25*$B$41</f>
        <v>0.44078067134728199</v>
      </c>
      <c r="D26" s="52">
        <f t="shared" si="1"/>
        <v>2.2039033567364106</v>
      </c>
      <c r="E26" s="52">
        <f t="shared" si="1"/>
        <v>80.28505085254065</v>
      </c>
      <c r="F26" s="52">
        <f t="shared" si="1"/>
        <v>16.529275175523075</v>
      </c>
      <c r="G26" s="52">
        <f t="shared" si="1"/>
        <v>0</v>
      </c>
      <c r="H26" s="52">
        <f t="shared" si="1"/>
        <v>0</v>
      </c>
      <c r="I26" s="52">
        <f t="shared" si="1"/>
        <v>0</v>
      </c>
      <c r="J26" s="52">
        <f t="shared" si="1"/>
        <v>0</v>
      </c>
      <c r="K26" s="52">
        <f t="shared" si="1"/>
        <v>0</v>
      </c>
      <c r="L26" s="53">
        <f t="shared" si="1"/>
        <v>0</v>
      </c>
    </row>
    <row r="27" spans="1:13" x14ac:dyDescent="0.25">
      <c r="A27" s="13" t="s">
        <v>22</v>
      </c>
      <c r="B27" s="47">
        <f>SUM(B24:L24)</f>
        <v>155.19047619047618</v>
      </c>
    </row>
    <row r="28" spans="1:13" x14ac:dyDescent="0.25">
      <c r="A28" s="14" t="s">
        <v>44</v>
      </c>
      <c r="B28" s="24">
        <f>B25</f>
        <v>3.0684258975145751E-2</v>
      </c>
    </row>
    <row r="31" spans="1:13" x14ac:dyDescent="0.25">
      <c r="A31" s="19" t="s">
        <v>18</v>
      </c>
      <c r="B31" s="3">
        <v>155.19</v>
      </c>
      <c r="E31" s="66"/>
    </row>
    <row r="32" spans="1:13" x14ac:dyDescent="0.25">
      <c r="A32" s="23" t="s">
        <v>17</v>
      </c>
      <c r="B32" s="6">
        <v>800000</v>
      </c>
    </row>
    <row r="33" spans="1:4" x14ac:dyDescent="0.25">
      <c r="A33" s="23" t="s">
        <v>41</v>
      </c>
      <c r="B33" s="44">
        <v>0.04</v>
      </c>
    </row>
    <row r="34" spans="1:4" x14ac:dyDescent="0.25">
      <c r="A34" s="22" t="s">
        <v>42</v>
      </c>
      <c r="B34" s="25">
        <v>0.3</v>
      </c>
      <c r="D34">
        <f>B35*24</f>
        <v>460898.97556561232</v>
      </c>
    </row>
    <row r="35" spans="1:4" x14ac:dyDescent="0.25">
      <c r="A35" s="19" t="s">
        <v>49</v>
      </c>
      <c r="B35" s="41">
        <f>B32-B36</f>
        <v>19204.123981900513</v>
      </c>
    </row>
    <row r="36" spans="1:4" x14ac:dyDescent="0.25">
      <c r="A36" s="23" t="s">
        <v>48</v>
      </c>
      <c r="B36" s="42">
        <f>B20+B21*(1+B31/170*(1-B34))/(1+B33)</f>
        <v>780795.87601809949</v>
      </c>
    </row>
    <row r="37" spans="1:4" x14ac:dyDescent="0.25">
      <c r="A37" s="22" t="s">
        <v>55</v>
      </c>
      <c r="B37" s="35">
        <f>B36-B20-B21</f>
        <v>55846.876018099487</v>
      </c>
    </row>
    <row r="38" spans="1:4" x14ac:dyDescent="0.25">
      <c r="A38" s="22" t="s">
        <v>25</v>
      </c>
      <c r="B38" s="27">
        <f>(B32-B20-(B31*(1-B34)/170+1)*B21/(1+B33))*B31*B28*B17*24</f>
        <v>460897.5613312588</v>
      </c>
    </row>
    <row r="41" spans="1:4" ht="16.5" customHeight="1" x14ac:dyDescent="0.25">
      <c r="A41" s="19" t="s">
        <v>56</v>
      </c>
      <c r="B41" s="43">
        <f>((B32-B20)*(1+B33)/B21-1)*170/2/(1-B34)</f>
        <v>102.60744342291372</v>
      </c>
    </row>
    <row r="42" spans="1:4" x14ac:dyDescent="0.25">
      <c r="A42" s="22" t="s">
        <v>45</v>
      </c>
      <c r="B42" s="27">
        <f>(B32-B20-((B41*(1-B34)/170+1)*B21/(1+B33)))*B41*B28*B17*24</f>
        <v>625046.45413239649</v>
      </c>
    </row>
  </sheetData>
  <sheetProtection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2"/>
  <sheetViews>
    <sheetView topLeftCell="A13" workbookViewId="0">
      <selection activeCell="B39" sqref="B39"/>
    </sheetView>
  </sheetViews>
  <sheetFormatPr baseColWidth="10" defaultRowHeight="15" x14ac:dyDescent="0.25"/>
  <cols>
    <col min="1" max="1" width="51.710937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6" x14ac:dyDescent="0.25">
      <c r="A2" s="19" t="s">
        <v>6</v>
      </c>
      <c r="B2" s="28" t="s">
        <v>7</v>
      </c>
      <c r="E2" s="40" t="s">
        <v>50</v>
      </c>
    </row>
    <row r="3" spans="1:6" x14ac:dyDescent="0.25">
      <c r="A3" s="23" t="s">
        <v>15</v>
      </c>
      <c r="B3" s="26" t="s">
        <v>16</v>
      </c>
      <c r="E3" s="37" t="s">
        <v>53</v>
      </c>
      <c r="F3" s="37"/>
    </row>
    <row r="4" spans="1:6" x14ac:dyDescent="0.25">
      <c r="A4" s="1" t="s">
        <v>12</v>
      </c>
      <c r="B4" s="30">
        <v>10.9</v>
      </c>
      <c r="E4" s="38" t="s">
        <v>54</v>
      </c>
      <c r="F4" s="38"/>
    </row>
    <row r="5" spans="1:6" x14ac:dyDescent="0.25">
      <c r="A5" s="4" t="s">
        <v>13</v>
      </c>
      <c r="B5" s="8">
        <v>890</v>
      </c>
      <c r="E5" s="39" t="s">
        <v>51</v>
      </c>
      <c r="F5" s="39"/>
    </row>
    <row r="6" spans="1:6" x14ac:dyDescent="0.25">
      <c r="A6" s="4" t="s">
        <v>70</v>
      </c>
      <c r="B6" s="8">
        <v>18</v>
      </c>
      <c r="E6" s="36" t="s">
        <v>52</v>
      </c>
      <c r="F6" s="36"/>
    </row>
    <row r="7" spans="1:6" x14ac:dyDescent="0.25">
      <c r="A7" s="4"/>
      <c r="B7" s="8"/>
    </row>
    <row r="8" spans="1:6" x14ac:dyDescent="0.25">
      <c r="A8" s="4"/>
      <c r="B8" s="8"/>
    </row>
    <row r="9" spans="1:6" x14ac:dyDescent="0.25">
      <c r="A9" s="4"/>
      <c r="B9" s="8"/>
    </row>
    <row r="10" spans="1:6" x14ac:dyDescent="0.25">
      <c r="A10" s="4"/>
      <c r="B10" s="8"/>
    </row>
    <row r="11" spans="1:6" x14ac:dyDescent="0.25">
      <c r="A11" s="29"/>
      <c r="B11" s="10"/>
    </row>
    <row r="14" spans="1:6" x14ac:dyDescent="0.25">
      <c r="A14" t="s">
        <v>0</v>
      </c>
      <c r="B14" s="54" t="s">
        <v>21</v>
      </c>
    </row>
    <row r="15" spans="1:6" x14ac:dyDescent="0.25">
      <c r="A15" s="11" t="s">
        <v>1</v>
      </c>
      <c r="B15" s="55" t="s">
        <v>69</v>
      </c>
    </row>
    <row r="16" spans="1:6" x14ac:dyDescent="0.25">
      <c r="A16" s="12" t="s">
        <v>19</v>
      </c>
      <c r="B16" s="56">
        <v>1</v>
      </c>
    </row>
    <row r="17" spans="1:5" x14ac:dyDescent="0.25">
      <c r="A17" s="12" t="s">
        <v>3</v>
      </c>
      <c r="B17" s="57">
        <v>0.28000000000000003</v>
      </c>
    </row>
    <row r="18" spans="1:5" x14ac:dyDescent="0.25">
      <c r="A18" s="12" t="s">
        <v>4</v>
      </c>
      <c r="B18" s="58">
        <v>2219.19</v>
      </c>
    </row>
    <row r="19" spans="1:5" x14ac:dyDescent="0.25">
      <c r="A19" s="12" t="s">
        <v>5</v>
      </c>
      <c r="B19" s="59">
        <f>20*B4+8*B5+10*B6</f>
        <v>7518</v>
      </c>
    </row>
    <row r="20" spans="1:5" ht="14.25" customHeight="1" x14ac:dyDescent="0.25">
      <c r="A20" s="11" t="s">
        <v>40</v>
      </c>
      <c r="B20" s="60">
        <f>SUMPRODUCT(B19:L19,B16:L16)</f>
        <v>7518</v>
      </c>
    </row>
    <row r="21" spans="1:5" ht="14.25" customHeight="1" x14ac:dyDescent="0.25">
      <c r="A21" s="13" t="s">
        <v>43</v>
      </c>
      <c r="B21" s="61">
        <f>SUMPRODUCT(B18:L18,B16:L16)</f>
        <v>2219.19</v>
      </c>
    </row>
    <row r="22" spans="1:5" ht="14.25" customHeight="1" x14ac:dyDescent="0.25"/>
    <row r="23" spans="1:5" ht="14.25" customHeight="1" x14ac:dyDescent="0.25"/>
    <row r="24" spans="1:5" x14ac:dyDescent="0.25">
      <c r="A24" s="19" t="s">
        <v>71</v>
      </c>
      <c r="B24" s="21">
        <f>B16/B17</f>
        <v>3.5714285714285712</v>
      </c>
    </row>
    <row r="25" spans="1:5" x14ac:dyDescent="0.25">
      <c r="A25" s="23" t="s">
        <v>24</v>
      </c>
      <c r="B25" s="46">
        <f>B24/$B$27</f>
        <v>1</v>
      </c>
    </row>
    <row r="26" spans="1:5" x14ac:dyDescent="0.25">
      <c r="A26" s="62" t="s">
        <v>57</v>
      </c>
      <c r="B26" s="63">
        <f>B25*$B$41</f>
        <v>71.028264495475511</v>
      </c>
    </row>
    <row r="27" spans="1:5" x14ac:dyDescent="0.25">
      <c r="A27" s="23" t="s">
        <v>22</v>
      </c>
      <c r="B27" s="42">
        <f>SUM(B24:L24)</f>
        <v>3.5714285714285712</v>
      </c>
    </row>
    <row r="28" spans="1:5" x14ac:dyDescent="0.25">
      <c r="A28" s="22" t="s">
        <v>44</v>
      </c>
      <c r="B28" s="64">
        <f>B25</f>
        <v>1</v>
      </c>
    </row>
    <row r="30" spans="1:5" x14ac:dyDescent="0.25">
      <c r="E30" s="67"/>
    </row>
    <row r="31" spans="1:5" x14ac:dyDescent="0.25">
      <c r="A31" s="19" t="s">
        <v>18</v>
      </c>
      <c r="B31" s="3">
        <v>86</v>
      </c>
    </row>
    <row r="32" spans="1:5" x14ac:dyDescent="0.25">
      <c r="A32" s="23" t="s">
        <v>17</v>
      </c>
      <c r="B32" s="6">
        <v>10900</v>
      </c>
    </row>
    <row r="33" spans="1:2" x14ac:dyDescent="0.25">
      <c r="A33" s="23" t="s">
        <v>41</v>
      </c>
      <c r="B33" s="44">
        <v>0.04</v>
      </c>
    </row>
    <row r="34" spans="1:2" x14ac:dyDescent="0.25">
      <c r="A34" s="22" t="s">
        <v>42</v>
      </c>
      <c r="B34" s="25">
        <v>0.3</v>
      </c>
    </row>
    <row r="35" spans="1:2" x14ac:dyDescent="0.25">
      <c r="A35" s="19" t="s">
        <v>49</v>
      </c>
      <c r="B35" s="17">
        <f>B38/24/B28/B31</f>
        <v>137.9096004524888</v>
      </c>
    </row>
    <row r="36" spans="1:2" x14ac:dyDescent="0.25">
      <c r="A36" s="23" t="s">
        <v>72</v>
      </c>
      <c r="B36" s="65">
        <f>B32-B35</f>
        <v>10762.090399547511</v>
      </c>
    </row>
    <row r="37" spans="1:2" x14ac:dyDescent="0.25">
      <c r="A37" s="22" t="s">
        <v>55</v>
      </c>
      <c r="B37" s="35">
        <f>B36-B21-B20</f>
        <v>1024.9003995475105</v>
      </c>
    </row>
    <row r="38" spans="1:2" x14ac:dyDescent="0.25">
      <c r="A38" s="22" t="s">
        <v>25</v>
      </c>
      <c r="B38" s="27">
        <f>(B32-B20-(B31*(1-B34)/170+1)*B21/(1+B33))*B31*B28*B17*24</f>
        <v>284645.41533393686</v>
      </c>
    </row>
    <row r="41" spans="1:2" ht="16.5" customHeight="1" x14ac:dyDescent="0.25">
      <c r="A41" s="19" t="s">
        <v>56</v>
      </c>
      <c r="B41" s="43">
        <f>((B32-B20)*(1+B33)/B21-1)*170/2/(1-B34)</f>
        <v>71.028264495475511</v>
      </c>
    </row>
    <row r="42" spans="1:2" x14ac:dyDescent="0.25">
      <c r="A42" s="22" t="s">
        <v>45</v>
      </c>
      <c r="B42" s="27">
        <f>(B32-B20-((B41*(1-B34)/170+1)*B21/(1+B33)))*B41*B28*B17*24</f>
        <v>297880.41185193369</v>
      </c>
    </row>
  </sheetData>
  <sheetProtection selectLockedCell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2"/>
  <sheetViews>
    <sheetView topLeftCell="A8" workbookViewId="0">
      <selection activeCell="B39" sqref="B39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6" x14ac:dyDescent="0.25">
      <c r="A2" s="19" t="s">
        <v>6</v>
      </c>
      <c r="B2" s="28" t="s">
        <v>7</v>
      </c>
      <c r="E2" s="40" t="s">
        <v>50</v>
      </c>
    </row>
    <row r="3" spans="1:6" x14ac:dyDescent="0.25">
      <c r="A3" s="23" t="s">
        <v>15</v>
      </c>
      <c r="B3" s="26" t="s">
        <v>16</v>
      </c>
      <c r="E3" s="37" t="s">
        <v>53</v>
      </c>
      <c r="F3" s="37"/>
    </row>
    <row r="4" spans="1:6" x14ac:dyDescent="0.25">
      <c r="A4" s="1" t="s">
        <v>61</v>
      </c>
      <c r="B4" s="30">
        <v>7.4</v>
      </c>
      <c r="E4" s="38" t="s">
        <v>54</v>
      </c>
      <c r="F4" s="38"/>
    </row>
    <row r="5" spans="1:6" x14ac:dyDescent="0.25">
      <c r="A5" s="4" t="s">
        <v>62</v>
      </c>
      <c r="B5" s="8">
        <v>14.4</v>
      </c>
      <c r="E5" s="39" t="s">
        <v>51</v>
      </c>
      <c r="F5" s="39"/>
    </row>
    <row r="6" spans="1:6" x14ac:dyDescent="0.25">
      <c r="A6" s="4" t="s">
        <v>63</v>
      </c>
      <c r="B6" s="8">
        <v>6100</v>
      </c>
      <c r="E6" s="36" t="s">
        <v>52</v>
      </c>
      <c r="F6" s="36"/>
    </row>
    <row r="7" spans="1:6" x14ac:dyDescent="0.25">
      <c r="A7" s="4"/>
      <c r="B7" s="8"/>
    </row>
    <row r="8" spans="1:6" x14ac:dyDescent="0.25">
      <c r="A8" s="4"/>
      <c r="B8" s="8"/>
    </row>
    <row r="9" spans="1:6" x14ac:dyDescent="0.25">
      <c r="A9" s="4"/>
      <c r="B9" s="8"/>
    </row>
    <row r="10" spans="1:6" x14ac:dyDescent="0.25">
      <c r="A10" s="4"/>
      <c r="B10" s="8"/>
    </row>
    <row r="11" spans="1:6" x14ac:dyDescent="0.25">
      <c r="A11" s="29"/>
      <c r="B11" s="10"/>
    </row>
    <row r="14" spans="1:6" x14ac:dyDescent="0.25">
      <c r="A14" t="s">
        <v>0</v>
      </c>
      <c r="B14" s="54" t="s">
        <v>21</v>
      </c>
    </row>
    <row r="15" spans="1:6" x14ac:dyDescent="0.25">
      <c r="A15" s="11" t="s">
        <v>1</v>
      </c>
      <c r="B15" s="55" t="s">
        <v>68</v>
      </c>
    </row>
    <row r="16" spans="1:6" x14ac:dyDescent="0.25">
      <c r="A16" s="12" t="s">
        <v>19</v>
      </c>
      <c r="B16" s="56">
        <v>1</v>
      </c>
    </row>
    <row r="17" spans="1:2" x14ac:dyDescent="0.25">
      <c r="A17" s="12" t="s">
        <v>3</v>
      </c>
      <c r="B17" s="57">
        <v>1.84</v>
      </c>
    </row>
    <row r="18" spans="1:2" x14ac:dyDescent="0.25">
      <c r="A18" s="12" t="s">
        <v>4</v>
      </c>
      <c r="B18" s="58">
        <v>206.61</v>
      </c>
    </row>
    <row r="19" spans="1:2" x14ac:dyDescent="0.25">
      <c r="A19" s="12" t="s">
        <v>5</v>
      </c>
      <c r="B19" s="59">
        <f>4*B4+3*B5+0.0625*B6</f>
        <v>454.05</v>
      </c>
    </row>
    <row r="20" spans="1:2" ht="14.25" customHeight="1" x14ac:dyDescent="0.25">
      <c r="A20" s="11" t="s">
        <v>40</v>
      </c>
      <c r="B20" s="60">
        <f>SUMPRODUCT(B19:L19,B16:L16)</f>
        <v>454.05</v>
      </c>
    </row>
    <row r="21" spans="1:2" ht="14.25" customHeight="1" x14ac:dyDescent="0.25">
      <c r="A21" s="13" t="s">
        <v>43</v>
      </c>
      <c r="B21" s="61">
        <f>SUMPRODUCT(B18:L18,B16:L16)</f>
        <v>206.61</v>
      </c>
    </row>
    <row r="22" spans="1:2" ht="14.25" customHeight="1" x14ac:dyDescent="0.25"/>
    <row r="23" spans="1:2" ht="14.25" customHeight="1" x14ac:dyDescent="0.25"/>
    <row r="24" spans="1:2" x14ac:dyDescent="0.25">
      <c r="A24" s="19" t="s">
        <v>20</v>
      </c>
      <c r="B24" s="21">
        <f>B16/B17</f>
        <v>0.54347826086956519</v>
      </c>
    </row>
    <row r="25" spans="1:2" x14ac:dyDescent="0.25">
      <c r="A25" s="23" t="s">
        <v>24</v>
      </c>
      <c r="B25" s="46">
        <f>B24/$B$27</f>
        <v>1</v>
      </c>
    </row>
    <row r="26" spans="1:2" x14ac:dyDescent="0.25">
      <c r="A26" s="62" t="s">
        <v>57</v>
      </c>
      <c r="B26" s="63">
        <f>B25*$B$41</f>
        <v>90.025583051574046</v>
      </c>
    </row>
    <row r="27" spans="1:2" x14ac:dyDescent="0.25">
      <c r="A27" s="23" t="s">
        <v>22</v>
      </c>
      <c r="B27" s="42">
        <f>SUM(B24:L24)</f>
        <v>0.54347826086956519</v>
      </c>
    </row>
    <row r="28" spans="1:2" x14ac:dyDescent="0.25">
      <c r="A28" s="22" t="s">
        <v>44</v>
      </c>
      <c r="B28" s="64">
        <f>B25</f>
        <v>1</v>
      </c>
    </row>
    <row r="31" spans="1:2" x14ac:dyDescent="0.25">
      <c r="A31" s="19" t="s">
        <v>18</v>
      </c>
      <c r="B31" s="3">
        <v>100</v>
      </c>
    </row>
    <row r="32" spans="1:2" x14ac:dyDescent="0.25">
      <c r="A32" s="23" t="s">
        <v>17</v>
      </c>
      <c r="B32" s="6">
        <v>800</v>
      </c>
    </row>
    <row r="33" spans="1:2" x14ac:dyDescent="0.25">
      <c r="A33" s="23" t="s">
        <v>41</v>
      </c>
      <c r="B33" s="44">
        <v>0.04</v>
      </c>
    </row>
    <row r="34" spans="1:2" x14ac:dyDescent="0.25">
      <c r="A34" s="22" t="s">
        <v>42</v>
      </c>
      <c r="B34" s="25">
        <v>0.3</v>
      </c>
    </row>
    <row r="35" spans="1:2" x14ac:dyDescent="0.25">
      <c r="A35" s="19" t="s">
        <v>49</v>
      </c>
      <c r="B35" s="17">
        <f>B38/24/B28/B31</f>
        <v>120.49044343891399</v>
      </c>
    </row>
    <row r="36" spans="1:2" x14ac:dyDescent="0.25">
      <c r="A36" s="23" t="s">
        <v>48</v>
      </c>
      <c r="B36" s="65">
        <f>B32-B35</f>
        <v>679.50955656108601</v>
      </c>
    </row>
    <row r="37" spans="1:2" x14ac:dyDescent="0.25">
      <c r="A37" s="22" t="s">
        <v>55</v>
      </c>
      <c r="B37" s="35">
        <f>B36-B21-B20</f>
        <v>18.84955656108599</v>
      </c>
    </row>
    <row r="38" spans="1:2" x14ac:dyDescent="0.25">
      <c r="A38" s="22" t="s">
        <v>25</v>
      </c>
      <c r="B38" s="27">
        <f>(B32-B20-(B31*(1-B34)/170+1)*B21/(1+B33))*B31*B28*B17*24</f>
        <v>289177.06425339356</v>
      </c>
    </row>
    <row r="41" spans="1:2" ht="16.5" customHeight="1" x14ac:dyDescent="0.25">
      <c r="A41" s="19" t="s">
        <v>56</v>
      </c>
      <c r="B41" s="43">
        <f>((B32-B20)*(1+B33)/B21-1)*170/2/(1-B34)</f>
        <v>90.025583051574046</v>
      </c>
    </row>
    <row r="42" spans="1:2" x14ac:dyDescent="0.25">
      <c r="A42" s="22" t="s">
        <v>45</v>
      </c>
      <c r="B42" s="27">
        <f>(B32-B20-((B41*(1-B34)/170+1)*B21/(1+B33)))*B41*B28*B17*24</f>
        <v>292771.00753430964</v>
      </c>
    </row>
  </sheetData>
  <sheetProtection selectLockedCell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tabSelected="1" topLeftCell="A10" workbookViewId="0">
      <selection activeCell="D34" sqref="D34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8" t="s">
        <v>7</v>
      </c>
      <c r="E2" s="40" t="s">
        <v>50</v>
      </c>
    </row>
    <row r="3" spans="1:13" x14ac:dyDescent="0.25">
      <c r="A3" s="23" t="s">
        <v>15</v>
      </c>
      <c r="B3" s="26" t="s">
        <v>16</v>
      </c>
      <c r="E3" s="37" t="s">
        <v>53</v>
      </c>
      <c r="F3" s="37"/>
    </row>
    <row r="4" spans="1:13" x14ac:dyDescent="0.25">
      <c r="A4" s="1" t="s">
        <v>58</v>
      </c>
      <c r="B4" s="30">
        <v>4740</v>
      </c>
      <c r="E4" s="38" t="s">
        <v>54</v>
      </c>
      <c r="F4" s="38"/>
    </row>
    <row r="5" spans="1:13" x14ac:dyDescent="0.25">
      <c r="A5" s="4" t="s">
        <v>59</v>
      </c>
      <c r="B5" s="8">
        <v>1520</v>
      </c>
      <c r="E5" s="39" t="s">
        <v>51</v>
      </c>
      <c r="F5" s="39"/>
    </row>
    <row r="6" spans="1:13" x14ac:dyDescent="0.25">
      <c r="A6" s="4" t="s">
        <v>61</v>
      </c>
      <c r="B6" s="8">
        <v>7.4</v>
      </c>
      <c r="E6" s="36" t="s">
        <v>52</v>
      </c>
      <c r="F6" s="36"/>
    </row>
    <row r="7" spans="1:13" x14ac:dyDescent="0.25">
      <c r="A7" s="4" t="s">
        <v>62</v>
      </c>
      <c r="B7" s="8">
        <v>14.2</v>
      </c>
    </row>
    <row r="8" spans="1:13" x14ac:dyDescent="0.25">
      <c r="A8" s="4" t="s">
        <v>63</v>
      </c>
      <c r="B8" s="8">
        <v>6200</v>
      </c>
    </row>
    <row r="9" spans="1:13" x14ac:dyDescent="0.25">
      <c r="A9" s="4" t="s">
        <v>64</v>
      </c>
      <c r="B9" s="8">
        <v>82</v>
      </c>
    </row>
    <row r="10" spans="1:13" x14ac:dyDescent="0.25">
      <c r="A10" s="4"/>
      <c r="B10" s="8"/>
    </row>
    <row r="11" spans="1:13" x14ac:dyDescent="0.25">
      <c r="A11" s="29"/>
      <c r="B11" s="10"/>
    </row>
    <row r="14" spans="1:13" x14ac:dyDescent="0.25">
      <c r="A14" t="s">
        <v>0</v>
      </c>
      <c r="B14" s="14" t="s">
        <v>21</v>
      </c>
      <c r="C14" s="15" t="s">
        <v>30</v>
      </c>
      <c r="D14" s="15" t="s">
        <v>31</v>
      </c>
      <c r="E14" s="15" t="s">
        <v>32</v>
      </c>
      <c r="F14" s="15" t="s">
        <v>33</v>
      </c>
      <c r="G14" s="15" t="s">
        <v>34</v>
      </c>
      <c r="H14" s="15" t="s">
        <v>35</v>
      </c>
      <c r="I14" s="15" t="s">
        <v>36</v>
      </c>
      <c r="J14" s="15" t="s">
        <v>37</v>
      </c>
      <c r="K14" s="15" t="s">
        <v>38</v>
      </c>
      <c r="L14" s="16" t="s">
        <v>39</v>
      </c>
    </row>
    <row r="15" spans="1:13" x14ac:dyDescent="0.25">
      <c r="A15" s="11" t="s">
        <v>1</v>
      </c>
      <c r="B15" s="2" t="s">
        <v>60</v>
      </c>
      <c r="C15" s="2" t="s">
        <v>65</v>
      </c>
      <c r="D15" s="2" t="s">
        <v>66</v>
      </c>
      <c r="E15" s="2" t="s">
        <v>67</v>
      </c>
      <c r="F15" s="2"/>
      <c r="G15" s="2"/>
      <c r="H15" s="2"/>
      <c r="I15" s="2"/>
      <c r="J15" s="2"/>
      <c r="K15" s="2"/>
      <c r="L15" s="3"/>
    </row>
    <row r="16" spans="1:13" x14ac:dyDescent="0.25">
      <c r="A16" s="12" t="s">
        <v>19</v>
      </c>
      <c r="B16" s="5">
        <v>1</v>
      </c>
      <c r="C16" s="5">
        <f>8*B16</f>
        <v>8</v>
      </c>
      <c r="D16" s="5">
        <f>1*B16</f>
        <v>1</v>
      </c>
      <c r="E16" s="5">
        <f>D16*8</f>
        <v>8</v>
      </c>
      <c r="F16" s="5"/>
      <c r="G16" s="5"/>
      <c r="H16" s="5"/>
      <c r="I16" s="5"/>
      <c r="J16" s="5"/>
      <c r="K16" s="5"/>
      <c r="L16" s="6"/>
      <c r="M16" t="s">
        <v>47</v>
      </c>
    </row>
    <row r="17" spans="1:13" x14ac:dyDescent="0.25">
      <c r="A17" s="12" t="s">
        <v>3</v>
      </c>
      <c r="B17" s="33">
        <v>0.11</v>
      </c>
      <c r="C17" s="33">
        <v>1.84</v>
      </c>
      <c r="D17" s="33">
        <v>0.56000000000000005</v>
      </c>
      <c r="E17" s="33">
        <v>1.84</v>
      </c>
      <c r="F17" s="33"/>
      <c r="G17" s="33"/>
      <c r="H17" s="33"/>
      <c r="I17" s="33"/>
      <c r="J17" s="33"/>
      <c r="K17" s="33"/>
      <c r="L17" s="34"/>
    </row>
    <row r="18" spans="1:13" x14ac:dyDescent="0.25">
      <c r="A18" s="12" t="s">
        <v>4</v>
      </c>
      <c r="B18" s="31">
        <v>6402.57</v>
      </c>
      <c r="C18" s="31">
        <v>206.61</v>
      </c>
      <c r="D18" s="31">
        <v>1109.5899999999999</v>
      </c>
      <c r="E18" s="31">
        <v>206.61</v>
      </c>
      <c r="F18" s="31"/>
      <c r="G18" s="31"/>
      <c r="H18" s="31"/>
      <c r="I18" s="31"/>
      <c r="J18" s="31"/>
      <c r="K18" s="31"/>
      <c r="L18" s="32"/>
    </row>
    <row r="19" spans="1:13" x14ac:dyDescent="0.25">
      <c r="A19" s="12" t="s">
        <v>5</v>
      </c>
      <c r="B19" s="7">
        <f>4*B4+2*B5</f>
        <v>22000</v>
      </c>
      <c r="C19" s="9">
        <f>4*B6+3*B7+0.0625*B8</f>
        <v>459.7</v>
      </c>
      <c r="D19" s="9">
        <f>30*B9+15*B7</f>
        <v>2673</v>
      </c>
      <c r="E19" s="9">
        <f>4*B6+3*B7+0.0625*B8</f>
        <v>459.7</v>
      </c>
      <c r="F19" s="9"/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40</v>
      </c>
      <c r="B20" s="17">
        <f>SUMPRODUCT(B19:L19,B16:L16)</f>
        <v>32028.199999999997</v>
      </c>
    </row>
    <row r="21" spans="1:13" ht="14.25" customHeight="1" x14ac:dyDescent="0.25">
      <c r="A21" s="13" t="s">
        <v>43</v>
      </c>
      <c r="B21" s="18">
        <f>SUMPRODUCT(B18:L18,B16:L16)</f>
        <v>10817.919999999998</v>
      </c>
      <c r="D21" s="67"/>
      <c r="E21" s="67"/>
    </row>
    <row r="22" spans="1:13" ht="14.25" customHeight="1" x14ac:dyDescent="0.25"/>
    <row r="23" spans="1:13" ht="14.25" customHeight="1" x14ac:dyDescent="0.25"/>
    <row r="24" spans="1:13" x14ac:dyDescent="0.25">
      <c r="A24" s="19" t="s">
        <v>20</v>
      </c>
      <c r="B24" s="49">
        <f>1/B17</f>
        <v>9.0909090909090917</v>
      </c>
      <c r="C24" s="20">
        <f>8/C17</f>
        <v>4.3478260869565215</v>
      </c>
      <c r="D24" s="20">
        <f>D16/D17</f>
        <v>1.7857142857142856</v>
      </c>
      <c r="E24" s="20">
        <f>E16/E17</f>
        <v>4.3478260869565215</v>
      </c>
      <c r="F24" s="20"/>
      <c r="G24" s="20"/>
      <c r="H24" s="20"/>
      <c r="I24" s="20"/>
      <c r="J24" s="20"/>
      <c r="K24" s="20"/>
      <c r="L24" s="21"/>
      <c r="M24" t="s">
        <v>23</v>
      </c>
    </row>
    <row r="25" spans="1:13" x14ac:dyDescent="0.25">
      <c r="A25" s="23" t="s">
        <v>24</v>
      </c>
      <c r="B25" s="50">
        <f>B24/$B$27</f>
        <v>0.46447890371438882</v>
      </c>
      <c r="C25" s="45">
        <f t="shared" ref="C25:L25" si="0">C24/$B$27</f>
        <v>0.22214208438514246</v>
      </c>
      <c r="D25" s="45">
        <f t="shared" si="0"/>
        <v>9.123692751532636E-2</v>
      </c>
      <c r="E25" s="45">
        <f t="shared" si="0"/>
        <v>0.22214208438514246</v>
      </c>
      <c r="F25" s="45">
        <f t="shared" si="0"/>
        <v>0</v>
      </c>
      <c r="G25" s="45">
        <f t="shared" si="0"/>
        <v>0</v>
      </c>
      <c r="H25" s="45">
        <f t="shared" si="0"/>
        <v>0</v>
      </c>
      <c r="I25" s="45">
        <f t="shared" si="0"/>
        <v>0</v>
      </c>
      <c r="J25" s="45">
        <f t="shared" si="0"/>
        <v>0</v>
      </c>
      <c r="K25" s="45">
        <f t="shared" si="0"/>
        <v>0</v>
      </c>
      <c r="L25" s="46">
        <f t="shared" si="0"/>
        <v>0</v>
      </c>
    </row>
    <row r="26" spans="1:13" x14ac:dyDescent="0.25">
      <c r="A26" s="48" t="s">
        <v>57</v>
      </c>
      <c r="B26" s="51">
        <f>B25*$B$41</f>
        <v>66.864612730536209</v>
      </c>
      <c r="C26" s="52">
        <f t="shared" ref="C26:L26" si="1">C25*$B$41</f>
        <v>31.978727827647752</v>
      </c>
      <c r="D26" s="52">
        <f t="shared" si="1"/>
        <v>13.134120357783896</v>
      </c>
      <c r="E26" s="52">
        <f t="shared" si="1"/>
        <v>31.978727827647752</v>
      </c>
      <c r="F26" s="52">
        <f t="shared" si="1"/>
        <v>0</v>
      </c>
      <c r="G26" s="52">
        <f t="shared" si="1"/>
        <v>0</v>
      </c>
      <c r="H26" s="52">
        <f t="shared" si="1"/>
        <v>0</v>
      </c>
      <c r="I26" s="52">
        <f t="shared" si="1"/>
        <v>0</v>
      </c>
      <c r="J26" s="52">
        <f t="shared" si="1"/>
        <v>0</v>
      </c>
      <c r="K26" s="52">
        <f t="shared" si="1"/>
        <v>0</v>
      </c>
      <c r="L26" s="53">
        <f t="shared" si="1"/>
        <v>0</v>
      </c>
    </row>
    <row r="27" spans="1:13" x14ac:dyDescent="0.25">
      <c r="A27" s="13" t="s">
        <v>22</v>
      </c>
      <c r="B27" s="47">
        <f>SUM(B24:L24)</f>
        <v>19.572275550536418</v>
      </c>
    </row>
    <row r="28" spans="1:13" x14ac:dyDescent="0.25">
      <c r="A28" s="14" t="s">
        <v>44</v>
      </c>
      <c r="B28" s="24">
        <f>B25</f>
        <v>0.46447890371438882</v>
      </c>
    </row>
    <row r="31" spans="1:13" x14ac:dyDescent="0.25">
      <c r="A31" s="19" t="s">
        <v>18</v>
      </c>
      <c r="B31" s="3">
        <v>130</v>
      </c>
    </row>
    <row r="32" spans="1:13" x14ac:dyDescent="0.25">
      <c r="A32" s="23" t="s">
        <v>17</v>
      </c>
      <c r="B32" s="6">
        <v>53000</v>
      </c>
    </row>
    <row r="33" spans="1:2" x14ac:dyDescent="0.25">
      <c r="A33" s="23" t="s">
        <v>41</v>
      </c>
      <c r="B33" s="44">
        <v>0.04</v>
      </c>
    </row>
    <row r="34" spans="1:2" x14ac:dyDescent="0.25">
      <c r="A34" s="22" t="s">
        <v>42</v>
      </c>
      <c r="B34" s="25">
        <v>0.4</v>
      </c>
    </row>
    <row r="35" spans="1:2" x14ac:dyDescent="0.25">
      <c r="A35" s="19" t="s">
        <v>49</v>
      </c>
      <c r="B35" s="17">
        <f>B38/24/B28/B31</f>
        <v>637.7076289592768</v>
      </c>
    </row>
    <row r="36" spans="1:2" x14ac:dyDescent="0.25">
      <c r="A36" s="23" t="s">
        <v>48</v>
      </c>
      <c r="B36" s="65">
        <f>B32-B35</f>
        <v>52362.292371040727</v>
      </c>
    </row>
    <row r="37" spans="1:2" x14ac:dyDescent="0.25">
      <c r="A37" s="22" t="s">
        <v>55</v>
      </c>
      <c r="B37" s="18">
        <f>B36-B21-B20</f>
        <v>9516.1723710407314</v>
      </c>
    </row>
    <row r="38" spans="1:2" x14ac:dyDescent="0.25">
      <c r="A38" s="22" t="s">
        <v>25</v>
      </c>
      <c r="B38" s="27">
        <f>(B32-B20-(B31*(1-B34)/170+1)*B21/(1+B33))*B31*B17*B28*24</f>
        <v>924149.43001463811</v>
      </c>
    </row>
    <row r="41" spans="1:2" ht="16.5" customHeight="1" x14ac:dyDescent="0.25">
      <c r="A41" s="19" t="s">
        <v>56</v>
      </c>
      <c r="B41" s="43">
        <f>((B32-B20)*(1+B33)/B21-1)*170/2/(1-B34)</f>
        <v>143.9561887436156</v>
      </c>
    </row>
    <row r="42" spans="1:2" x14ac:dyDescent="0.25">
      <c r="A42" s="22" t="s">
        <v>45</v>
      </c>
      <c r="B42" s="27">
        <f>(B32-B20-((B41*(1-B34)/170+1)*B21/(1+B33)))*B41*B17*B28*24</f>
        <v>932917.74906358926</v>
      </c>
    </row>
  </sheetData>
  <sheetProtection select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BFR-OB-ST-RE</vt:lpstr>
      <vt:lpstr>RE</vt:lpstr>
      <vt:lpstr>HGEC</vt:lpstr>
      <vt:lpstr>SAT-Ion-HGEC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2021-07-09T21:28:07Z</dcterms:created>
  <dcterms:modified xsi:type="dcterms:W3CDTF">2021-07-14T04:53:26Z</dcterms:modified>
</cp:coreProperties>
</file>