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activeTab="4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Production Plans 1st stage" sheetId="1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3" l="1"/>
  <c r="C21" i="13" s="1"/>
  <c r="I21" i="13" s="1"/>
  <c r="I25" i="13"/>
  <c r="I26" i="13" s="1"/>
  <c r="H25" i="13"/>
  <c r="H22" i="13"/>
  <c r="H21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C22" i="13" l="1"/>
  <c r="D8" i="13" s="1"/>
  <c r="E8" i="13" s="1"/>
  <c r="I22" i="13"/>
  <c r="I23" i="13" s="1"/>
  <c r="D9" i="13"/>
  <c r="E9" i="13" s="1"/>
  <c r="D10" i="13"/>
  <c r="E10" i="13" s="1"/>
  <c r="D7" i="13"/>
  <c r="E7" i="13" s="1"/>
  <c r="C18" i="13"/>
  <c r="I18" i="13" s="1"/>
  <c r="I19" i="13" s="1"/>
  <c r="D6" i="13"/>
  <c r="E6" i="13" s="1"/>
  <c r="C51" i="9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D3" i="13" l="1"/>
  <c r="E3" i="13" s="1"/>
  <c r="D5" i="13"/>
  <c r="E5" i="13" s="1"/>
  <c r="D4" i="13"/>
  <c r="E4" i="13" s="1"/>
  <c r="D53" i="9"/>
  <c r="D57" i="9"/>
  <c r="D54" i="9"/>
  <c r="D58" i="9"/>
  <c r="E11" i="13" l="1"/>
  <c r="H18" i="13"/>
  <c r="E18" i="13"/>
  <c r="J18" i="13" s="1"/>
  <c r="E21" i="13" l="1"/>
  <c r="J21" i="13" s="1"/>
  <c r="E22" i="13"/>
  <c r="J22" i="13" s="1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E25" i="13" l="1"/>
  <c r="J25" i="13" s="1"/>
  <c r="L25" i="9"/>
  <c r="L31" i="5" l="1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M39" i="9" l="1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N25" i="9" l="1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<sst xmlns="http://schemas.openxmlformats.org/spreadsheetml/2006/main" count="343" uniqueCount="106">
  <si>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</si>
  <si>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</si>
  <si>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</si>
  <si>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</si>
  <si>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</si>
  <si>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</si>
  <si>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</si>
  <si>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</si>
  <si>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</si>
  <si>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</si>
  <si>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</si>
  <si>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</si>
  <si>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</si>
  <si>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</si>
  <si>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</si>
  <si>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</si>
  <si>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</si>
  <si>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</si>
  <si>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</si>
  <si>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</si>
  <si>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</si>
  <si>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</si>
  <si>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</si>
  <si>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</si>
  <si>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</si>
  <si>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</si>
  <si>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</si>
  <si>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</si>
  <si>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</si>
  <si>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</si>
  <si>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</si>
  <si>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</si>
  <si>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</si>
  <si>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</si>
  <si>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</si>
  <si>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</si>
  <si>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</si>
  <si>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</si>
  <si>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</si>
  <si>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</si>
  <si>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</si>
  <si>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</si>
  <si>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</si>
  <si>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</si>
  <si>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</si>
  <si>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</si>
  <si>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</si>
  <si>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</si>
  <si>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</si>
  <si>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</si>
  <si>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</si>
  <si>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</si>
  <si>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</si>
  <si>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</si>
  <si>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</si>
  <si>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</si>
  <si>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</si>
  <si>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</si>
  <si>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</si>
  <si>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</si>
  <si>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</si>
  <si>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</si>
  <si>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</si>
  <si>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</si>
  <si>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</si>
  <si>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</si>
  <si>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</si>
  <si>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</si>
  <si>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</si>
  <si>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</si>
  <si>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</si>
  <si>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</si>
  <si>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</si>
  <si>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</si>
  <si>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</si>
  <si>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</si>
  <si>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</si>
  <si>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</si>
  <si>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</si>
  <si>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</si>
  <si>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</si>
  <si>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</si>
  <si>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</si>
  <si>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</si>
  <si>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</si>
  <si>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</si>
  <si>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</si>
  <si>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</si>
  <si>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</si>
  <si>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</si>
  <si>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</si>
  <si>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</si>
  <si>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</si>
  <si>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</si>
  <si>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</si>
  <si>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>PRODUCED UNITS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</si>
  <si>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</si>
  <si>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</si>
  <si>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</si>
  <si>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NEEDS PER BFR</t>
  </si>
  <si>
    <t>REQUIRED CASH PER BFR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</si>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</sst>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10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quotePrefix="1" applyBorder="1"/>
    <xf numFmtId="0" fontId="0" fillId="11" borderId="0" xfId="0" applyFill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9" x14ac:dyDescent="0.25">
      <c r="A23" s="29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4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4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4" t="s">
        <v>13</v>
      </c>
      <c r="B26" s="24">
        <v>1</v>
      </c>
      <c r="C26" s="26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4" t="s">
        <v>18</v>
      </c>
      <c r="B27" s="4">
        <v>1</v>
      </c>
      <c r="C27" s="26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4" t="s">
        <v>20</v>
      </c>
      <c r="B28" s="4">
        <v>20</v>
      </c>
      <c r="C28" s="26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4" t="s">
        <v>24</v>
      </c>
      <c r="B29" s="4">
        <v>100</v>
      </c>
      <c r="C29" s="26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4" t="s">
        <v>23</v>
      </c>
      <c r="B30" s="4">
        <v>100</v>
      </c>
      <c r="C30" s="26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9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4" t="s">
        <v>27</v>
      </c>
      <c r="B33" s="4">
        <v>1</v>
      </c>
      <c r="C33" s="26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4" t="s">
        <v>29</v>
      </c>
      <c r="B34" s="4">
        <v>1</v>
      </c>
      <c r="C34" s="26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4" t="s">
        <v>31</v>
      </c>
      <c r="B35" s="4">
        <v>1</v>
      </c>
      <c r="C35" s="26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4" t="s">
        <v>33</v>
      </c>
      <c r="B36" s="4">
        <v>10</v>
      </c>
      <c r="C36" s="26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9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4" t="s">
        <v>36</v>
      </c>
      <c r="B39" s="4">
        <v>1</v>
      </c>
      <c r="C39" s="26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4" t="s">
        <v>38</v>
      </c>
      <c r="B40" s="4">
        <v>1</v>
      </c>
      <c r="C40" s="26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4" t="s">
        <v>40</v>
      </c>
      <c r="B41" s="4">
        <v>1</v>
      </c>
      <c r="C41" s="26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4" t="s">
        <v>42</v>
      </c>
      <c r="B42" s="4">
        <v>1</v>
      </c>
      <c r="C42" s="26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4" t="s">
        <v>66</v>
      </c>
      <c r="B43" s="4">
        <v>2</v>
      </c>
      <c r="C43" s="26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9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4" t="s">
        <v>45</v>
      </c>
      <c r="B46" s="4">
        <v>20</v>
      </c>
      <c r="C46" s="26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4" t="s">
        <v>47</v>
      </c>
      <c r="B47" s="4">
        <v>2000</v>
      </c>
      <c r="C47" s="26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9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4" t="s">
        <v>50</v>
      </c>
      <c r="B50" s="4">
        <v>2000</v>
      </c>
      <c r="C50" s="26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4" t="s">
        <v>52</v>
      </c>
      <c r="B51" s="4">
        <v>1000</v>
      </c>
      <c r="C51" s="26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4" t="s">
        <v>54</v>
      </c>
      <c r="B52" s="24">
        <v>100</v>
      </c>
      <c r="C52" s="26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30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1" t="s">
        <v>50</v>
      </c>
      <c r="B34" s="4">
        <v>2000</v>
      </c>
      <c r="C34" s="26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30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1" t="s">
        <v>52</v>
      </c>
      <c r="B34" s="4">
        <v>1000</v>
      </c>
      <c r="C34" s="26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30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30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30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30" t="s">
        <v>66</v>
      </c>
      <c r="B31" s="4">
        <v>2</v>
      </c>
      <c r="C31" s="26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31" t="s">
        <v>54</v>
      </c>
      <c r="B34" s="24">
        <v>100</v>
      </c>
      <c r="C34" s="26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abSelected="1" topLeftCell="A13" zoomScale="70" zoomScaleNormal="70" workbookViewId="0">
      <selection activeCell="D39" sqref="D39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4"/>
      <c r="B22" s="24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4" t="s">
        <v>55</v>
      </c>
      <c r="J22" s="24" t="s">
        <v>85</v>
      </c>
    </row>
    <row r="23" spans="1:14" x14ac:dyDescent="0.25">
      <c r="A23" s="29" t="s">
        <v>3</v>
      </c>
      <c r="B23" s="29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32">
        <f>IF(B27&gt;0,B27-1,0)</f>
        <v>3</v>
      </c>
      <c r="C24" s="4">
        <v>2</v>
      </c>
      <c r="D24" s="26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21">
        <f t="shared" ref="N24:N27" si="1">L24/$M$41</f>
        <v>6.5144391691523473E-2</v>
      </c>
    </row>
    <row r="25" spans="1:14" x14ac:dyDescent="0.25">
      <c r="A25" s="11" t="s">
        <v>13</v>
      </c>
      <c r="B25" s="32">
        <f>IF(B27&gt;0,B27-1,0)</f>
        <v>3</v>
      </c>
      <c r="C25" s="24">
        <v>1</v>
      </c>
      <c r="D25" s="26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21">
        <f t="shared" si="1"/>
        <v>2.6298790925868024E-2</v>
      </c>
    </row>
    <row r="26" spans="1:14" x14ac:dyDescent="0.25">
      <c r="A26" s="33" t="s">
        <v>18</v>
      </c>
      <c r="B26" s="32">
        <f>IF(B28&gt;0,B28-1,0)</f>
        <v>3</v>
      </c>
      <c r="C26" s="4">
        <v>1</v>
      </c>
      <c r="D26" s="26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21">
        <f t="shared" si="1"/>
        <v>4.4805081991733725E-3</v>
      </c>
    </row>
    <row r="27" spans="1:14" x14ac:dyDescent="0.25">
      <c r="A27" s="34" t="s">
        <v>24</v>
      </c>
      <c r="B27" s="32">
        <f>IF(B38&gt;0,B38-1,0)</f>
        <v>4</v>
      </c>
      <c r="C27" s="4">
        <v>100</v>
      </c>
      <c r="D27" s="26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21">
        <f t="shared" si="1"/>
        <v>3.5790406812558555E-3</v>
      </c>
    </row>
    <row r="28" spans="1:14" x14ac:dyDescent="0.25">
      <c r="A28" s="35" t="s">
        <v>23</v>
      </c>
      <c r="B28" s="32">
        <f>IF(B38&gt;0,B38-1,0)</f>
        <v>4</v>
      </c>
      <c r="C28" s="4">
        <v>100</v>
      </c>
      <c r="D28" s="26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21">
        <f>L28/$M$41</f>
        <v>1.8112114962719025E-2</v>
      </c>
    </row>
    <row r="29" spans="1:14" x14ac:dyDescent="0.25">
      <c r="A29" s="24"/>
      <c r="B29" s="32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2">
        <f>M29/$M$41</f>
        <v>0.11761484646053975</v>
      </c>
    </row>
    <row r="30" spans="1:14" x14ac:dyDescent="0.25">
      <c r="A30" s="29" t="s">
        <v>26</v>
      </c>
      <c r="B30" s="29"/>
      <c r="C30" s="4"/>
      <c r="D30" s="4"/>
      <c r="E30" s="4"/>
      <c r="F30" s="4"/>
      <c r="G30" s="4"/>
      <c r="H30" s="4"/>
      <c r="I30" s="4"/>
      <c r="J30" s="4"/>
      <c r="M30" s="5"/>
      <c r="N30" s="21"/>
    </row>
    <row r="31" spans="1:14" x14ac:dyDescent="0.25">
      <c r="A31" s="33" t="s">
        <v>29</v>
      </c>
      <c r="B31" s="32">
        <f>IF(B28&gt;0,B28-1,0)</f>
        <v>3</v>
      </c>
      <c r="C31" s="4">
        <v>1</v>
      </c>
      <c r="D31" s="26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21">
        <f t="shared" ref="N31:N32" si="3">L31/$M$41</f>
        <v>4.6695296388259986E-3</v>
      </c>
    </row>
    <row r="32" spans="1:14" x14ac:dyDescent="0.25">
      <c r="A32" s="33" t="s">
        <v>31</v>
      </c>
      <c r="B32" s="32">
        <f>IF(B28&gt;0,B28-1,0)</f>
        <v>3</v>
      </c>
      <c r="C32" s="4">
        <v>1</v>
      </c>
      <c r="D32" s="26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21">
        <f t="shared" si="3"/>
        <v>7.7876194627977567E-3</v>
      </c>
    </row>
    <row r="33" spans="1:14" x14ac:dyDescent="0.25">
      <c r="A33" s="24"/>
      <c r="B33" s="32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2">
        <f t="shared" ref="N33:N39" si="4">M33/$M$41</f>
        <v>1.2457149101623755E-2</v>
      </c>
    </row>
    <row r="34" spans="1:14" x14ac:dyDescent="0.25">
      <c r="A34" s="29" t="s">
        <v>35</v>
      </c>
      <c r="B34" s="29"/>
      <c r="C34" s="4"/>
      <c r="D34" s="4"/>
      <c r="E34" s="4"/>
      <c r="F34" s="4"/>
      <c r="G34" s="4"/>
      <c r="H34" s="4"/>
      <c r="I34" s="4"/>
      <c r="J34" s="4"/>
      <c r="M34" s="4"/>
      <c r="N34" s="21"/>
    </row>
    <row r="35" spans="1:14" x14ac:dyDescent="0.25">
      <c r="A35" s="11" t="s">
        <v>38</v>
      </c>
      <c r="B35" s="32">
        <f>IF(B27&gt;0,B27-1,0)</f>
        <v>3</v>
      </c>
      <c r="C35" s="24">
        <v>1</v>
      </c>
      <c r="D35" s="26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21">
        <f t="shared" ref="N35" si="5">L35/$M$41</f>
        <v>0.84502384636409789</v>
      </c>
    </row>
    <row r="36" spans="1:14" x14ac:dyDescent="0.25">
      <c r="A36" s="24"/>
      <c r="B36" s="32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2">
        <f t="shared" si="4"/>
        <v>0.84502384636409789</v>
      </c>
    </row>
    <row r="37" spans="1:14" x14ac:dyDescent="0.25">
      <c r="A37" s="29" t="s">
        <v>44</v>
      </c>
      <c r="B37" s="29"/>
      <c r="C37" s="4"/>
      <c r="D37" s="4"/>
      <c r="E37" s="4"/>
      <c r="F37" s="4"/>
      <c r="G37" s="4"/>
      <c r="H37" s="4"/>
      <c r="I37" s="4"/>
      <c r="J37" s="4"/>
      <c r="N37" s="21"/>
    </row>
    <row r="38" spans="1:14" x14ac:dyDescent="0.25">
      <c r="A38" s="31" t="s">
        <v>47</v>
      </c>
      <c r="B38" s="12">
        <v>5</v>
      </c>
      <c r="C38" s="4">
        <v>2000</v>
      </c>
      <c r="D38" s="26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21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2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5" t="s">
        <v>91</v>
      </c>
      <c r="B44" s="16"/>
      <c r="C44" s="16"/>
      <c r="D44" s="17"/>
    </row>
    <row r="45" spans="1:14" x14ac:dyDescent="0.25">
      <c r="A45" s="18"/>
      <c r="B45" s="4" t="s">
        <v>88</v>
      </c>
      <c r="C45" s="4">
        <f>346*0.985</f>
        <v>340.81</v>
      </c>
      <c r="D45" s="20"/>
    </row>
    <row r="46" spans="1:14" x14ac:dyDescent="0.25">
      <c r="A46" s="18"/>
      <c r="B46" s="4" t="s">
        <v>89</v>
      </c>
      <c r="C46" s="4">
        <v>2800</v>
      </c>
      <c r="D46" s="20"/>
    </row>
    <row r="47" spans="1:14" x14ac:dyDescent="0.25">
      <c r="A47" s="18"/>
      <c r="B47" s="4"/>
      <c r="C47" s="4"/>
      <c r="D47" s="20"/>
    </row>
    <row r="48" spans="1:14" x14ac:dyDescent="0.25">
      <c r="A48" s="18"/>
      <c r="B48" s="4"/>
      <c r="C48" s="4"/>
      <c r="D48" s="20"/>
    </row>
    <row r="49" spans="1:4" x14ac:dyDescent="0.25">
      <c r="A49" s="18" t="s">
        <v>90</v>
      </c>
      <c r="B49" s="4" t="s">
        <v>87</v>
      </c>
      <c r="C49" s="4" t="s">
        <v>92</v>
      </c>
      <c r="D49" s="25" t="s">
        <v>93</v>
      </c>
    </row>
    <row r="50" spans="1:4" x14ac:dyDescent="0.25">
      <c r="A50" s="18">
        <v>0</v>
      </c>
      <c r="B50" s="4">
        <f>$C$45*$C$46*(1-1/2^(A50+1))</f>
        <v>477134</v>
      </c>
      <c r="C50" s="4"/>
      <c r="D50" s="20"/>
    </row>
    <row r="51" spans="1:4" x14ac:dyDescent="0.25">
      <c r="A51" s="18">
        <v>1</v>
      </c>
      <c r="B51" s="4">
        <f t="shared" ref="B51:B60" si="7">$C$45*$C$46*(1-1/2^(A51+1))</f>
        <v>715701</v>
      </c>
      <c r="C51" s="4">
        <f>B51-B50</f>
        <v>238567</v>
      </c>
      <c r="D51" s="20"/>
    </row>
    <row r="52" spans="1:4" x14ac:dyDescent="0.25">
      <c r="A52" s="18">
        <v>2</v>
      </c>
      <c r="B52" s="4">
        <f t="shared" si="7"/>
        <v>834984.5</v>
      </c>
      <c r="C52" s="4">
        <f t="shared" ref="C52:D60" si="8">B52-B51</f>
        <v>119283.5</v>
      </c>
      <c r="D52" s="20">
        <f>C52-C51</f>
        <v>-119283.5</v>
      </c>
    </row>
    <row r="53" spans="1:4" x14ac:dyDescent="0.25">
      <c r="A53" s="18">
        <v>3</v>
      </c>
      <c r="B53" s="4">
        <f t="shared" si="7"/>
        <v>894626.25</v>
      </c>
      <c r="C53" s="4">
        <f t="shared" si="8"/>
        <v>59641.75</v>
      </c>
      <c r="D53" s="20">
        <f t="shared" si="8"/>
        <v>-59641.75</v>
      </c>
    </row>
    <row r="54" spans="1:4" x14ac:dyDescent="0.25">
      <c r="A54" s="18">
        <v>4</v>
      </c>
      <c r="B54" s="4">
        <f t="shared" si="7"/>
        <v>924447.125</v>
      </c>
      <c r="C54" s="4">
        <f t="shared" si="8"/>
        <v>29820.875</v>
      </c>
      <c r="D54" s="20">
        <f t="shared" si="8"/>
        <v>-29820.875</v>
      </c>
    </row>
    <row r="55" spans="1:4" x14ac:dyDescent="0.25">
      <c r="A55" s="18">
        <v>5</v>
      </c>
      <c r="B55" s="4">
        <f t="shared" si="7"/>
        <v>939357.5625</v>
      </c>
      <c r="C55" s="4">
        <f t="shared" si="8"/>
        <v>14910.4375</v>
      </c>
      <c r="D55" s="20">
        <f t="shared" si="8"/>
        <v>-14910.4375</v>
      </c>
    </row>
    <row r="56" spans="1:4" x14ac:dyDescent="0.25">
      <c r="A56" s="18">
        <v>6</v>
      </c>
      <c r="B56" s="4">
        <f t="shared" si="7"/>
        <v>946812.78125</v>
      </c>
      <c r="C56" s="4">
        <f t="shared" si="8"/>
        <v>7455.21875</v>
      </c>
      <c r="D56" s="20">
        <f t="shared" si="8"/>
        <v>-7455.21875</v>
      </c>
    </row>
    <row r="57" spans="1:4" x14ac:dyDescent="0.25">
      <c r="A57" s="18">
        <v>7</v>
      </c>
      <c r="B57" s="4">
        <f t="shared" si="7"/>
        <v>950540.390625</v>
      </c>
      <c r="C57" s="4">
        <f t="shared" si="8"/>
        <v>3727.609375</v>
      </c>
      <c r="D57" s="20">
        <f t="shared" si="8"/>
        <v>-3727.609375</v>
      </c>
    </row>
    <row r="58" spans="1:4" x14ac:dyDescent="0.25">
      <c r="A58" s="18">
        <v>8</v>
      </c>
      <c r="B58" s="4">
        <f t="shared" si="7"/>
        <v>952404.1953125</v>
      </c>
      <c r="C58" s="4">
        <f t="shared" si="8"/>
        <v>1863.8046875</v>
      </c>
      <c r="D58" s="20">
        <f t="shared" si="8"/>
        <v>-1863.8046875</v>
      </c>
    </row>
    <row r="59" spans="1:4" x14ac:dyDescent="0.25">
      <c r="A59" s="18">
        <v>9</v>
      </c>
      <c r="B59" s="4">
        <f t="shared" si="7"/>
        <v>953336.09765625</v>
      </c>
      <c r="C59" s="4">
        <f t="shared" si="8"/>
        <v>931.90234375</v>
      </c>
      <c r="D59" s="20">
        <f t="shared" si="8"/>
        <v>-931.90234375</v>
      </c>
    </row>
    <row r="60" spans="1:4" x14ac:dyDescent="0.25">
      <c r="A60" s="19">
        <v>10</v>
      </c>
      <c r="B60" s="3">
        <f t="shared" si="7"/>
        <v>953802.048828125</v>
      </c>
      <c r="C60" s="3">
        <f t="shared" si="8"/>
        <v>465.951171875</v>
      </c>
      <c r="D60" s="23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0" zoomScale="70" zoomScaleNormal="70" workbookViewId="0">
      <selection activeCell="H40" sqref="A17:H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4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K22" t="s">
        <v>81</v>
      </c>
      <c r="L22" t="s">
        <v>82</v>
      </c>
    </row>
    <row r="23" spans="1:12" x14ac:dyDescent="0.25">
      <c r="A23" s="29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3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3" t="s">
        <v>13</v>
      </c>
      <c r="B25" s="4">
        <v>1</v>
      </c>
      <c r="C25" s="26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5" t="s">
        <v>20</v>
      </c>
      <c r="B26" s="4">
        <v>20</v>
      </c>
      <c r="C26" s="26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9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3" t="s">
        <v>27</v>
      </c>
      <c r="B29" s="4">
        <v>1</v>
      </c>
      <c r="C29" s="26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3" t="s">
        <v>31</v>
      </c>
      <c r="B30" s="4">
        <v>1</v>
      </c>
      <c r="C30" s="26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4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9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6" t="s">
        <v>36</v>
      </c>
      <c r="B33" s="4">
        <v>1</v>
      </c>
      <c r="C33" s="26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3" t="s">
        <v>40</v>
      </c>
      <c r="B34" s="4">
        <v>1</v>
      </c>
      <c r="C34" s="26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9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7" t="s">
        <v>45</v>
      </c>
      <c r="B37" s="4">
        <v>20</v>
      </c>
      <c r="C37" s="26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1" workbookViewId="0">
      <selection activeCell="D17" sqref="D17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6.7109375" bestFit="1" customWidth="1"/>
    <col min="6" max="6" width="23.28515625" bestFit="1" customWidth="1"/>
    <col min="8" max="8" width="22" bestFit="1" customWidth="1"/>
    <col min="9" max="9" width="15.28515625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102</v>
      </c>
      <c r="C2" s="4" t="s">
        <v>2</v>
      </c>
      <c r="D2" s="4" t="s">
        <v>99</v>
      </c>
      <c r="E2" s="4" t="s">
        <v>100</v>
      </c>
      <c r="G2" s="4"/>
      <c r="H2" s="13" t="s">
        <v>9</v>
      </c>
      <c r="I2" s="14">
        <v>0.14000000000000001</v>
      </c>
    </row>
    <row r="3" spans="1:13" x14ac:dyDescent="0.25">
      <c r="A3" s="4" t="s">
        <v>58</v>
      </c>
      <c r="B3" s="4">
        <v>1</v>
      </c>
      <c r="C3" s="12">
        <v>10.5</v>
      </c>
      <c r="D3" s="4">
        <f>20*C18</f>
        <v>34.166666666666657</v>
      </c>
      <c r="E3" s="11">
        <f>D3*C3</f>
        <v>358.74999999999989</v>
      </c>
      <c r="G3" s="4"/>
    </row>
    <row r="4" spans="1:13" x14ac:dyDescent="0.25">
      <c r="A4" s="4" t="s">
        <v>60</v>
      </c>
      <c r="B4" s="4">
        <v>1</v>
      </c>
      <c r="C4" s="12">
        <v>890</v>
      </c>
      <c r="D4" s="4">
        <f>8*C18</f>
        <v>13.666666666666664</v>
      </c>
      <c r="E4" s="11">
        <f t="shared" ref="E4:E10" si="0">D4*C4</f>
        <v>12163.333333333332</v>
      </c>
      <c r="G4" s="4"/>
      <c r="K4" t="s">
        <v>97</v>
      </c>
    </row>
    <row r="5" spans="1:13" x14ac:dyDescent="0.25">
      <c r="A5" s="4" t="s">
        <v>10</v>
      </c>
      <c r="B5" s="4">
        <v>1</v>
      </c>
      <c r="C5" s="12">
        <v>18.5</v>
      </c>
      <c r="D5" s="4">
        <f>10*C18</f>
        <v>17.083333333333329</v>
      </c>
      <c r="E5" s="11">
        <f t="shared" si="0"/>
        <v>316.04166666666657</v>
      </c>
      <c r="G5" s="4"/>
      <c r="K5" t="s">
        <v>98</v>
      </c>
    </row>
    <row r="6" spans="1:13" x14ac:dyDescent="0.25">
      <c r="A6" s="24" t="s">
        <v>5</v>
      </c>
      <c r="B6" s="24">
        <v>2</v>
      </c>
      <c r="C6" s="12">
        <v>3180</v>
      </c>
      <c r="D6" s="4">
        <f>40*C21</f>
        <v>1.6666666666666665</v>
      </c>
      <c r="E6" s="11">
        <f t="shared" si="0"/>
        <v>5299.9999999999991</v>
      </c>
      <c r="G6" s="4"/>
    </row>
    <row r="7" spans="1:13" x14ac:dyDescent="0.25">
      <c r="A7" s="24" t="s">
        <v>13</v>
      </c>
      <c r="B7" s="24">
        <v>2</v>
      </c>
      <c r="C7" s="12">
        <v>10300</v>
      </c>
      <c r="D7" s="4">
        <f>16*C21+C22*6</f>
        <v>0.91666666666666663</v>
      </c>
      <c r="E7" s="11">
        <f t="shared" si="0"/>
        <v>9441.6666666666661</v>
      </c>
      <c r="G7" s="4"/>
    </row>
    <row r="8" spans="1:13" x14ac:dyDescent="0.25">
      <c r="A8" s="24" t="s">
        <v>29</v>
      </c>
      <c r="B8" s="24">
        <v>2</v>
      </c>
      <c r="C8" s="12">
        <v>5570</v>
      </c>
      <c r="D8" s="4">
        <f>2*C22</f>
        <v>8.3333333333333329E-2</v>
      </c>
      <c r="E8" s="11">
        <f t="shared" si="0"/>
        <v>464.16666666666663</v>
      </c>
      <c r="G8" s="4"/>
      <c r="K8" s="39" t="s">
        <v>104</v>
      </c>
      <c r="L8" t="s">
        <v>105</v>
      </c>
    </row>
    <row r="9" spans="1:13" x14ac:dyDescent="0.25">
      <c r="A9" s="24" t="s">
        <v>18</v>
      </c>
      <c r="B9" s="24">
        <v>2</v>
      </c>
      <c r="C9" s="12">
        <v>545</v>
      </c>
      <c r="D9" s="4">
        <f>10*C22</f>
        <v>0.41666666666666663</v>
      </c>
      <c r="E9" s="11">
        <f t="shared" si="0"/>
        <v>227.08333333333331</v>
      </c>
      <c r="G9" s="4"/>
    </row>
    <row r="10" spans="1:13" x14ac:dyDescent="0.25">
      <c r="A10" s="24" t="s">
        <v>96</v>
      </c>
      <c r="B10" s="24">
        <v>2</v>
      </c>
      <c r="C10" s="12">
        <v>1730</v>
      </c>
      <c r="D10" s="4">
        <f>4*C22</f>
        <v>0.16666666666666666</v>
      </c>
      <c r="E10" s="11">
        <f t="shared" si="0"/>
        <v>288.33333333333331</v>
      </c>
      <c r="G10" s="4"/>
    </row>
    <row r="11" spans="1:13" x14ac:dyDescent="0.25">
      <c r="A11" s="4"/>
      <c r="B11" s="4"/>
      <c r="C11" s="4"/>
      <c r="D11" s="4"/>
      <c r="E11" s="27">
        <f>SUM(E3:E10)</f>
        <v>28559.374999999996</v>
      </c>
      <c r="G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102</v>
      </c>
      <c r="C16" s="24" t="s">
        <v>95</v>
      </c>
      <c r="D16" s="24" t="s">
        <v>4</v>
      </c>
      <c r="E16" s="24" t="s">
        <v>84</v>
      </c>
      <c r="F16" s="24" t="s">
        <v>6</v>
      </c>
      <c r="G16" s="24" t="s">
        <v>7</v>
      </c>
      <c r="H16" s="24" t="s">
        <v>8</v>
      </c>
      <c r="I16" s="24" t="s">
        <v>101</v>
      </c>
      <c r="J16" s="24" t="s">
        <v>55</v>
      </c>
      <c r="K16" s="24"/>
      <c r="L16" s="4"/>
      <c r="M16" s="4"/>
    </row>
    <row r="17" spans="1:13" x14ac:dyDescent="0.25">
      <c r="A17" s="29" t="s">
        <v>35</v>
      </c>
      <c r="B17" s="29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v>2</v>
      </c>
      <c r="C18" s="24">
        <f>34*C21+7*C22</f>
        <v>1.708333333333333</v>
      </c>
      <c r="D18" s="28" t="s">
        <v>39</v>
      </c>
      <c r="E18" s="24">
        <f>20*C3+8*C4+10*C5</f>
        <v>7515</v>
      </c>
      <c r="F18" s="24">
        <v>0.28999999999999998</v>
      </c>
      <c r="G18" s="24">
        <v>1989.41</v>
      </c>
      <c r="H18" s="24">
        <f>$I$2*G18</f>
        <v>278.51740000000007</v>
      </c>
      <c r="I18">
        <f>C18/F18</f>
        <v>5.8908045977011492</v>
      </c>
      <c r="J18" s="4">
        <f>E18+G18+H18</f>
        <v>9782.9274000000005</v>
      </c>
      <c r="K18" s="24"/>
      <c r="L18" s="4"/>
      <c r="M18" s="4"/>
    </row>
    <row r="19" spans="1:13" x14ac:dyDescent="0.25">
      <c r="A19" s="24"/>
      <c r="B19" s="24"/>
      <c r="C19" s="24"/>
      <c r="D19" s="28"/>
      <c r="E19" s="24"/>
      <c r="F19" s="38" t="s">
        <v>103</v>
      </c>
      <c r="G19" s="38">
        <v>8</v>
      </c>
      <c r="H19" s="39" t="s">
        <v>104</v>
      </c>
      <c r="I19" s="39">
        <f>I18/G19</f>
        <v>0.73635057471264365</v>
      </c>
      <c r="J19" s="24"/>
      <c r="K19" s="24"/>
      <c r="L19" s="4"/>
      <c r="M19" s="4"/>
    </row>
    <row r="20" spans="1:13" x14ac:dyDescent="0.25">
      <c r="A20" s="29" t="s">
        <v>94</v>
      </c>
      <c r="B20" s="29"/>
      <c r="C20" s="24"/>
      <c r="D20" s="24"/>
      <c r="E20" s="24"/>
      <c r="F20" s="24"/>
      <c r="G20" s="24"/>
      <c r="H20" s="24"/>
      <c r="J20" s="24"/>
      <c r="K20" s="24"/>
      <c r="L20" s="4"/>
      <c r="M20" s="4"/>
    </row>
    <row r="21" spans="1:13" x14ac:dyDescent="0.25">
      <c r="A21" s="24" t="s">
        <v>24</v>
      </c>
      <c r="B21" s="24">
        <v>3</v>
      </c>
      <c r="C21" s="4">
        <f>C25</f>
        <v>4.1666666666666664E-2</v>
      </c>
      <c r="D21" s="26" t="s">
        <v>22</v>
      </c>
      <c r="E21" s="4">
        <f>40*C6+16*C7+34*J18</f>
        <v>624619.53159999999</v>
      </c>
      <c r="F21" s="4">
        <v>1.67</v>
      </c>
      <c r="G21" s="4">
        <v>351.65</v>
      </c>
      <c r="H21" s="4">
        <f>$I$2*G21</f>
        <v>49.231000000000002</v>
      </c>
      <c r="I21">
        <f>C21/F21</f>
        <v>2.4950099800399202E-2</v>
      </c>
      <c r="J21" s="4">
        <f>E21+G21+H21</f>
        <v>625020.41260000004</v>
      </c>
      <c r="K21" s="24"/>
      <c r="L21" s="4"/>
      <c r="M21" s="4"/>
    </row>
    <row r="22" spans="1:13" x14ac:dyDescent="0.25">
      <c r="A22" s="24" t="s">
        <v>23</v>
      </c>
      <c r="B22" s="24">
        <v>3</v>
      </c>
      <c r="C22" s="4">
        <f>C25</f>
        <v>4.1666666666666664E-2</v>
      </c>
      <c r="D22" s="26" t="s">
        <v>25</v>
      </c>
      <c r="E22" s="4">
        <f>2*C8+10*C9+4*C10+6*C7+7*J18</f>
        <v>153790.49180000002</v>
      </c>
      <c r="F22" s="4">
        <v>0.33</v>
      </c>
      <c r="G22" s="4">
        <v>1758.23</v>
      </c>
      <c r="H22" s="4">
        <f>$I$2*G22</f>
        <v>246.15220000000002</v>
      </c>
      <c r="I22">
        <f>C22/F22</f>
        <v>0.12626262626262624</v>
      </c>
      <c r="J22" s="4">
        <f>E22+G22+H22</f>
        <v>155794.87400000004</v>
      </c>
      <c r="K22" s="24"/>
      <c r="L22" s="4"/>
      <c r="M22" s="4"/>
    </row>
    <row r="23" spans="1:13" x14ac:dyDescent="0.25">
      <c r="A23" s="24"/>
      <c r="B23" s="24"/>
      <c r="C23" s="24"/>
      <c r="D23" s="28"/>
      <c r="E23" s="24"/>
      <c r="F23" s="38" t="s">
        <v>103</v>
      </c>
      <c r="G23" s="38">
        <v>1</v>
      </c>
      <c r="H23" s="39" t="s">
        <v>104</v>
      </c>
      <c r="I23" s="39">
        <f>(I21+I22)/G23</f>
        <v>0.15121272606302544</v>
      </c>
      <c r="J23" s="24"/>
      <c r="K23" s="24"/>
      <c r="L23" s="4"/>
      <c r="M23" s="4"/>
    </row>
    <row r="24" spans="1:13" x14ac:dyDescent="0.25">
      <c r="A24" s="29" t="s">
        <v>44</v>
      </c>
      <c r="B24" s="29"/>
      <c r="C24" s="29"/>
      <c r="D24" s="24"/>
      <c r="E24" s="24"/>
      <c r="F24" s="24"/>
      <c r="G24" s="24"/>
      <c r="H24" s="24"/>
      <c r="J24" s="24"/>
      <c r="K24" s="24"/>
      <c r="L24" s="4"/>
      <c r="M24" s="4"/>
    </row>
    <row r="25" spans="1:13" x14ac:dyDescent="0.25">
      <c r="A25" s="24" t="s">
        <v>47</v>
      </c>
      <c r="B25" s="24">
        <v>4</v>
      </c>
      <c r="C25" s="12">
        <f>1/24</f>
        <v>4.1666666666666664E-2</v>
      </c>
      <c r="D25" s="28" t="s">
        <v>48</v>
      </c>
      <c r="E25" s="24">
        <f>J21+J22</f>
        <v>780815.28660000011</v>
      </c>
      <c r="F25" s="24">
        <v>0.24</v>
      </c>
      <c r="G25" s="24">
        <v>3170.85</v>
      </c>
      <c r="H25" s="24">
        <f>$I$2*G25</f>
        <v>443.91900000000004</v>
      </c>
      <c r="I25">
        <f>C25/F25</f>
        <v>0.1736111111111111</v>
      </c>
      <c r="J25" s="24">
        <f>E25+G25+H25</f>
        <v>784430.05560000008</v>
      </c>
      <c r="K25" s="4"/>
      <c r="L25" s="4"/>
      <c r="M25" s="4"/>
    </row>
    <row r="26" spans="1:13" x14ac:dyDescent="0.25">
      <c r="A26" s="24"/>
      <c r="B26" s="24"/>
      <c r="C26" s="24"/>
      <c r="D26" s="26"/>
      <c r="E26" s="4"/>
      <c r="F26" s="38" t="s">
        <v>103</v>
      </c>
      <c r="G26" s="38">
        <v>1</v>
      </c>
      <c r="H26" s="39" t="s">
        <v>104</v>
      </c>
      <c r="I26" s="39">
        <f>I25/G26</f>
        <v>0.1736111111111111</v>
      </c>
      <c r="K26" s="4"/>
      <c r="L26" s="4"/>
      <c r="M26" s="4"/>
    </row>
    <row r="27" spans="1:13" x14ac:dyDescent="0.25">
      <c r="A27" s="24"/>
      <c r="B27" s="24"/>
      <c r="C27" s="24"/>
      <c r="D27" s="26"/>
      <c r="E27" s="4"/>
      <c r="F27" s="4"/>
      <c r="G27" s="4"/>
      <c r="H27" s="4"/>
      <c r="I27" s="24"/>
      <c r="K27" s="4"/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4"/>
      <c r="I28" s="24"/>
      <c r="K28" s="4"/>
      <c r="L28" s="4"/>
      <c r="M28" s="4"/>
    </row>
    <row r="29" spans="1:13" x14ac:dyDescent="0.25">
      <c r="A29" s="24"/>
      <c r="B29" s="24"/>
      <c r="C29" s="24"/>
      <c r="D29" s="24"/>
      <c r="E29" s="24"/>
      <c r="I29" s="1"/>
    </row>
    <row r="30" spans="1:13" x14ac:dyDescent="0.25">
      <c r="A30" s="24"/>
      <c r="B30" s="24"/>
      <c r="C30" s="24"/>
      <c r="D30" s="24"/>
      <c r="E30" s="24"/>
      <c r="I30" s="1"/>
    </row>
    <row r="31" spans="1:13" x14ac:dyDescent="0.25">
      <c r="A31" s="24"/>
      <c r="B31" s="24"/>
      <c r="C31" s="24"/>
      <c r="D31" s="24"/>
      <c r="E31" s="24"/>
    </row>
    <row r="32" spans="1:13" x14ac:dyDescent="0.25">
      <c r="A32" s="24"/>
      <c r="B32" s="24"/>
      <c r="C32" s="24"/>
      <c r="D32" s="24"/>
      <c r="E32" s="24"/>
    </row>
    <row r="33" spans="1:5" x14ac:dyDescent="0.25">
      <c r="A33" s="24"/>
      <c r="B33" s="24"/>
      <c r="C33" s="24"/>
      <c r="D33" s="24"/>
      <c r="E33" s="24"/>
    </row>
    <row r="34" spans="1:5" x14ac:dyDescent="0.25">
      <c r="A34" s="24"/>
      <c r="B34" s="24"/>
      <c r="C34" s="24"/>
      <c r="D34" s="24"/>
      <c r="E34" s="24"/>
    </row>
    <row r="35" spans="1:5" x14ac:dyDescent="0.25">
      <c r="A35" s="24"/>
      <c r="B35" s="24"/>
      <c r="C35" s="24"/>
      <c r="D35" s="24"/>
      <c r="E35" s="24"/>
    </row>
    <row r="36" spans="1:5" x14ac:dyDescent="0.25">
      <c r="A36" s="24"/>
      <c r="B36" s="24"/>
      <c r="C36" s="24"/>
      <c r="D36" s="24"/>
      <c r="E36" s="24"/>
    </row>
  </sheetData>
  <conditionalFormatting sqref="M16:M17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conditionalFormatting sqref="J21:J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All of them</vt:lpstr>
      <vt:lpstr>Jumbo jet</vt:lpstr>
      <vt:lpstr>Luxury jet</vt:lpstr>
      <vt:lpstr>s. Engine</vt:lpstr>
      <vt:lpstr>BFRs</vt:lpstr>
      <vt:lpstr>SORs</vt:lpstr>
      <vt:lpstr>Production Plans 1st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2021-04-02T03:19:25Z</dcterms:modified>
</cp:coreProperties>
</file>