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3"/>
  </bookViews>
  <sheets>
    <sheet name="Jumbo jet" sheetId="8" r:id="rId1"/>
    <sheet name="Luxury jet" sheetId="7" r:id="rId2"/>
    <sheet name="s. Engine" sheetId="11" r:id="rId3"/>
    <sheet name="BFRs" sheetId="9" r:id="rId4"/>
    <sheet name="SORs" sheetId="5" r:id="rId5"/>
    <sheet name="All of them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9" l="1"/>
  <c r="L36" i="9"/>
  <c r="L39" i="9"/>
  <c r="L29" i="9"/>
  <c r="L31" i="5"/>
  <c r="L35" i="5"/>
  <c r="L38" i="5"/>
  <c r="L27" i="5"/>
  <c r="J35" i="9"/>
  <c r="K39" i="9"/>
  <c r="K36" i="9"/>
  <c r="K41" i="9" s="1"/>
  <c r="K33" i="9"/>
  <c r="K29" i="9"/>
  <c r="J32" i="9"/>
  <c r="J31" i="9"/>
  <c r="J26" i="9"/>
  <c r="J25" i="9"/>
  <c r="J24" i="9"/>
  <c r="J28" i="9"/>
  <c r="J27" i="9"/>
  <c r="J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K27" i="5" l="1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52" i="11"/>
  <c r="G51" i="11"/>
  <c r="G50" i="11"/>
  <c r="G47" i="11"/>
  <c r="G46" i="11"/>
  <c r="G43" i="11"/>
  <c r="D43" i="11"/>
  <c r="H43" i="11" s="1"/>
  <c r="G42" i="11"/>
  <c r="D42" i="11"/>
  <c r="H42" i="11" s="1"/>
  <c r="H41" i="11"/>
  <c r="G41" i="11"/>
  <c r="D41" i="11"/>
  <c r="H40" i="11"/>
  <c r="G40" i="11"/>
  <c r="D40" i="11"/>
  <c r="G39" i="11"/>
  <c r="D39" i="11"/>
  <c r="H39" i="11" s="1"/>
  <c r="G36" i="11"/>
  <c r="H35" i="11"/>
  <c r="G35" i="11"/>
  <c r="D35" i="11"/>
  <c r="H34" i="11"/>
  <c r="G34" i="11"/>
  <c r="D34" i="11"/>
  <c r="G33" i="11"/>
  <c r="D33" i="11"/>
  <c r="H33" i="11" s="1"/>
  <c r="D36" i="11" s="1"/>
  <c r="H36" i="11" s="1"/>
  <c r="G30" i="11"/>
  <c r="G29" i="11"/>
  <c r="G28" i="11"/>
  <c r="G27" i="11"/>
  <c r="D27" i="11"/>
  <c r="H27" i="11" s="1"/>
  <c r="D30" i="11" s="1"/>
  <c r="H30" i="11" s="1"/>
  <c r="G26" i="11"/>
  <c r="D26" i="11"/>
  <c r="H26" i="11" s="1"/>
  <c r="H25" i="11"/>
  <c r="G25" i="11"/>
  <c r="D25" i="11"/>
  <c r="H24" i="11"/>
  <c r="D51" i="11" s="1"/>
  <c r="H51" i="11" s="1"/>
  <c r="G24" i="11"/>
  <c r="D24" i="11"/>
  <c r="G38" i="9"/>
  <c r="G35" i="9"/>
  <c r="D35" i="9"/>
  <c r="G32" i="9"/>
  <c r="D32" i="9"/>
  <c r="G31" i="9"/>
  <c r="D31" i="9"/>
  <c r="G28" i="9"/>
  <c r="G27" i="9"/>
  <c r="G26" i="9"/>
  <c r="D26" i="9"/>
  <c r="G25" i="9"/>
  <c r="D25" i="9"/>
  <c r="G24" i="9"/>
  <c r="D24" i="9"/>
  <c r="G52" i="8"/>
  <c r="G51" i="8"/>
  <c r="G50" i="8"/>
  <c r="G47" i="8"/>
  <c r="G46" i="8"/>
  <c r="G43" i="8"/>
  <c r="D43" i="8"/>
  <c r="H43" i="8" s="1"/>
  <c r="G42" i="8"/>
  <c r="D42" i="8"/>
  <c r="H42" i="8" s="1"/>
  <c r="H41" i="8"/>
  <c r="G41" i="8"/>
  <c r="D41" i="8"/>
  <c r="G40" i="8"/>
  <c r="H40" i="8" s="1"/>
  <c r="D40" i="8"/>
  <c r="G39" i="8"/>
  <c r="D39" i="8"/>
  <c r="H39" i="8" s="1"/>
  <c r="G36" i="8"/>
  <c r="H35" i="8"/>
  <c r="G35" i="8"/>
  <c r="D35" i="8"/>
  <c r="G34" i="8"/>
  <c r="H34" i="8" s="1"/>
  <c r="D34" i="8"/>
  <c r="G33" i="8"/>
  <c r="D33" i="8"/>
  <c r="H33" i="8" s="1"/>
  <c r="D36" i="8" s="1"/>
  <c r="H36" i="8" s="1"/>
  <c r="G30" i="8"/>
  <c r="G29" i="8"/>
  <c r="G28" i="8"/>
  <c r="G27" i="8"/>
  <c r="D27" i="8"/>
  <c r="H27" i="8" s="1"/>
  <c r="G26" i="8"/>
  <c r="D26" i="8"/>
  <c r="H26" i="8" s="1"/>
  <c r="H25" i="8"/>
  <c r="G25" i="8"/>
  <c r="D25" i="8"/>
  <c r="G24" i="8"/>
  <c r="H24" i="8" s="1"/>
  <c r="D24" i="8"/>
  <c r="G52" i="7"/>
  <c r="G51" i="7"/>
  <c r="G50" i="7"/>
  <c r="G47" i="7"/>
  <c r="G46" i="7"/>
  <c r="G43" i="7"/>
  <c r="D43" i="7"/>
  <c r="H43" i="7" s="1"/>
  <c r="G42" i="7"/>
  <c r="D42" i="7"/>
  <c r="H42" i="7" s="1"/>
  <c r="H41" i="7"/>
  <c r="G41" i="7"/>
  <c r="D41" i="7"/>
  <c r="G40" i="7"/>
  <c r="H40" i="7" s="1"/>
  <c r="D40" i="7"/>
  <c r="G39" i="7"/>
  <c r="D39" i="7"/>
  <c r="H39" i="7" s="1"/>
  <c r="G36" i="7"/>
  <c r="H35" i="7"/>
  <c r="G35" i="7"/>
  <c r="D35" i="7"/>
  <c r="G34" i="7"/>
  <c r="H34" i="7" s="1"/>
  <c r="D34" i="7"/>
  <c r="G33" i="7"/>
  <c r="D33" i="7"/>
  <c r="H33" i="7" s="1"/>
  <c r="D36" i="7" s="1"/>
  <c r="H36" i="7" s="1"/>
  <c r="G30" i="7"/>
  <c r="G29" i="7"/>
  <c r="G28" i="7"/>
  <c r="G27" i="7"/>
  <c r="D27" i="7"/>
  <c r="H27" i="7" s="1"/>
  <c r="G26" i="7"/>
  <c r="D26" i="7"/>
  <c r="H26" i="7" s="1"/>
  <c r="H25" i="7"/>
  <c r="G25" i="7"/>
  <c r="D25" i="7"/>
  <c r="G24" i="7"/>
  <c r="H24" i="7" s="1"/>
  <c r="D24" i="7"/>
  <c r="H24" i="9" l="1"/>
  <c r="H25" i="9"/>
  <c r="H31" i="9"/>
  <c r="H32" i="9"/>
  <c r="H35" i="9"/>
  <c r="H26" i="9"/>
  <c r="D50" i="11"/>
  <c r="H50" i="11" s="1"/>
  <c r="D29" i="11"/>
  <c r="H29" i="11" s="1"/>
  <c r="D47" i="11" s="1"/>
  <c r="H47" i="11" s="1"/>
  <c r="D28" i="11"/>
  <c r="H28" i="11" s="1"/>
  <c r="D46" i="11" s="1"/>
  <c r="H46" i="11" s="1"/>
  <c r="D52" i="11"/>
  <c r="H52" i="11" s="1"/>
  <c r="D51" i="8"/>
  <c r="H51" i="8" s="1"/>
  <c r="D52" i="8"/>
  <c r="H52" i="8" s="1"/>
  <c r="D28" i="8"/>
  <c r="H28" i="8" s="1"/>
  <c r="D46" i="8" s="1"/>
  <c r="H46" i="8" s="1"/>
  <c r="D29" i="8"/>
  <c r="H29" i="8" s="1"/>
  <c r="D50" i="8"/>
  <c r="H50" i="8" s="1"/>
  <c r="D30" i="8"/>
  <c r="H30" i="8" s="1"/>
  <c r="D52" i="7"/>
  <c r="H52" i="7" s="1"/>
  <c r="D28" i="7"/>
  <c r="H28" i="7" s="1"/>
  <c r="D46" i="7" s="1"/>
  <c r="H46" i="7" s="1"/>
  <c r="D29" i="7"/>
  <c r="H29" i="7" s="1"/>
  <c r="D47" i="7" s="1"/>
  <c r="H47" i="7" s="1"/>
  <c r="D50" i="7"/>
  <c r="H50" i="7" s="1"/>
  <c r="D51" i="7"/>
  <c r="H51" i="7" s="1"/>
  <c r="D30" i="7"/>
  <c r="H30" i="7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27" i="9" l="1"/>
  <c r="H27" i="9" s="1"/>
  <c r="D28" i="9"/>
  <c r="H28" i="9" s="1"/>
  <c r="H33" i="5"/>
  <c r="H30" i="5"/>
  <c r="H34" i="5"/>
  <c r="H29" i="5"/>
  <c r="H24" i="5"/>
  <c r="H25" i="5"/>
  <c r="D47" i="8"/>
  <c r="H47" i="8" s="1"/>
  <c r="D38" i="9" l="1"/>
  <c r="H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<sst xmlns="http://schemas.openxmlformats.org/spreadsheetml/2006/main" count="386" uniqueCount="83">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</sst>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1" fillId="0" borderId="1" xfId="0" applyFont="1" applyFill="1" applyBorder="1"/>
    <xf numFmtId="0" fontId="1" fillId="5" borderId="1" xfId="0" applyFont="1" applyFill="1" applyBorder="1"/>
    <xf numFmtId="0" fontId="2" fillId="3" borderId="1" xfId="0" applyFont="1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Fill="1"/>
    <xf numFmtId="0" fontId="0" fillId="7" borderId="1" xfId="0" applyFill="1" applyBorder="1"/>
    <xf numFmtId="0" fontId="1" fillId="0" borderId="0" xfId="0" applyFont="1"/>
    <xf numFmtId="0" fontId="0" fillId="0" borderId="3" xfId="0" applyBorder="1"/>
    <xf numFmtId="0" fontId="0" fillId="5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E24" sqref="E24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6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J40" sqref="J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6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C40" sqref="C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7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6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abSelected="1" topLeftCell="A20" zoomScale="70" zoomScaleNormal="70" workbookViewId="0">
      <selection activeCell="E45" sqref="E45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10" max="10" width="40.5703125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2" x14ac:dyDescent="0.25">
      <c r="A22" s="1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2" x14ac:dyDescent="0.25">
      <c r="A23" s="9" t="s">
        <v>3</v>
      </c>
      <c r="B23" s="1"/>
      <c r="C23" s="1"/>
      <c r="D23" s="1"/>
      <c r="E23" s="1"/>
      <c r="F23" s="1"/>
      <c r="G23" s="1"/>
    </row>
    <row r="24" spans="1:12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8" si="0">$E$2*F24</f>
        <v>46.065888000000001</v>
      </c>
      <c r="H24">
        <f>D24+F24+G24</f>
        <v>2845.9058880000002</v>
      </c>
      <c r="J24">
        <f>1/E24*40</f>
        <v>10.899182561307903</v>
      </c>
    </row>
    <row r="25" spans="1:12" x14ac:dyDescent="0.25">
      <c r="A25" s="7" t="s">
        <v>13</v>
      </c>
      <c r="B25" s="15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8" si="1">D25+F25+G25</f>
        <v>9601.0028039999997</v>
      </c>
      <c r="J25">
        <f>1/E25*(16+6)</f>
        <v>4.4000000000000004</v>
      </c>
    </row>
    <row r="26" spans="1:12" x14ac:dyDescent="0.25">
      <c r="A26" s="15" t="s">
        <v>18</v>
      </c>
      <c r="B26" s="1">
        <v>1</v>
      </c>
      <c r="C26" s="2" t="s">
        <v>19</v>
      </c>
      <c r="D26" s="1">
        <f>20*B8+30*B9</f>
        <v>454</v>
      </c>
      <c r="E26" s="1">
        <v>13.34</v>
      </c>
      <c r="F26" s="1">
        <v>43.96</v>
      </c>
      <c r="G26" s="1">
        <f t="shared" si="0"/>
        <v>12.669272000000001</v>
      </c>
      <c r="H26">
        <f t="shared" si="1"/>
        <v>510.62927199999996</v>
      </c>
      <c r="J26">
        <f>1/E26*10</f>
        <v>0.74962518740629691</v>
      </c>
      <c r="L26" s="19"/>
    </row>
    <row r="27" spans="1:12" x14ac:dyDescent="0.25">
      <c r="A27" s="6" t="s">
        <v>24</v>
      </c>
      <c r="B27" s="1">
        <v>100</v>
      </c>
      <c r="C27" s="2" t="s">
        <v>22</v>
      </c>
      <c r="D27" s="1">
        <f>40*H24+16*H25+34*H35</f>
        <v>618766.05109199998</v>
      </c>
      <c r="E27" s="1">
        <v>1.67</v>
      </c>
      <c r="F27" s="1">
        <v>351.65</v>
      </c>
      <c r="G27" s="1">
        <f t="shared" si="0"/>
        <v>101.34553</v>
      </c>
      <c r="H27">
        <f t="shared" si="1"/>
        <v>619219.04662200005</v>
      </c>
      <c r="J27">
        <f>1/E27</f>
        <v>0.5988023952095809</v>
      </c>
      <c r="L27" s="19"/>
    </row>
    <row r="28" spans="1:12" x14ac:dyDescent="0.25">
      <c r="A28" s="12" t="s">
        <v>23</v>
      </c>
      <c r="B28" s="1">
        <v>100</v>
      </c>
      <c r="C28" s="2" t="s">
        <v>25</v>
      </c>
      <c r="D28" s="1">
        <f>2*H31+10*H26+4*H32+6*H25+7*H35</f>
        <v>151183.570198</v>
      </c>
      <c r="E28" s="1">
        <v>0.33</v>
      </c>
      <c r="F28" s="1">
        <v>1758.23</v>
      </c>
      <c r="G28" s="1">
        <f t="shared" si="0"/>
        <v>506.72188600000004</v>
      </c>
      <c r="H28">
        <f t="shared" si="1"/>
        <v>153448.52208400003</v>
      </c>
      <c r="J28" s="17">
        <f>1/E28</f>
        <v>3.0303030303030303</v>
      </c>
      <c r="K28" s="17"/>
      <c r="L28" s="19"/>
    </row>
    <row r="29" spans="1:12" x14ac:dyDescent="0.25">
      <c r="A29" s="5"/>
      <c r="B29" s="1"/>
      <c r="C29" s="1"/>
      <c r="D29" s="1"/>
      <c r="E29" s="1"/>
      <c r="F29" s="1"/>
      <c r="G29" s="1"/>
      <c r="J29" s="16" t="s">
        <v>78</v>
      </c>
      <c r="K29" s="19">
        <f>SUM(J24:J28)</f>
        <v>19.677913174226813</v>
      </c>
      <c r="L29">
        <f>K29/$K$41</f>
        <v>0.12439666233684535</v>
      </c>
    </row>
    <row r="30" spans="1:12" x14ac:dyDescent="0.25">
      <c r="A30" s="9" t="s">
        <v>26</v>
      </c>
      <c r="B30" s="1"/>
      <c r="C30" s="1"/>
      <c r="D30" s="1"/>
      <c r="E30" s="1"/>
      <c r="F30" s="1"/>
      <c r="G30" s="1"/>
      <c r="K30" s="20"/>
    </row>
    <row r="31" spans="1:12" x14ac:dyDescent="0.25">
      <c r="A31" s="15" t="s">
        <v>29</v>
      </c>
      <c r="B31" s="1">
        <v>1</v>
      </c>
      <c r="C31" s="2" t="s">
        <v>30</v>
      </c>
      <c r="D31" s="1">
        <f>4*B10+8*B12+B6</f>
        <v>4922</v>
      </c>
      <c r="E31" s="1">
        <v>2.56</v>
      </c>
      <c r="F31" s="1">
        <v>283.24</v>
      </c>
      <c r="G31" s="1">
        <f>$E$2*F31</f>
        <v>81.629768000000013</v>
      </c>
      <c r="H31">
        <f t="shared" si="1"/>
        <v>5286.8697679999996</v>
      </c>
      <c r="J31">
        <f>1/E31*2</f>
        <v>0.78125</v>
      </c>
      <c r="K31" s="19"/>
    </row>
    <row r="32" spans="1:12" x14ac:dyDescent="0.25">
      <c r="A32" s="15" t="s">
        <v>31</v>
      </c>
      <c r="B32" s="1">
        <v>1</v>
      </c>
      <c r="C32" s="2" t="s">
        <v>32</v>
      </c>
      <c r="D32" s="1">
        <f>3*B8+5*B13+3*B14</f>
        <v>1088</v>
      </c>
      <c r="E32" s="1">
        <v>3.07</v>
      </c>
      <c r="F32" s="1">
        <v>236.03</v>
      </c>
      <c r="G32" s="1">
        <f>$E$2*F32</f>
        <v>68.023846000000006</v>
      </c>
      <c r="H32">
        <f t="shared" si="1"/>
        <v>1392.053846</v>
      </c>
      <c r="J32" s="17">
        <f>1/E32*4</f>
        <v>1.3029315960912053</v>
      </c>
      <c r="K32" s="17"/>
    </row>
    <row r="33" spans="1:12" x14ac:dyDescent="0.25">
      <c r="A33" s="5"/>
      <c r="B33" s="1"/>
      <c r="C33" s="1"/>
      <c r="D33" s="1"/>
      <c r="E33" s="1"/>
      <c r="F33" s="1"/>
      <c r="G33" s="1"/>
      <c r="J33" s="16" t="s">
        <v>79</v>
      </c>
      <c r="K33" s="19">
        <f>SUM(J31:J32)</f>
        <v>2.0841815960912053</v>
      </c>
      <c r="L33">
        <f t="shared" ref="L30:L39" si="2">K33/$K$41</f>
        <v>1.3175443552479855E-2</v>
      </c>
    </row>
    <row r="34" spans="1:12" x14ac:dyDescent="0.25">
      <c r="A34" s="9" t="s">
        <v>35</v>
      </c>
      <c r="B34" s="1"/>
      <c r="C34" s="1"/>
      <c r="D34" s="1"/>
      <c r="E34" s="1"/>
      <c r="F34" s="1"/>
      <c r="G34" s="1"/>
      <c r="K34" s="19"/>
    </row>
    <row r="35" spans="1:12" x14ac:dyDescent="0.25">
      <c r="A35" s="7" t="s">
        <v>38</v>
      </c>
      <c r="B35" s="15">
        <v>1</v>
      </c>
      <c r="C35" s="2" t="s">
        <v>39</v>
      </c>
      <c r="D35" s="1">
        <f>20*B8+8*B10+10*B4</f>
        <v>7770</v>
      </c>
      <c r="E35" s="1">
        <v>0.31</v>
      </c>
      <c r="F35" s="1">
        <v>1989.41</v>
      </c>
      <c r="G35" s="1">
        <f>$E$2*F35</f>
        <v>573.34796200000005</v>
      </c>
      <c r="H35">
        <f t="shared" si="1"/>
        <v>10332.757962</v>
      </c>
      <c r="J35" s="17">
        <f>1/E35*(34+7)</f>
        <v>132.25806451612905</v>
      </c>
      <c r="K35" s="21"/>
    </row>
    <row r="36" spans="1:12" x14ac:dyDescent="0.25">
      <c r="A36" s="5"/>
      <c r="B36" s="1"/>
      <c r="C36" s="1"/>
      <c r="D36" s="1"/>
      <c r="E36" s="1"/>
      <c r="F36" s="1"/>
      <c r="G36" s="1"/>
      <c r="J36" s="16" t="s">
        <v>77</v>
      </c>
      <c r="K36">
        <f>SUM(J35)</f>
        <v>132.25806451612905</v>
      </c>
      <c r="L36">
        <f t="shared" si="2"/>
        <v>0.83608773182749174</v>
      </c>
    </row>
    <row r="37" spans="1:12" x14ac:dyDescent="0.25">
      <c r="A37" s="9" t="s">
        <v>44</v>
      </c>
      <c r="B37" s="1"/>
      <c r="C37" s="1"/>
      <c r="D37" s="1"/>
      <c r="E37" s="1"/>
      <c r="F37" s="1"/>
      <c r="G37" s="1"/>
    </row>
    <row r="38" spans="1:12" x14ac:dyDescent="0.25">
      <c r="A38" s="18" t="s">
        <v>47</v>
      </c>
      <c r="B38" s="1">
        <v>2000</v>
      </c>
      <c r="C38" s="2" t="s">
        <v>48</v>
      </c>
      <c r="D38" s="1">
        <f>H27+H28</f>
        <v>772667.56870600011</v>
      </c>
      <c r="E38" s="1">
        <v>0.24</v>
      </c>
      <c r="F38" s="1">
        <v>3170.85</v>
      </c>
      <c r="G38" s="1">
        <f>$E$2*F38</f>
        <v>913.83897000000002</v>
      </c>
      <c r="H38">
        <f t="shared" si="1"/>
        <v>776752.25767600012</v>
      </c>
      <c r="J38" s="17">
        <f>1/E38</f>
        <v>4.166666666666667</v>
      </c>
      <c r="K38" s="17"/>
    </row>
    <row r="39" spans="1:12" x14ac:dyDescent="0.25">
      <c r="J39" s="16" t="s">
        <v>76</v>
      </c>
      <c r="K39">
        <f>SUM(J38)</f>
        <v>4.166666666666667</v>
      </c>
      <c r="L39">
        <f t="shared" si="2"/>
        <v>2.6340162283183172E-2</v>
      </c>
    </row>
    <row r="40" spans="1:12" x14ac:dyDescent="0.25">
      <c r="L40" s="19"/>
    </row>
    <row r="41" spans="1:12" x14ac:dyDescent="0.25">
      <c r="J41" s="16" t="s">
        <v>80</v>
      </c>
      <c r="K41">
        <f>SUM(K29:K39)</f>
        <v>158.18682595311373</v>
      </c>
    </row>
  </sheetData>
  <conditionalFormatting sqref="K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F13" zoomScale="70" zoomScaleNormal="70" workbookViewId="0">
      <selection activeCell="N33" sqref="N33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8" t="s">
        <v>10</v>
      </c>
      <c r="B4">
        <v>19</v>
      </c>
    </row>
    <row r="5" spans="1:5" x14ac:dyDescent="0.25">
      <c r="A5" s="8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8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5"/>
    </row>
    <row r="22" spans="1:12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K22" t="s">
        <v>81</v>
      </c>
      <c r="L22" t="s">
        <v>82</v>
      </c>
    </row>
    <row r="23" spans="1:12" x14ac:dyDescent="0.25">
      <c r="A23" s="9" t="s">
        <v>3</v>
      </c>
      <c r="B23" s="1"/>
      <c r="C23" s="1"/>
      <c r="D23" s="1"/>
      <c r="E23" s="1"/>
      <c r="F23" s="1"/>
      <c r="G23" s="1"/>
    </row>
    <row r="24" spans="1:12" x14ac:dyDescent="0.25">
      <c r="A24" s="1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6" si="0">$E$2*F24</f>
        <v>46.065888000000001</v>
      </c>
      <c r="H24">
        <f>D24+F24+G24</f>
        <v>2845.9058880000002</v>
      </c>
      <c r="J24">
        <f>1/E24*8</f>
        <v>2.1798365122615806</v>
      </c>
    </row>
    <row r="25" spans="1:12" x14ac:dyDescent="0.25">
      <c r="A25" s="15" t="s">
        <v>13</v>
      </c>
      <c r="B25" s="1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7" si="1">D25+F25+G25</f>
        <v>9601.0028039999997</v>
      </c>
      <c r="J25">
        <f>1/E25*2</f>
        <v>0.4</v>
      </c>
    </row>
    <row r="26" spans="1:12" x14ac:dyDescent="0.25">
      <c r="A26" s="12" t="s">
        <v>20</v>
      </c>
      <c r="B26" s="1">
        <v>20</v>
      </c>
      <c r="C26" s="2" t="s">
        <v>21</v>
      </c>
      <c r="D26" s="1">
        <f>8*H24+2*H25+2*H29+4*H34+2*H30</f>
        <v>100316.59010000002</v>
      </c>
      <c r="E26" s="1">
        <v>3.34</v>
      </c>
      <c r="F26" s="1">
        <v>175.82</v>
      </c>
      <c r="G26" s="1">
        <f t="shared" si="0"/>
        <v>50.671323999999998</v>
      </c>
      <c r="H26">
        <f t="shared" si="1"/>
        <v>100543.08142400002</v>
      </c>
      <c r="J26" s="17">
        <f>1/E26</f>
        <v>0.29940119760479045</v>
      </c>
      <c r="K26" s="17"/>
    </row>
    <row r="27" spans="1:12" x14ac:dyDescent="0.25">
      <c r="A27" s="1"/>
      <c r="B27" s="1"/>
      <c r="C27" s="1"/>
      <c r="D27" s="1"/>
      <c r="E27" s="1"/>
      <c r="F27" s="1"/>
      <c r="G27" s="1"/>
      <c r="J27" s="16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9" t="s">
        <v>26</v>
      </c>
      <c r="B28" s="1"/>
      <c r="C28" s="1"/>
      <c r="D28" s="1"/>
      <c r="E28" s="1"/>
      <c r="F28" s="1"/>
      <c r="G28" s="1"/>
    </row>
    <row r="29" spans="1:12" x14ac:dyDescent="0.25">
      <c r="A29" s="15" t="s">
        <v>27</v>
      </c>
      <c r="B29" s="1">
        <v>1</v>
      </c>
      <c r="C29" s="2" t="s">
        <v>28</v>
      </c>
      <c r="D29" s="1">
        <f>4*B10+2*B11</f>
        <v>4596</v>
      </c>
      <c r="E29" s="1">
        <v>2.56</v>
      </c>
      <c r="F29" s="1">
        <v>283.24</v>
      </c>
      <c r="G29" s="1">
        <f>$E$2*F29</f>
        <v>81.629768000000013</v>
      </c>
      <c r="H29">
        <f t="shared" si="1"/>
        <v>4960.8697679999996</v>
      </c>
      <c r="J29">
        <f>1/E29*2</f>
        <v>0.78125</v>
      </c>
    </row>
    <row r="30" spans="1:12" x14ac:dyDescent="0.25">
      <c r="A30" s="15" t="s">
        <v>31</v>
      </c>
      <c r="B30" s="1">
        <v>1</v>
      </c>
      <c r="C30" s="2" t="s">
        <v>32</v>
      </c>
      <c r="D30" s="1">
        <f>3*B8+5*B13+3*B14</f>
        <v>1088</v>
      </c>
      <c r="E30" s="1">
        <v>3.07</v>
      </c>
      <c r="F30" s="1">
        <v>236.03</v>
      </c>
      <c r="G30" s="1">
        <f>$E$2*F30</f>
        <v>68.023846000000006</v>
      </c>
      <c r="H30">
        <f t="shared" si="1"/>
        <v>1392.053846</v>
      </c>
      <c r="J30" s="17">
        <f>1/E30*2</f>
        <v>0.65146579804560267</v>
      </c>
      <c r="K30" s="17"/>
    </row>
    <row r="31" spans="1:12" x14ac:dyDescent="0.25">
      <c r="A31" s="1"/>
      <c r="B31" s="1"/>
      <c r="C31" s="1"/>
      <c r="D31" s="1"/>
      <c r="E31" s="1"/>
      <c r="F31" s="1"/>
      <c r="G31" s="1"/>
      <c r="J31" s="16" t="s">
        <v>75</v>
      </c>
      <c r="K31">
        <f>SUM(J29:J30)</f>
        <v>1.4327157980456027</v>
      </c>
      <c r="L31">
        <f t="shared" ref="L28:L38" si="2">K31/$K$40</f>
        <v>0.10241458370592693</v>
      </c>
    </row>
    <row r="32" spans="1:12" x14ac:dyDescent="0.25">
      <c r="A32" s="9" t="s">
        <v>35</v>
      </c>
      <c r="B32" s="1"/>
      <c r="C32" s="1"/>
      <c r="D32" s="1"/>
      <c r="E32" s="1"/>
      <c r="F32" s="1"/>
      <c r="G32" s="1"/>
    </row>
    <row r="33" spans="1:12" x14ac:dyDescent="0.25">
      <c r="A33" s="11" t="s">
        <v>36</v>
      </c>
      <c r="B33" s="1">
        <v>1</v>
      </c>
      <c r="C33" s="2" t="s">
        <v>37</v>
      </c>
      <c r="D33" s="1">
        <f>30*B4+100*B5+50*B15</f>
        <v>4700</v>
      </c>
      <c r="E33" s="1">
        <v>0.31</v>
      </c>
      <c r="F33" s="1">
        <v>1989.41</v>
      </c>
      <c r="G33" s="1">
        <f>$E$2*F33</f>
        <v>573.34796200000005</v>
      </c>
      <c r="H33">
        <f t="shared" si="1"/>
        <v>7262.7579619999997</v>
      </c>
      <c r="J33">
        <f>1/E33</f>
        <v>3.2258064516129035</v>
      </c>
    </row>
    <row r="34" spans="1:12" x14ac:dyDescent="0.25">
      <c r="A34" s="15" t="s">
        <v>40</v>
      </c>
      <c r="B34" s="1">
        <v>1</v>
      </c>
      <c r="C34" s="2" t="s">
        <v>41</v>
      </c>
      <c r="D34" s="1">
        <f>8*B10+30*B13+15*B15</f>
        <v>10129</v>
      </c>
      <c r="E34" s="1">
        <v>0.62</v>
      </c>
      <c r="F34" s="1">
        <v>994.7</v>
      </c>
      <c r="G34" s="1">
        <f>$E$2*F34</f>
        <v>286.67254000000003</v>
      </c>
      <c r="H34">
        <f t="shared" si="1"/>
        <v>11410.37254</v>
      </c>
      <c r="J34" s="17">
        <f>1/E34*4</f>
        <v>6.4516129032258069</v>
      </c>
      <c r="K34" s="17"/>
    </row>
    <row r="35" spans="1:12" x14ac:dyDescent="0.25">
      <c r="A35" s="1"/>
      <c r="B35" s="1"/>
      <c r="C35" s="1"/>
      <c r="D35" s="1"/>
      <c r="E35" s="1"/>
      <c r="F35" s="1"/>
      <c r="G35" s="1"/>
      <c r="J35" s="16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9" t="s">
        <v>44</v>
      </c>
      <c r="B36" s="1"/>
      <c r="C36" s="1"/>
      <c r="D36" s="1"/>
      <c r="E36" s="1"/>
      <c r="F36" s="1"/>
      <c r="G36" s="1"/>
    </row>
    <row r="37" spans="1:12" x14ac:dyDescent="0.25">
      <c r="A37" s="10" t="s">
        <v>45</v>
      </c>
      <c r="B37" s="1">
        <v>20</v>
      </c>
      <c r="C37" s="2" t="s">
        <v>46</v>
      </c>
      <c r="D37" s="1">
        <f>H33+H26</f>
        <v>107805.83938600002</v>
      </c>
      <c r="E37" s="1">
        <v>0.72</v>
      </c>
      <c r="F37" s="1">
        <v>1056.95</v>
      </c>
      <c r="G37" s="1">
        <f>$E$2*F37</f>
        <v>304.61299000000002</v>
      </c>
      <c r="H37">
        <f t="shared" si="1"/>
        <v>109167.40237600001</v>
      </c>
      <c r="J37" s="17">
        <f>1/E37</f>
        <v>1.3888888888888888</v>
      </c>
      <c r="K37" s="17"/>
    </row>
    <row r="38" spans="1:12" x14ac:dyDescent="0.25">
      <c r="J38" s="16" t="s">
        <v>73</v>
      </c>
      <c r="K38">
        <f>SUM(J37)</f>
        <v>1.3888888888888888</v>
      </c>
      <c r="L38">
        <f t="shared" si="2"/>
        <v>9.9281712090687396E-2</v>
      </c>
    </row>
    <row r="40" spans="1:12" x14ac:dyDescent="0.25">
      <c r="J40" t="s">
        <v>71</v>
      </c>
      <c r="K40">
        <f>SUM(K23:K37)</f>
        <v>13.989372862750685</v>
      </c>
    </row>
  </sheetData>
  <conditionalFormatting sqref="H24:H38 J40 H40:H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opLeftCell="A25" zoomScale="70" zoomScaleNormal="70" workbookViewId="0">
      <selection activeCell="A50" sqref="A5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1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9" t="s">
        <v>3</v>
      </c>
      <c r="B23" s="1"/>
      <c r="C23" s="1"/>
      <c r="D23" s="1"/>
      <c r="E23" s="1"/>
      <c r="F23" s="1"/>
      <c r="G23" s="1"/>
    </row>
    <row r="24" spans="1:8" x14ac:dyDescent="0.25">
      <c r="A24" s="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5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5"/>
      <c r="B31" s="1"/>
      <c r="C31" s="1"/>
      <c r="D31" s="1"/>
      <c r="E31" s="1"/>
      <c r="F31" s="1"/>
      <c r="G31" s="1"/>
    </row>
    <row r="32" spans="1:8" x14ac:dyDescent="0.25">
      <c r="A32" s="9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5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5"/>
      <c r="B37" s="1"/>
      <c r="C37" s="1"/>
      <c r="D37" s="1"/>
      <c r="E37" s="1"/>
      <c r="F37" s="1"/>
      <c r="G37" s="1"/>
    </row>
    <row r="38" spans="1:8" x14ac:dyDescent="0.25">
      <c r="A38" s="9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5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5"/>
      <c r="B44" s="1"/>
      <c r="C44" s="1"/>
      <c r="D44" s="1"/>
      <c r="E44" s="1"/>
      <c r="F44" s="1"/>
      <c r="G44" s="1"/>
    </row>
    <row r="45" spans="1:8" x14ac:dyDescent="0.25">
      <c r="A45" s="9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5"/>
      <c r="B48" s="1"/>
      <c r="C48" s="1"/>
      <c r="D48" s="1"/>
      <c r="E48" s="1"/>
      <c r="F48" s="1"/>
      <c r="G48" s="1"/>
    </row>
    <row r="49" spans="1:8" x14ac:dyDescent="0.25">
      <c r="A49" s="9" t="s">
        <v>49</v>
      </c>
      <c r="B49" s="1"/>
      <c r="C49" s="1"/>
      <c r="D49" s="1"/>
      <c r="E49" s="1"/>
      <c r="F49" s="1"/>
      <c r="G49" s="1"/>
    </row>
    <row r="50" spans="1:8" x14ac:dyDescent="0.25">
      <c r="A50" s="5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5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  <row r="53" spans="1:8" x14ac:dyDescent="0.25">
      <c r="A53" s="14"/>
    </row>
    <row r="54" spans="1:8" x14ac:dyDescent="0.25">
      <c r="A54" s="14"/>
    </row>
    <row r="55" spans="1:8" x14ac:dyDescent="0.25">
      <c r="A55" s="14"/>
    </row>
    <row r="56" spans="1:8" x14ac:dyDescent="0.25">
      <c r="A56" s="14"/>
    </row>
    <row r="57" spans="1:8" x14ac:dyDescent="0.25">
      <c r="A57" s="14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Jumbo jet</vt:lpstr>
      <vt:lpstr>Luxury jet</vt:lpstr>
      <vt:lpstr>s. Engine</vt:lpstr>
      <vt:lpstr>BFRs</vt:lpstr>
      <vt:lpstr>SORs</vt:lpstr>
      <vt:lpstr>All of them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2021-03-10T04:04:33Z</dcterms:modified>
</cp:coreProperties>
</file>