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F48" i="3"/>
  <c r="D26" i="3" l="1"/>
  <c r="E26" i="3"/>
  <c r="F26" i="3"/>
  <c r="G26" i="3"/>
  <c r="H26" i="3"/>
  <c r="C26" i="3"/>
  <c r="O6" i="4" l="1"/>
  <c r="P6" i="4" s="1"/>
  <c r="O5" i="4"/>
  <c r="P5" i="4" s="1"/>
  <c r="J137" i="4" l="1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N137" i="4"/>
  <c r="N138" i="4"/>
  <c r="N139" i="4"/>
  <c r="N140" i="4"/>
  <c r="N141" i="4"/>
  <c r="N142" i="4"/>
  <c r="N143" i="4"/>
  <c r="N144" i="4"/>
  <c r="N145" i="4"/>
  <c r="N146" i="4"/>
  <c r="O146" i="4" s="1"/>
  <c r="N147" i="4"/>
  <c r="N148" i="4"/>
  <c r="N149" i="4"/>
  <c r="N150" i="4"/>
  <c r="N151" i="4"/>
  <c r="O151" i="4" s="1"/>
  <c r="N152" i="4"/>
  <c r="N153" i="4"/>
  <c r="N154" i="4"/>
  <c r="N155" i="4"/>
  <c r="N156" i="4"/>
  <c r="O156" i="4" s="1"/>
  <c r="N157" i="4"/>
  <c r="O157" i="4" s="1"/>
  <c r="N158" i="4"/>
  <c r="N159" i="4"/>
  <c r="N160" i="4"/>
  <c r="N161" i="4"/>
  <c r="N162" i="4"/>
  <c r="N163" i="4"/>
  <c r="N164" i="4"/>
  <c r="O164" i="4" s="1"/>
  <c r="N165" i="4"/>
  <c r="O165" i="4" s="1"/>
  <c r="N166" i="4"/>
  <c r="N167" i="4"/>
  <c r="N168" i="4"/>
  <c r="N169" i="4"/>
  <c r="N170" i="4"/>
  <c r="O170" i="4" s="1"/>
  <c r="N171" i="4"/>
  <c r="N172" i="4"/>
  <c r="N173" i="4"/>
  <c r="O173" i="4" s="1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O188" i="4" s="1"/>
  <c r="N189" i="4"/>
  <c r="N190" i="4"/>
  <c r="O190" i="4" s="1"/>
  <c r="N191" i="4"/>
  <c r="N192" i="4"/>
  <c r="N193" i="4"/>
  <c r="N194" i="4"/>
  <c r="N195" i="4"/>
  <c r="N196" i="4"/>
  <c r="O196" i="4" s="1"/>
  <c r="N197" i="4"/>
  <c r="N198" i="4"/>
  <c r="N199" i="4"/>
  <c r="N200" i="4"/>
  <c r="O145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O178" i="4" l="1"/>
  <c r="O189" i="4"/>
  <c r="O181" i="4"/>
  <c r="O197" i="4"/>
  <c r="O198" i="4"/>
  <c r="O171" i="4"/>
  <c r="O163" i="4"/>
  <c r="O155" i="4"/>
  <c r="O176" i="4"/>
  <c r="O160" i="4"/>
  <c r="O199" i="4"/>
  <c r="O191" i="4"/>
  <c r="O183" i="4"/>
  <c r="O175" i="4"/>
  <c r="O159" i="4"/>
  <c r="O174" i="4"/>
  <c r="O179" i="4"/>
  <c r="O177" i="4"/>
  <c r="O169" i="4"/>
  <c r="O161" i="4"/>
  <c r="O167" i="4"/>
  <c r="O180" i="4"/>
  <c r="O172" i="4"/>
  <c r="O195" i="4"/>
  <c r="O187" i="4"/>
  <c r="O162" i="4"/>
  <c r="O185" i="4"/>
  <c r="O200" i="4"/>
  <c r="O192" i="4"/>
  <c r="O184" i="4"/>
  <c r="O186" i="4"/>
  <c r="O194" i="4"/>
  <c r="O193" i="4"/>
  <c r="O166" i="4"/>
  <c r="O158" i="4"/>
  <c r="O168" i="4"/>
  <c r="O182" i="4"/>
  <c r="O154" i="4"/>
  <c r="O153" i="4"/>
  <c r="O152" i="4"/>
  <c r="O150" i="4"/>
  <c r="O149" i="4"/>
  <c r="O148" i="4"/>
  <c r="O147" i="4"/>
  <c r="O144" i="4"/>
  <c r="O143" i="4"/>
  <c r="O142" i="4"/>
  <c r="O141" i="4"/>
  <c r="O140" i="4"/>
  <c r="O139" i="4"/>
  <c r="O138" i="4"/>
  <c r="O137" i="4"/>
  <c r="AA11" i="4"/>
  <c r="X6" i="4"/>
  <c r="Y6" i="4" s="1"/>
  <c r="AA6" i="4"/>
  <c r="AB6" i="4"/>
  <c r="X7" i="4"/>
  <c r="Y7" i="4" s="1"/>
  <c r="AA7" i="4"/>
  <c r="AB7" i="4"/>
  <c r="X8" i="4"/>
  <c r="Y8" i="4" s="1"/>
  <c r="AA8" i="4"/>
  <c r="AB8" i="4"/>
  <c r="X9" i="4"/>
  <c r="Y9" i="4" s="1"/>
  <c r="AA9" i="4"/>
  <c r="AB9" i="4"/>
  <c r="X10" i="4"/>
  <c r="Y10" i="4" s="1"/>
  <c r="AA10" i="4"/>
  <c r="AB10" i="4"/>
  <c r="AB5" i="4"/>
  <c r="AA5" i="4"/>
  <c r="X5" i="4"/>
  <c r="Y5" i="4" s="1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J93" i="4"/>
  <c r="K93" i="4"/>
  <c r="L93" i="4"/>
  <c r="M93" i="4"/>
  <c r="N93" i="4"/>
  <c r="O113" i="4" l="1"/>
  <c r="O135" i="4"/>
  <c r="O116" i="4"/>
  <c r="O134" i="4"/>
  <c r="O126" i="4"/>
  <c r="O122" i="4"/>
  <c r="O136" i="4"/>
  <c r="O128" i="4"/>
  <c r="O112" i="4"/>
  <c r="O125" i="4"/>
  <c r="O132" i="4"/>
  <c r="O124" i="4"/>
  <c r="Y11" i="4"/>
  <c r="Z9" i="4" s="1"/>
  <c r="X11" i="4"/>
  <c r="O133" i="4"/>
  <c r="O131" i="4"/>
  <c r="O130" i="4"/>
  <c r="O129" i="4"/>
  <c r="O127" i="4"/>
  <c r="O123" i="4"/>
  <c r="O120" i="4"/>
  <c r="O114" i="4"/>
  <c r="O115" i="4"/>
  <c r="O121" i="4"/>
  <c r="O118" i="4"/>
  <c r="O117" i="4"/>
  <c r="O119" i="4"/>
  <c r="O111" i="4"/>
  <c r="O110" i="4"/>
  <c r="O109" i="4"/>
  <c r="O108" i="4"/>
  <c r="O107" i="4"/>
  <c r="O106" i="4"/>
  <c r="O93" i="4"/>
  <c r="J103" i="4"/>
  <c r="J104" i="4"/>
  <c r="J105" i="4"/>
  <c r="K103" i="4"/>
  <c r="K104" i="4"/>
  <c r="K105" i="4"/>
  <c r="L103" i="4"/>
  <c r="L104" i="4"/>
  <c r="L105" i="4"/>
  <c r="M103" i="4"/>
  <c r="M104" i="4"/>
  <c r="M105" i="4"/>
  <c r="N103" i="4"/>
  <c r="N104" i="4"/>
  <c r="N10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J94" i="4"/>
  <c r="L94" i="4"/>
  <c r="N94" i="4"/>
  <c r="J95" i="4"/>
  <c r="L95" i="4"/>
  <c r="N95" i="4"/>
  <c r="J96" i="4"/>
  <c r="L96" i="4"/>
  <c r="N96" i="4"/>
  <c r="J97" i="4"/>
  <c r="L97" i="4"/>
  <c r="N97" i="4"/>
  <c r="J98" i="4"/>
  <c r="L98" i="4"/>
  <c r="N98" i="4"/>
  <c r="J99" i="4"/>
  <c r="L99" i="4"/>
  <c r="N99" i="4"/>
  <c r="J100" i="4"/>
  <c r="L100" i="4"/>
  <c r="N100" i="4"/>
  <c r="J101" i="4"/>
  <c r="L101" i="4"/>
  <c r="N101" i="4"/>
  <c r="J102" i="4"/>
  <c r="L102" i="4"/>
  <c r="N102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Z6" i="4" l="1"/>
  <c r="Z7" i="4"/>
  <c r="Z8" i="4"/>
  <c r="Z10" i="4"/>
  <c r="AB11" i="4"/>
  <c r="Z5" i="4"/>
  <c r="O104" i="4"/>
  <c r="O105" i="4"/>
  <c r="O100" i="4"/>
  <c r="O103" i="4"/>
  <c r="O98" i="4"/>
  <c r="O97" i="4"/>
  <c r="O96" i="4"/>
  <c r="O99" i="4"/>
  <c r="O95" i="4"/>
  <c r="O102" i="4"/>
  <c r="O94" i="4"/>
  <c r="O101" i="4"/>
  <c r="O40" i="4"/>
  <c r="O32" i="4"/>
  <c r="O20" i="4"/>
  <c r="O25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1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36" i="4"/>
  <c r="O28" i="4"/>
  <c r="O24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D22" i="3"/>
  <c r="E22" i="3"/>
  <c r="F22" i="3"/>
  <c r="G22" i="3"/>
  <c r="H22" i="3"/>
  <c r="C22" i="3"/>
  <c r="D21" i="3"/>
  <c r="E21" i="3"/>
  <c r="F21" i="3"/>
  <c r="G21" i="3"/>
  <c r="H21" i="3"/>
  <c r="C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7" i="4"/>
  <c r="P7" i="4" s="1"/>
  <c r="O8" i="4"/>
  <c r="P8" i="4" s="1"/>
  <c r="O9" i="4"/>
  <c r="P9" i="4" s="1"/>
  <c r="O10" i="4"/>
  <c r="P10" i="4" s="1"/>
  <c r="I6" i="4"/>
  <c r="J6" i="4"/>
  <c r="I7" i="4"/>
  <c r="J7" i="4"/>
  <c r="I8" i="4"/>
  <c r="J8" i="4"/>
  <c r="I9" i="4"/>
  <c r="J9" i="4"/>
  <c r="I10" i="4"/>
  <c r="J10" i="4"/>
  <c r="J5" i="4"/>
  <c r="I5" i="4"/>
  <c r="Z11" i="4" l="1"/>
  <c r="AC10" i="4"/>
  <c r="AC6" i="4"/>
  <c r="AC8" i="4"/>
  <c r="AC9" i="4"/>
  <c r="AC5" i="4"/>
  <c r="AC11" i="4"/>
  <c r="AC7" i="4"/>
  <c r="T11" i="4"/>
  <c r="C4" i="4" s="1"/>
  <c r="K11" i="4"/>
  <c r="T5" i="4"/>
  <c r="K5" i="4"/>
  <c r="P11" i="4"/>
  <c r="S11" i="4" s="1"/>
  <c r="O11" i="4"/>
  <c r="F11" i="4"/>
  <c r="G11" i="4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H15" i="3"/>
  <c r="G15" i="3"/>
  <c r="F15" i="3"/>
  <c r="E15" i="3"/>
  <c r="D15" i="3"/>
  <c r="C15" i="3"/>
  <c r="P84" i="4" l="1"/>
  <c r="H9" i="4"/>
  <c r="N2" i="3"/>
  <c r="P68" i="4"/>
  <c r="P70" i="4"/>
  <c r="P105" i="4"/>
  <c r="P103" i="4"/>
  <c r="P97" i="4"/>
  <c r="P71" i="4"/>
  <c r="P67" i="4"/>
  <c r="P104" i="4"/>
  <c r="P88" i="4"/>
  <c r="P90" i="4"/>
  <c r="P99" i="4"/>
  <c r="P95" i="4"/>
  <c r="P91" i="4"/>
  <c r="P89" i="4"/>
  <c r="P101" i="4"/>
  <c r="P87" i="4"/>
  <c r="P73" i="4"/>
  <c r="P102" i="4"/>
  <c r="P100" i="4"/>
  <c r="P74" i="4"/>
  <c r="P77" i="4"/>
  <c r="P80" i="4"/>
  <c r="P86" i="4"/>
  <c r="P94" i="4"/>
  <c r="P85" i="4"/>
  <c r="P146" i="4"/>
  <c r="P145" i="4"/>
  <c r="P151" i="4"/>
  <c r="P138" i="4"/>
  <c r="P142" i="4"/>
  <c r="P148" i="4"/>
  <c r="P153" i="4"/>
  <c r="P154" i="4"/>
  <c r="P140" i="4"/>
  <c r="P139" i="4"/>
  <c r="U5" i="4" s="1"/>
  <c r="P143" i="4"/>
  <c r="P149" i="4"/>
  <c r="P144" i="4"/>
  <c r="P150" i="4"/>
  <c r="P137" i="4"/>
  <c r="P141" i="4"/>
  <c r="P147" i="4"/>
  <c r="P152" i="4"/>
  <c r="P93" i="4"/>
  <c r="P121" i="4"/>
  <c r="P126" i="4"/>
  <c r="P125" i="4"/>
  <c r="P114" i="4"/>
  <c r="P122" i="4"/>
  <c r="P112" i="4"/>
  <c r="P135" i="4"/>
  <c r="P131" i="4"/>
  <c r="P117" i="4"/>
  <c r="P108" i="4"/>
  <c r="P118" i="4"/>
  <c r="P111" i="4"/>
  <c r="P123" i="4"/>
  <c r="P106" i="4"/>
  <c r="P128" i="4"/>
  <c r="P115" i="4"/>
  <c r="P136" i="4"/>
  <c r="P129" i="4"/>
  <c r="P119" i="4"/>
  <c r="P109" i="4"/>
  <c r="P130" i="4"/>
  <c r="P113" i="4"/>
  <c r="P110" i="4"/>
  <c r="P124" i="4"/>
  <c r="P132" i="4"/>
  <c r="P107" i="4"/>
  <c r="P120" i="4"/>
  <c r="P134" i="4"/>
  <c r="P116" i="4"/>
  <c r="P133" i="4"/>
  <c r="P127" i="4"/>
  <c r="P79" i="4"/>
  <c r="P69" i="4"/>
  <c r="P82" i="4"/>
  <c r="P96" i="4"/>
  <c r="P83" i="4"/>
  <c r="P78" i="4"/>
  <c r="P76" i="4"/>
  <c r="P65" i="4"/>
  <c r="P66" i="4"/>
  <c r="P64" i="4"/>
  <c r="P98" i="4"/>
  <c r="P75" i="4"/>
  <c r="P72" i="4"/>
  <c r="P81" i="4"/>
  <c r="P92" i="4"/>
  <c r="H5" i="4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I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E27" i="3" l="1"/>
  <c r="E28" i="3" s="1"/>
  <c r="F27" i="3"/>
  <c r="F28" i="3" s="1"/>
  <c r="H27" i="3"/>
  <c r="H28" i="3" s="1"/>
  <c r="C27" i="3"/>
  <c r="C28" i="3" s="1"/>
  <c r="G27" i="3"/>
  <c r="G28" i="3" s="1"/>
  <c r="D27" i="3"/>
  <c r="D28" i="3" s="1"/>
  <c r="L5" i="4"/>
  <c r="AD5" i="4"/>
  <c r="H11" i="4"/>
  <c r="Q11" i="4"/>
  <c r="P40" i="4"/>
  <c r="AD6" i="4" s="1"/>
  <c r="K6" i="4"/>
  <c r="T6" i="4"/>
  <c r="T10" i="4"/>
  <c r="T9" i="4"/>
  <c r="T7" i="4"/>
  <c r="T8" i="4"/>
  <c r="K7" i="4"/>
  <c r="K8" i="4"/>
  <c r="K10" i="4"/>
  <c r="D18" i="3"/>
  <c r="J11" i="4"/>
  <c r="P20" i="4"/>
  <c r="K9" i="4"/>
  <c r="P18" i="4"/>
  <c r="P22" i="4"/>
  <c r="U10" i="4" s="1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E16" i="3"/>
  <c r="D16" i="3"/>
  <c r="C16" i="3"/>
  <c r="H16" i="3"/>
  <c r="G16" i="3"/>
  <c r="F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B48" i="3" l="1"/>
  <c r="F40" i="3"/>
  <c r="G40" i="3"/>
  <c r="D40" i="3"/>
  <c r="E40" i="3"/>
  <c r="E42" i="3"/>
  <c r="F42" i="3"/>
  <c r="G42" i="3"/>
  <c r="D42" i="3"/>
  <c r="B50" i="3"/>
  <c r="I50" i="3" s="1"/>
  <c r="B47" i="3"/>
  <c r="G39" i="3"/>
  <c r="E39" i="3"/>
  <c r="F39" i="3"/>
  <c r="D39" i="3"/>
  <c r="D43" i="3" s="1"/>
  <c r="B49" i="3"/>
  <c r="I49" i="3" s="1"/>
  <c r="D41" i="3"/>
  <c r="F41" i="3"/>
  <c r="G41" i="3"/>
  <c r="E41" i="3"/>
  <c r="AD9" i="4"/>
  <c r="AD11" i="4"/>
  <c r="AD7" i="4"/>
  <c r="U8" i="4"/>
  <c r="AD8" i="4"/>
  <c r="AD10" i="4"/>
  <c r="L6" i="4"/>
  <c r="U6" i="4"/>
  <c r="U9" i="4"/>
  <c r="U7" i="4"/>
  <c r="U11" i="4"/>
  <c r="H18" i="3"/>
  <c r="H19" i="3" s="1"/>
  <c r="C18" i="3"/>
  <c r="C19" i="3" s="1"/>
  <c r="L8" i="4"/>
  <c r="L10" i="4"/>
  <c r="G18" i="3"/>
  <c r="G19" i="3" s="1"/>
  <c r="F18" i="3"/>
  <c r="F19" i="3" s="1"/>
  <c r="E18" i="3"/>
  <c r="E19" i="3" s="1"/>
  <c r="L9" i="4"/>
  <c r="L11" i="4"/>
  <c r="L7" i="4"/>
  <c r="D19" i="3"/>
  <c r="F43" i="3" l="1"/>
  <c r="E43" i="3"/>
  <c r="G43" i="3"/>
  <c r="I47" i="3"/>
  <c r="E51" i="3"/>
  <c r="F51" i="3"/>
  <c r="G51" i="3"/>
  <c r="D51" i="3"/>
  <c r="H43" i="3" l="1"/>
  <c r="H51" i="3"/>
</calcChain>
</file>

<file path=xl/sharedStrings.xml><?xml version="1.0" encoding="utf-8"?>
<sst xmlns="http://schemas.openxmlformats.org/spreadsheetml/2006/main" count="539" uniqueCount="96">
  <si>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</si>
  <si>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</si>
  <si>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</si>
  <si>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</si>
  <si>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</si>
  <si>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</si>
  <si>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</si>
  <si>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</si>
  <si>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</si>
  <si>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</si>
  <si>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</si>
  <si>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</si>
  <si>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</si>
  <si>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</si>
  <si>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</si>
  <si>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</si>
  <si>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</si>
  <si>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</si>
  <si>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</si>
  <si>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</si>
  <si>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</si>
  <si>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</si>
  <si>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</si>
  <si>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</si>
  <si>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</si>
  <si>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</si>
  <si>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</si>
  <si>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</si>
  <si>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</si>
  <si>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</si>
  <si>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</si>
  <si>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</si>
  <si>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</si>
  <si>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</si>
  <si>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</si>
  <si>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</si>
  <si>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</si>
  <si>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</si>
  <si>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</si>
  <si>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</si>
  <si>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</si>
  <si>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</si>
  <si>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</si>
  <si>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</si>
  <si>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</si>
  <si>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</si>
  <si>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</si>
  <si>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</si>
  <si>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</si>
  <si>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</si>
  <si>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</si>
  <si>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</si>
  <si>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</si>
  <si>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</si>
  <si>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</si>
  <si>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</si>
  <si>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</si>
  <si>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</si>
  <si>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</si>
  <si>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</si>
  <si>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</si>
  <si>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</si>
  <si>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</si>
  <si>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</si>
  <si>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</si>
  <si>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</si>
  <si>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</si>
  <si>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</si>
  <si>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</si>
  <si>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</si>
  <si>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</si>
  <si>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</si>
  <si>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</si>
  <si>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</si>
  <si>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</si>
  <si>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</si>
  <si>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</si>
  <si>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</si>
  <si>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</si>
  <si>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</si>
  <si>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No wages</t>
  </si>
  <si>
    <t>The real numbers (as declared in the changelog)</t>
  </si>
  <si>
    <t>Units per BFR</t>
  </si>
  <si>
    <t xml:space="preserve">Daily demand (calculated) </t>
  </si>
  <si>
    <t>Daily demand (declared in changelog)</t>
  </si>
  <si>
    <t>PRODUCTION TIMES</t>
  </si>
  <si>
    <t>LUX</t>
  </si>
  <si>
    <t>JMB</t>
  </si>
  <si>
    <t>Propulsion Factories</t>
  </si>
  <si>
    <t>Aerospace Factory</t>
  </si>
  <si>
    <t>Aerospace Electronics</t>
  </si>
  <si>
    <t>Hangar</t>
  </si>
  <si>
    <t>PRODUCTION TIMES per order</t>
  </si>
  <si>
    <t>me</t>
  </si>
  <si>
    <t>others</t>
  </si>
  <si>
    <t>produced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</si>
</sst>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  <numFmt numFmtId="167" formatCode="_-&quot;$&quot;* #,##0_-;\-&quot;$&quot;* #,##0_-;_-&quot;$&quot;* &quot;-&quot;??_-;_-@_-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0" fontId="0" fillId="0" borderId="0" xfId="3" applyNumberFormat="1" applyFont="1"/>
    <xf numFmtId="0" fontId="3" fillId="3" borderId="0" xfId="0" applyFont="1" applyFill="1"/>
    <xf numFmtId="0" fontId="4" fillId="0" borderId="0" xfId="0" applyFont="1"/>
    <xf numFmtId="166" fontId="0" fillId="0" borderId="0" xfId="3" applyNumberFormat="1" applyFont="1" applyBorder="1"/>
    <xf numFmtId="9" fontId="0" fillId="0" borderId="7" xfId="3" applyNumberFormat="1" applyFont="1" applyBorder="1"/>
    <xf numFmtId="167" fontId="0" fillId="0" borderId="0" xfId="2" applyNumberFormat="1" applyFont="1" applyBorder="1"/>
    <xf numFmtId="167" fontId="0" fillId="0" borderId="7" xfId="2" applyNumberFormat="1" applyFont="1" applyBorder="1"/>
    <xf numFmtId="167" fontId="0" fillId="0" borderId="0" xfId="2" applyNumberFormat="1" applyFont="1"/>
    <xf numFmtId="167" fontId="0" fillId="0" borderId="1" xfId="2" applyNumberFormat="1" applyFont="1" applyBorder="1"/>
    <xf numFmtId="167" fontId="0" fillId="0" borderId="6" xfId="2" applyNumberFormat="1" applyFont="1" applyBorder="1"/>
    <xf numFmtId="167" fontId="0" fillId="0" borderId="2" xfId="2" applyNumberFormat="1" applyFont="1" applyBorder="1"/>
    <xf numFmtId="44" fontId="3" fillId="0" borderId="0" xfId="0" applyNumberFormat="1" applyFont="1"/>
    <xf numFmtId="167" fontId="0" fillId="0" borderId="4" xfId="2" applyNumberFormat="1" applyFont="1" applyBorder="1"/>
    <xf numFmtId="167" fontId="0" fillId="0" borderId="5" xfId="2" applyNumberFormat="1" applyFont="1" applyBorder="1"/>
    <xf numFmtId="167" fontId="0" fillId="0" borderId="8" xfId="2" applyNumberFormat="1" applyFont="1" applyBorder="1"/>
    <xf numFmtId="2" fontId="0" fillId="0" borderId="0" xfId="0" applyNumberForma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0" xfId="0" applyNumberFormat="1" applyBorder="1"/>
    <xf numFmtId="10" fontId="0" fillId="0" borderId="1" xfId="3" applyNumberFormat="1" applyFont="1" applyBorder="1"/>
    <xf numFmtId="0" fontId="0" fillId="5" borderId="1" xfId="0" applyFill="1" applyBorder="1"/>
    <xf numFmtId="0" fontId="0" fillId="5" borderId="0" xfId="0" applyFill="1" applyBorder="1"/>
    <xf numFmtId="0" fontId="0" fillId="5" borderId="6" xfId="0" applyFill="1" applyBorder="1"/>
    <xf numFmtId="168" fontId="0" fillId="0" borderId="3" xfId="0" applyNumberFormat="1" applyBorder="1"/>
    <xf numFmtId="168" fontId="0" fillId="0" borderId="4" xfId="0" applyNumberFormat="1" applyBorder="1"/>
    <xf numFmtId="168" fontId="0" fillId="0" borderId="0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44" fontId="0" fillId="5" borderId="11" xfId="0" applyNumberForma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color rgb="FF9C0006"/>
      </font>
      <fill>
        <patternFill patternType="solid">
          <bgColor rgb="FFFFABAB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P200" totalsRowShown="0">
  <autoFilter ref="A16:P200"/>
  <sortState ref="A17:R63">
    <sortCondition ref="A16:A63"/>
  </sortState>
  <tableColumns count="16">
    <tableColumn id="1" name="No."/>
    <tableColumn id="23" name="Economy "/>
    <tableColumn id="2" name="QualityBonus" dataDxfId="22" dataCellStyle="Porcentaje"/>
    <tableColumn id="3" name="Product" dataDxfId="21" dataCellStyle="Moneda"/>
    <tableColumn id="7" name="Base price1" dataDxfId="20" dataCellStyle="Moneda"/>
    <tableColumn id="24" name="Req." dataDxfId="19" dataCellStyle="Millares"/>
    <tableColumn id="18" name="Product2" dataDxfId="18" dataCellStyle="Moneda"/>
    <tableColumn id="8" name="Base price2" dataDxfId="17" dataCellStyle="Moneda"/>
    <tableColumn id="35" name="Req.2" dataDxfId="16" dataCellStyle="Millares"/>
    <tableColumn id="12" name="Order price" dataDxfId="15" dataCellStyle="Moneda">
      <calculatedColumnFormula>Tabla22[[#This Row],[Base price1]]*Tabla22[[#This Row],[Req.]]+Tabla22[[#This Row],[Base price2]]*Tabla22[[#This Row],[Req.2]]</calculatedColumnFormula>
    </tableColumn>
    <tableColumn id="4" name="Bonus1" dataDxfId="14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DxfId="13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12" dataCellStyle="Moneda">
      <calculatedColumnFormula>IFERROR((Tabla22[[#This Row],[Base price1]]-LOOKUP(Tabla22[[#This Row],[Product]],$R$18:$R$23,$S$18:$S$23))*Tabla22[[#This Row],[Req.]],0)</calculatedColumnFormula>
    </tableColumn>
    <tableColumn id="9" name="p2" dataDxfId="11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No wages" dataDxfId="10" dataCellStyle="Moneda">
      <calculatedColumnFormula>SUM(Tabla22[[#This Row],[Bonus1]:[p2]])</calculatedColumnFormula>
    </tableColumn>
    <tableColumn id="36" name="profit -wages" dataDxfId="9" dataCellStyle="Moneda">
      <calculatedColumnFormula>IF(Tabla22[[#This Row],[QualityBonus]]&gt;0,Tabla22[[#This Row],[No wages]]-$C$4,"")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4" headerRowBorderDxfId="3">
  <autoFilter ref="R17:T23"/>
  <sortState ref="T18:V23">
    <sortCondition ref="T17:T23"/>
  </sortState>
  <tableColumns count="3">
    <tableColumn id="1" name="Goods sold" dataDxfId="2"/>
    <tableColumn id="2" name="COGS" dataDxfId="1"/>
    <tableColumn id="3" name="Q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8" dataCellStyle="Moneda">
  <autoFilter ref="B8:E19"/>
  <sortState ref="B9:E19">
    <sortCondition ref="B8:B19"/>
  </sortState>
  <tableColumns count="4">
    <tableColumn id="1" name="Quality"/>
    <tableColumn id="2" name="Unit price" dataDxfId="7" dataCellStyle="Moneda">
      <calculatedColumnFormula>$C$3*(1+$C$4*B9)</calculatedColumnFormula>
    </tableColumn>
    <tableColumn id="3" name="Unit profit" dataDxfId="6" dataCellStyle="Moneda">
      <calculatedColumnFormula>C9-$C$5</calculatedColumnFormula>
    </tableColumn>
    <tableColumn id="4" name="Total profit" dataDxfId="5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00"/>
  <sheetViews>
    <sheetView tabSelected="1" zoomScale="80" zoomScaleNormal="80" workbookViewId="0">
      <selection activeCell="S33" sqref="S33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21" width="17.85546875" customWidth="1"/>
    <col min="22" max="22" width="12.28515625" bestFit="1" customWidth="1"/>
    <col min="23" max="30" width="15.42578125" customWidth="1"/>
  </cols>
  <sheetData>
    <row r="2" spans="1:30" x14ac:dyDescent="0.25">
      <c r="M2" s="45"/>
      <c r="N2" s="53" t="s">
        <v>68</v>
      </c>
      <c r="O2" s="59" t="s">
        <v>66</v>
      </c>
      <c r="P2" s="45"/>
      <c r="Q2" s="45"/>
      <c r="R2" s="45"/>
      <c r="S2" s="45"/>
      <c r="W2" s="53" t="s">
        <v>68</v>
      </c>
      <c r="X2" s="59" t="s">
        <v>13</v>
      </c>
      <c r="Y2" s="45"/>
      <c r="Z2" s="45"/>
      <c r="AA2" s="45"/>
      <c r="AB2" s="45"/>
    </row>
    <row r="3" spans="1:30" x14ac:dyDescent="0.25">
      <c r="F3" s="95" t="s">
        <v>65</v>
      </c>
      <c r="G3" s="96"/>
      <c r="H3" s="96"/>
      <c r="I3" s="96"/>
      <c r="J3" s="96"/>
      <c r="K3" s="96"/>
      <c r="L3" s="96"/>
      <c r="N3" s="95" t="s">
        <v>69</v>
      </c>
      <c r="O3" s="96"/>
      <c r="P3" s="96"/>
      <c r="Q3" s="96"/>
      <c r="R3" s="96"/>
      <c r="S3" s="96"/>
      <c r="T3" s="96"/>
      <c r="U3" s="96"/>
      <c r="W3" s="95" t="s">
        <v>69</v>
      </c>
      <c r="X3" s="96"/>
      <c r="Y3" s="96"/>
      <c r="Z3" s="96"/>
      <c r="AA3" s="96"/>
      <c r="AB3" s="96"/>
      <c r="AC3" s="96"/>
      <c r="AD3" s="96"/>
    </row>
    <row r="4" spans="1:30" x14ac:dyDescent="0.25">
      <c r="B4" s="35" t="s">
        <v>21</v>
      </c>
      <c r="C4" s="106">
        <f>27000+(T11-27000)/2</f>
        <v>38575.84495595238</v>
      </c>
      <c r="E4" s="49"/>
      <c r="F4" s="54" t="s">
        <v>58</v>
      </c>
      <c r="G4" s="51" t="s">
        <v>59</v>
      </c>
      <c r="H4" s="51" t="s">
        <v>79</v>
      </c>
      <c r="I4" s="54" t="s">
        <v>60</v>
      </c>
      <c r="J4" s="54" t="s">
        <v>71</v>
      </c>
      <c r="K4" s="54" t="s">
        <v>62</v>
      </c>
      <c r="L4" s="55" t="s">
        <v>63</v>
      </c>
      <c r="N4" s="53"/>
      <c r="O4" s="54" t="s">
        <v>58</v>
      </c>
      <c r="P4" s="51" t="s">
        <v>59</v>
      </c>
      <c r="Q4" s="51" t="s">
        <v>79</v>
      </c>
      <c r="R4" s="54" t="s">
        <v>60</v>
      </c>
      <c r="S4" s="54" t="s">
        <v>71</v>
      </c>
      <c r="T4" s="54" t="s">
        <v>62</v>
      </c>
      <c r="U4" s="55" t="s">
        <v>63</v>
      </c>
      <c r="W4" s="53"/>
      <c r="X4" s="54" t="s">
        <v>58</v>
      </c>
      <c r="Y4" s="51" t="s">
        <v>59</v>
      </c>
      <c r="Z4" s="51" t="s">
        <v>79</v>
      </c>
      <c r="AA4" s="54" t="s">
        <v>60</v>
      </c>
      <c r="AB4" s="54" t="s">
        <v>71</v>
      </c>
      <c r="AC4" s="54" t="s">
        <v>62</v>
      </c>
      <c r="AD4" s="55" t="s">
        <v>63</v>
      </c>
    </row>
    <row r="5" spans="1:30" x14ac:dyDescent="0.25">
      <c r="E5" s="60" t="s">
        <v>27</v>
      </c>
      <c r="F5" s="48">
        <f>SUMIFS(Tabla22[Req.],Tabla22[Product],N5)+SUMIFS(Tabla22[Req.2],Tabla22[Product2],N5)</f>
        <v>7</v>
      </c>
      <c r="G5" s="46">
        <f>F5/COUNTIF(Tabla22[QualityBonus],"&gt;0")</f>
        <v>5.0724637681159424E-2</v>
      </c>
      <c r="H5" s="69">
        <f>G5/$G$11</f>
        <v>1.0802469135802469E-2</v>
      </c>
      <c r="I5" s="22">
        <f>IFERROR((SUMIF(Tabla22[Product],E5,Tabla22[QualityBonus])+SUMIF(Tabla22[Product2],E5,Tabla22[QualityBonus]))/(COUNTIF(Tabla22[Product],E5)+COUNTIF(Tabla22[Product2],E5)),0)</f>
        <v>2.4575E-2</v>
      </c>
      <c r="J5" s="23">
        <f>IFERROR((SUMIF(Tabla22[Product],E5,Tabla22[Base price1])+SUMIF(Tabla22[Product2],E5,Tabla22[Base price2]))/(COUNTIF(Tabla22[Product],E5)+COUNTIF(Tabla22[Product2],E5)),0)</f>
        <v>836849.75</v>
      </c>
      <c r="K5" s="23">
        <f>IFERROR((SUMIF(Tabla22[Product],E5,Tabla22[No wages])+SUMIF(Tabla22[Product2],E5,Tabla22[No wages]))/(COUNTIF(Tabla22[Product],E5)+COUNTIF(Tabla22[Product2],E5)),0)</f>
        <v>144132.66625000001</v>
      </c>
      <c r="L5" s="41">
        <f>IFERROR((SUMIF(Tabla22[Product],E5,Tabla22[profit -wages])+SUMIF(Tabla22[Product2],E5,Tabla22[profit -wages]))/(COUNTIF(Tabla22[Product],E5)+COUNTIF(Tabla22[Product2],E5)),0)</f>
        <v>105556.82129404762</v>
      </c>
      <c r="N5" s="60" t="s">
        <v>27</v>
      </c>
      <c r="O5" s="48">
        <f>SUMIFS(Tabla22[Req.],Tabla22[Product],N5,Tabla22[[Economy ]],$O$2)+SUMIFS(Tabla22[Req.2],Tabla22[Product2],N5,Tabla22[[Economy ]],$O$2)</f>
        <v>2</v>
      </c>
      <c r="P5" s="46">
        <f>IFERROR(O5/COUNTIF(Tabla22[[Economy ]],$O$2),0)</f>
        <v>4.7619047619047616E-2</v>
      </c>
      <c r="Q5" s="36">
        <f>P5/$P$11</f>
        <v>9.5693779904306216E-3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2.46E-2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820754</v>
      </c>
      <c r="T5" s="23">
        <f>IFERROR((SUMIFS(Tabla22[No wages],Tabla22[Product],N5,Tabla22[[Economy ]],$O$2)+SUMIFS(Tabla22[No wages],Tabla22[Product2],N5,Tabla22[[Economy ]],$O$2))/(COUNTIFS(Tabla22[Product],N5,Tabla22[[Economy ]],$O$2)+COUNTIFS(Tabla22[Product2],N5,Tabla22[[Economy ]],$O$2)),0)</f>
        <v>123452.8222</v>
      </c>
      <c r="U5" s="41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84876.977244047623</v>
      </c>
      <c r="W5" s="60" t="s">
        <v>27</v>
      </c>
      <c r="X5" s="48">
        <f>SUMIFS(Tabla22[Req.],Tabla22[Product],W5,Tabla22[[Economy ]],$X$2)+SUMIFS(Tabla22[Req.2],Tabla22[Product2],W5,Tabla22[[Economy ]],$X$2)</f>
        <v>5</v>
      </c>
      <c r="Y5" s="46">
        <f>IFERROR(X5/COUNTIF(Tabla22[[Economy ]],$X$2),0)</f>
        <v>5.2083333333333336E-2</v>
      </c>
      <c r="Z5" s="36">
        <f>Y5/$Y$11</f>
        <v>1.1389521640091119E-2</v>
      </c>
      <c r="AA5" s="22">
        <f>IFERROR((SUMIFS(Tabla22[QualityBonus],Tabla22[Product],W5,Tabla22[[Economy ]],$X$2)+SUMIFS(Tabla22[QualityBonus],Tabla22[Product2],W5,Tabla22[[Economy ]],$X$2))/(COUNTIFS(Tabla22[Product],W5,Tabla22[[Economy ]],$X$2)+COUNTIFS(Tabla22[Product2],W5,Tabla22[[Economy ]],$X$2)),0)</f>
        <v>2.4566666666666667E-2</v>
      </c>
      <c r="AB5" s="23">
        <f>IFERROR((SUMIFS(Tabla22[Base price1],Tabla22[Product],W5,Tabla22[[Economy ]],$X$2)+SUMIFS(Tabla22[Base price2],Tabla22[Product2],W5,Tabla22[[Economy ]],$X$2))/(COUNTIFS(Tabla22[Product],W5,Tabla22[[Economy ]],$X$2)+COUNTIFS(Tabla22[Product2],W5,Tabla22[[Economy ]],$X$2)),0)</f>
        <v>842215</v>
      </c>
      <c r="AC5" s="23">
        <f>IFERROR((SUMIFS(Tabla22[No wages],Tabla22[Product],W5,Tabla22[[Economy ]],$X$2)+SUMIFS(Tabla22[No wages],Tabla22[Product2],W5,Tabla22[[Economy ]],$X$2))/(COUNTIFS(Tabla22[Product],W5,Tabla22[[Economy ]],$X$2)+COUNTIFS(Tabla22[Product2],W5,Tabla22[[Economy ]],$X$2)),0)</f>
        <v>151025.94759999998</v>
      </c>
      <c r="AD5" s="41">
        <f>IFERROR((SUMIFS(Tabla22[profit -wages],Tabla22[Product],W5,Tabla22[[Economy ]],$X$2)+SUMIFS(Tabla22[profit -wages],Tabla22[Product2],W5,Tabla22[[Economy ]],$X$2))/(COUNTIFS(Tabla22[Product],W5,Tabla22[[Economy ]],$X$2)+COUNTIFS(Tabla22[Product2],W5,Tabla22[[Economy ]],$X$2)),0)</f>
        <v>112450.10264404763</v>
      </c>
    </row>
    <row r="6" spans="1:30" x14ac:dyDescent="0.25">
      <c r="E6" s="60" t="s">
        <v>56</v>
      </c>
      <c r="F6" s="46">
        <f>SUMIFS(Tabla22[Req.],Tabla22[Product],N6)+SUMIFS(Tabla22[Req.2],Tabla22[Product2],N6)</f>
        <v>35</v>
      </c>
      <c r="G6" s="46">
        <f>F6/COUNTIF(Tabla22[QualityBonus],"&gt;0")</f>
        <v>0.25362318840579712</v>
      </c>
      <c r="H6" s="69">
        <f t="shared" ref="H6:H10" si="0">G6/$G$11</f>
        <v>5.4012345679012343E-2</v>
      </c>
      <c r="I6" s="36">
        <f>IFERROR((SUMIF(Tabla22[Product],E6,Tabla22[QualityBonus])+SUMIF(Tabla22[Product2],E6,Tabla22[QualityBonus]))/(COUNTIF(Tabla22[Product],E6)+COUNTIF(Tabla22[Product2],E6)),0)</f>
        <v>2.0742857142857143E-2</v>
      </c>
      <c r="J6" s="3">
        <f>IFERROR((SUMIF(Tabla22[Product],E6,Tabla22[Base price1])+SUMIF(Tabla22[Product2],E6,Tabla22[Base price2]))/(COUNTIF(Tabla22[Product],E6)+COUNTIF(Tabla22[Product2],E6)),0)</f>
        <v>220257.28571428571</v>
      </c>
      <c r="K6" s="3">
        <f>IFERROR((SUMIF(Tabla22[Product],E6,Tabla22[No wages])+SUMIF(Tabla22[Product2],E6,Tabla22[No wages]))/(COUNTIF(Tabla22[Product],E6)+COUNTIF(Tabla22[Product2],E6)),0)</f>
        <v>82915.991585714277</v>
      </c>
      <c r="L6" s="42">
        <f>IFERROR((SUMIF(Tabla22[Product],E6,Tabla22[profit -wages])+SUMIF(Tabla22[Product2],E6,Tabla22[profit -wages]))/(COUNTIF(Tabla22[Product],E6)+COUNTIF(Tabla22[Product2],E6)),0)</f>
        <v>44340.146629761904</v>
      </c>
      <c r="N6" s="60" t="s">
        <v>56</v>
      </c>
      <c r="O6" s="46">
        <f>SUMIFS(Tabla22[Req.],Tabla22[Product],N6,Tabla22[[Economy ]],$O$2)+SUMIFS(Tabla22[Req.2],Tabla22[Product2],N6,Tabla22[[Economy ]],$O$2)</f>
        <v>18</v>
      </c>
      <c r="P6" s="46">
        <f>IFERROR(O6/COUNTIF(Tabla22[[Economy ]],$O$2),0)</f>
        <v>0.42857142857142855</v>
      </c>
      <c r="Q6" s="36">
        <f t="shared" ref="Q6:Q10" si="1">P6/$P$11</f>
        <v>8.612440191387559E-2</v>
      </c>
      <c r="R6" s="36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2.1071428571428571E-2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214067.42857142858</v>
      </c>
      <c r="T6" s="3">
        <f>IFERROR((SUMIFS(Tabla22[No wages],Tabla22[Product],N6,Tabla22[[Economy ]],$O$2)+SUMIFS(Tabla22[No wages],Tabla22[Product2],N6,Tabla22[[Economy ]],$O$2))/(COUNTIFS(Tabla22[Product],N6,Tabla22[[Economy ]],$O$2)+COUNTIFS(Tabla22[Product2],N6,Tabla22[[Economy ]],$O$2)),0)</f>
        <v>59092.904885714292</v>
      </c>
      <c r="U6" s="42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20517.059929761908</v>
      </c>
      <c r="W6" s="60" t="s">
        <v>56</v>
      </c>
      <c r="X6" s="46">
        <f>SUMIFS(Tabla22[Req.],Tabla22[Product],W6,Tabla22[[Economy ]],$X$2)+SUMIFS(Tabla22[Req.2],Tabla22[Product2],W6,Tabla22[[Economy ]],$X$2)</f>
        <v>17</v>
      </c>
      <c r="Y6" s="46">
        <f>IFERROR(X6/COUNTIF(Tabla22[[Economy ]],$X$2),0)</f>
        <v>0.17708333333333334</v>
      </c>
      <c r="Z6" s="36">
        <f t="shared" ref="Z6:Z10" si="2">Y6/$Y$11</f>
        <v>3.8724373576309805E-2</v>
      </c>
      <c r="AA6" s="36">
        <f>IFERROR((SUMIFS(Tabla22[QualityBonus],Tabla22[Product],W6,Tabla22[[Economy ]],$X$2)+SUMIFS(Tabla22[QualityBonus],Tabla22[Product2],W6,Tabla22[[Economy ]],$X$2))/(COUNTIFS(Tabla22[Product],W6,Tabla22[[Economy ]],$X$2)+COUNTIFS(Tabla22[Product2],W6,Tabla22[[Economy ]],$X$2)),0)</f>
        <v>2.0414285714285715E-2</v>
      </c>
      <c r="AB6" s="3">
        <f>IFERROR((SUMIFS(Tabla22[Base price1],Tabla22[Product],W6,Tabla22[[Economy ]],$X$2)+SUMIFS(Tabla22[Base price2],Tabla22[Product2],W6,Tabla22[[Economy ]],$X$2))/(COUNTIFS(Tabla22[Product],W6,Tabla22[[Economy ]],$X$2)+COUNTIFS(Tabla22[Product2],W6,Tabla22[[Economy ]],$X$2)),0)</f>
        <v>226447.14285714287</v>
      </c>
      <c r="AC6" s="3">
        <f>IFERROR((SUMIFS(Tabla22[No wages],Tabla22[Product],W6,Tabla22[[Economy ]],$X$2)+SUMIFS(Tabla22[No wages],Tabla22[Product2],W6,Tabla22[[Economy ]],$X$2))/(COUNTIFS(Tabla22[Product],W6,Tabla22[[Economy ]],$X$2)+COUNTIFS(Tabla22[Product2],W6,Tabla22[[Economy ]],$X$2)),0)</f>
        <v>106739.07828571428</v>
      </c>
      <c r="AD6" s="42">
        <f>IFERROR((SUMIFS(Tabla22[profit -wages],Tabla22[Product],W6,Tabla22[[Economy ]],$X$2)+SUMIFS(Tabla22[profit -wages],Tabla22[Product2],W6,Tabla22[[Economy ]],$X$2))/(COUNTIFS(Tabla22[Product],W6,Tabla22[[Economy ]],$X$2)+COUNTIFS(Tabla22[Product2],W6,Tabla22[[Economy ]],$X$2)),0)</f>
        <v>68163.233329761904</v>
      </c>
    </row>
    <row r="7" spans="1:30" x14ac:dyDescent="0.25">
      <c r="E7" s="60" t="s">
        <v>52</v>
      </c>
      <c r="F7" s="46">
        <f>SUMIFS(Tabla22[Req.],Tabla22[Product],N7)+SUMIFS(Tabla22[Req.2],Tabla22[Product2],N7)</f>
        <v>72</v>
      </c>
      <c r="G7" s="46">
        <f>F7/COUNTIF(Tabla22[QualityBonus],"&gt;0")</f>
        <v>0.52173913043478259</v>
      </c>
      <c r="H7" s="69">
        <f t="shared" si="0"/>
        <v>0.11111111111111109</v>
      </c>
      <c r="I7" s="36">
        <f>IFERROR((SUMIF(Tabla22[Product],E7,Tabla22[QualityBonus])+SUMIF(Tabla22[Product2],E7,Tabla22[QualityBonus]))/(COUNTIF(Tabla22[Product],E7)+COUNTIF(Tabla22[Product2],E7)),0)</f>
        <v>2.1037500000000001E-2</v>
      </c>
      <c r="J7" s="3">
        <f>IFERROR((SUMIF(Tabla22[Product],E7,Tabla22[Base price1])+SUMIF(Tabla22[Product2],E7,Tabla22[Base price2]))/(COUNTIF(Tabla22[Product],E7)+COUNTIF(Tabla22[Product2],E7)),0)</f>
        <v>119061.71875</v>
      </c>
      <c r="K7" s="3">
        <f>IFERROR((SUMIF(Tabla22[Product],E7,Tabla22[No wages])+SUMIF(Tabla22[Product2],E7,Tabla22[No wages]))/(COUNTIF(Tabla22[Product],E7)+COUNTIF(Tabla22[Product2],E7)),0)</f>
        <v>73534.718796875008</v>
      </c>
      <c r="L7" s="42">
        <f>IFERROR((SUMIF(Tabla22[Product],E7,Tabla22[profit -wages])+SUMIF(Tabla22[Product2],E7,Tabla22[profit -wages]))/(COUNTIF(Tabla22[Product],E7)+COUNTIF(Tabla22[Product2],E7)),0)</f>
        <v>34958.873840922621</v>
      </c>
      <c r="N7" s="60" t="s">
        <v>52</v>
      </c>
      <c r="O7" s="46">
        <f>SUMIFS(Tabla22[Req.],Tabla22[Product],N7,Tabla22[[Economy ]],$O$2)+SUMIFS(Tabla22[Req.2],Tabla22[Product2],N7,Tabla22[[Economy ]],$O$2)</f>
        <v>21</v>
      </c>
      <c r="P7" s="46">
        <f>IFERROR(O7/COUNTIF(Tabla22[[Economy ]],$O$2),0)</f>
        <v>0.5</v>
      </c>
      <c r="Q7" s="36">
        <f t="shared" si="1"/>
        <v>0.10047846889952153</v>
      </c>
      <c r="R7" s="36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2.3400000000000001E-2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114857.28571428571</v>
      </c>
      <c r="T7" s="3">
        <f>IFERROR((SUMIFS(Tabla22[No wages],Tabla22[Product],N7,Tabla22[[Economy ]],$O$2)+SUMIFS(Tabla22[No wages],Tabla22[Product2],N7,Tabla22[[Economy ]],$O$2))/(COUNTIFS(Tabla22[Product],N7,Tabla22[[Economy ]],$O$2)+COUNTIFS(Tabla22[Product2],N7,Tabla22[[Economy ]],$O$2)),0)</f>
        <v>89641.965785714303</v>
      </c>
      <c r="U7" s="42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51066.120829761909</v>
      </c>
      <c r="W7" s="60" t="s">
        <v>52</v>
      </c>
      <c r="X7" s="46">
        <f>SUMIFS(Tabla22[Req.],Tabla22[Product],W7,Tabla22[[Economy ]],$X$2)+SUMIFS(Tabla22[Req.2],Tabla22[Product2],W7,Tabla22[[Economy ]],$X$2)</f>
        <v>51</v>
      </c>
      <c r="Y7" s="46">
        <f>IFERROR(X7/COUNTIF(Tabla22[[Economy ]],$X$2),0)</f>
        <v>0.53125</v>
      </c>
      <c r="Z7" s="36">
        <f t="shared" si="2"/>
        <v>0.11617312072892939</v>
      </c>
      <c r="AA7" s="36">
        <f>IFERROR((SUMIFS(Tabla22[QualityBonus],Tabla22[Product],W7,Tabla22[[Economy ]],$X$2)+SUMIFS(Tabla22[QualityBonus],Tabla22[Product2],W7,Tabla22[[Economy ]],$X$2))/(COUNTIFS(Tabla22[Product],W7,Tabla22[[Economy ]],$X$2)+COUNTIFS(Tabla22[Product2],W7,Tabla22[[Economy ]],$X$2)),0)</f>
        <v>2.0375999999999998E-2</v>
      </c>
      <c r="AB7" s="3">
        <f>IFERROR((SUMIFS(Tabla22[Base price1],Tabla22[Product],W7,Tabla22[[Economy ]],$X$2)+SUMIFS(Tabla22[Base price2],Tabla22[Product2],W7,Tabla22[[Economy ]],$X$2))/(COUNTIFS(Tabla22[Product],W7,Tabla22[[Economy ]],$X$2)+COUNTIFS(Tabla22[Product2],W7,Tabla22[[Economy ]],$X$2)),0)</f>
        <v>120238.96</v>
      </c>
      <c r="AC7" s="3">
        <f>IFERROR((SUMIFS(Tabla22[No wages],Tabla22[Product],W7,Tabla22[[Economy ]],$X$2)+SUMIFS(Tabla22[No wages],Tabla22[Product2],W7,Tabla22[[Economy ]],$X$2))/(COUNTIFS(Tabla22[Product],W7,Tabla22[[Economy ]],$X$2)+COUNTIFS(Tabla22[Product2],W7,Tabla22[[Economy ]],$X$2)),0)</f>
        <v>69024.689639999997</v>
      </c>
      <c r="AD7" s="42">
        <f>IFERROR((SUMIFS(Tabla22[profit -wages],Tabla22[Product],W7,Tabla22[[Economy ]],$X$2)+SUMIFS(Tabla22[profit -wages],Tabla22[Product2],W7,Tabla22[[Economy ]],$X$2))/(COUNTIFS(Tabla22[Product],W7,Tabla22[[Economy ]],$X$2)+COUNTIFS(Tabla22[Product2],W7,Tabla22[[Economy ]],$X$2)),0)</f>
        <v>30448.844684047624</v>
      </c>
    </row>
    <row r="8" spans="1:30" x14ac:dyDescent="0.25">
      <c r="E8" s="60" t="s">
        <v>57</v>
      </c>
      <c r="F8" s="46">
        <f>SUMIFS(Tabla22[Req.],Tabla22[Product],N8)+SUMIFS(Tabla22[Req.2],Tabla22[Product2],N8)</f>
        <v>97</v>
      </c>
      <c r="G8" s="46">
        <f>F8/COUNTIF(Tabla22[QualityBonus],"&gt;0")</f>
        <v>0.70289855072463769</v>
      </c>
      <c r="H8" s="69">
        <f t="shared" si="0"/>
        <v>0.14969135802469136</v>
      </c>
      <c r="I8" s="36">
        <f>IFERROR((SUMIF(Tabla22[Product],E8,Tabla22[QualityBonus])+SUMIF(Tabla22[Product2],E8,Tabla22[QualityBonus]))/(COUNTIF(Tabla22[Product],E8)+COUNTIF(Tabla22[Product2],E8)),0)</f>
        <v>2.099761904761905E-2</v>
      </c>
      <c r="J8" s="3">
        <f>IFERROR((SUMIF(Tabla22[Product],E8,Tabla22[Base price1])+SUMIF(Tabla22[Product2],E8,Tabla22[Base price2]))/(COUNTIF(Tabla22[Product],E8)+COUNTIF(Tabla22[Product2],E8)),0)</f>
        <v>82497.476190476184</v>
      </c>
      <c r="K8" s="3">
        <f>IFERROR((SUMIF(Tabla22[Product],E8,Tabla22[No wages])+SUMIF(Tabla22[Product2],E8,Tabla22[No wages]))/(COUNTIF(Tabla22[Product],E8)+COUNTIF(Tabla22[Product2],E8)),0)</f>
        <v>59167.062997619054</v>
      </c>
      <c r="L8" s="42">
        <f>IFERROR((SUMIF(Tabla22[Product],E8,Tabla22[profit -wages])+SUMIF(Tabla22[Product2],E8,Tabla22[profit -wages]))/(COUNTIF(Tabla22[Product],E8)+COUNTIF(Tabla22[Product2],E8)),0)</f>
        <v>20591.218041666674</v>
      </c>
      <c r="N8" s="60" t="s">
        <v>57</v>
      </c>
      <c r="O8" s="46">
        <f>SUMIFS(Tabla22[Req.],Tabla22[Product],N8,Tabla22[[Economy ]],$O$2)+SUMIFS(Tabla22[Req.2],Tabla22[Product2],N8,Tabla22[[Economy ]],$O$2)</f>
        <v>47</v>
      </c>
      <c r="P8" s="46">
        <f>IFERROR(O8/COUNTIF(Tabla22[[Economy ]],$O$2),0)</f>
        <v>1.1190476190476191</v>
      </c>
      <c r="Q8" s="36">
        <f t="shared" si="1"/>
        <v>0.22488038277511962</v>
      </c>
      <c r="R8" s="36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2.1160000000000002E-2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80326.45</v>
      </c>
      <c r="T8" s="3">
        <f>IFERROR((SUMIFS(Tabla22[No wages],Tabla22[Product],N8,Tabla22[[Economy ]],$O$2)+SUMIFS(Tabla22[No wages],Tabla22[Product2],N8,Tabla22[[Economy ]],$O$2))/(COUNTIFS(Tabla22[Product],N8,Tabla22[[Economy ]],$O$2)+COUNTIFS(Tabla22[Product2],N8,Tabla22[[Economy ]],$O$2)),0)</f>
        <v>42037.164239999998</v>
      </c>
      <c r="U8" s="42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3461.3192840476199</v>
      </c>
      <c r="W8" s="60" t="s">
        <v>57</v>
      </c>
      <c r="X8" s="46">
        <f>SUMIFS(Tabla22[Req.],Tabla22[Product],W8,Tabla22[[Economy ]],$X$2)+SUMIFS(Tabla22[Req.2],Tabla22[Product2],W8,Tabla22[[Economy ]],$X$2)</f>
        <v>50</v>
      </c>
      <c r="Y8" s="46">
        <f>IFERROR(X8/COUNTIF(Tabla22[[Economy ]],$X$2),0)</f>
        <v>0.52083333333333337</v>
      </c>
      <c r="Z8" s="36">
        <f t="shared" si="2"/>
        <v>0.11389521640091119</v>
      </c>
      <c r="AA8" s="36">
        <f>IFERROR((SUMIFS(Tabla22[QualityBonus],Tabla22[Product],W8,Tabla22[[Economy ]],$X$2)+SUMIFS(Tabla22[QualityBonus],Tabla22[Product2],W8,Tabla22[[Economy ]],$X$2))/(COUNTIFS(Tabla22[Product],W8,Tabla22[[Economy ]],$X$2)+COUNTIFS(Tabla22[Product2],W8,Tabla22[[Economy ]],$X$2)),0)</f>
        <v>2.085E-2</v>
      </c>
      <c r="AB8" s="3">
        <f>IFERROR((SUMIFS(Tabla22[Base price1],Tabla22[Product],W8,Tabla22[[Economy ]],$X$2)+SUMIFS(Tabla22[Base price2],Tabla22[Product2],W8,Tabla22[[Economy ]],$X$2))/(COUNTIFS(Tabla22[Product],W8,Tabla22[[Economy ]],$X$2)+COUNTIFS(Tabla22[Product2],W8,Tabla22[[Economy ]],$X$2)),0)</f>
        <v>84471.136363636368</v>
      </c>
      <c r="AC8" s="3">
        <f>IFERROR((SUMIFS(Tabla22[No wages],Tabla22[Product],W8,Tabla22[[Economy ]],$X$2)+SUMIFS(Tabla22[No wages],Tabla22[Product2],W8,Tabla22[[Economy ]],$X$2))/(COUNTIFS(Tabla22[Product],W8,Tabla22[[Economy ]],$X$2)+COUNTIFS(Tabla22[Product2],W8,Tabla22[[Economy ]],$X$2)),0)</f>
        <v>74739.698231818184</v>
      </c>
      <c r="AD8" s="42">
        <f>IFERROR((SUMIFS(Tabla22[profit -wages],Tabla22[Product],W8,Tabla22[[Economy ]],$X$2)+SUMIFS(Tabla22[profit -wages],Tabla22[Product2],W8,Tabla22[[Economy ]],$X$2))/(COUNTIFS(Tabla22[Product],W8,Tabla22[[Economy ]],$X$2)+COUNTIFS(Tabla22[Product2],W8,Tabla22[[Economy ]],$X$2)),0)</f>
        <v>36163.853275865811</v>
      </c>
    </row>
    <row r="9" spans="1:30" x14ac:dyDescent="0.25">
      <c r="B9" s="49" t="s">
        <v>72</v>
      </c>
      <c r="E9" s="60" t="s">
        <v>54</v>
      </c>
      <c r="F9" s="46">
        <f>SUMIFS(Tabla22[Req.],Tabla22[Product],N9)+SUMIFS(Tabla22[Req.2],Tabla22[Product2],N9)</f>
        <v>144</v>
      </c>
      <c r="G9" s="46">
        <f>F9/COUNTIF(Tabla22[QualityBonus],"&gt;0")</f>
        <v>1.0434782608695652</v>
      </c>
      <c r="H9" s="69">
        <f t="shared" si="0"/>
        <v>0.22222222222222218</v>
      </c>
      <c r="I9" s="36">
        <f>IFERROR((SUMIF(Tabla22[Product],E9,Tabla22[QualityBonus])+SUMIF(Tabla22[Product2],E9,Tabla22[QualityBonus]))/(COUNTIF(Tabla22[Product],E9)+COUNTIF(Tabla22[Product2],E9)),0)</f>
        <v>2.0756716417910444E-2</v>
      </c>
      <c r="J9" s="3">
        <f>IFERROR((SUMIF(Tabla22[Product],E9,Tabla22[Base price1])+SUMIF(Tabla22[Product2],E9,Tabla22[Base price2]))/(COUNTIF(Tabla22[Product],E9)+COUNTIF(Tabla22[Product2],E9)),0)</f>
        <v>60698.13432835821</v>
      </c>
      <c r="K9" s="3">
        <f>IFERROR((SUMIF(Tabla22[Product],E9,Tabla22[No wages])+SUMIF(Tabla22[Product2],E9,Tabla22[No wages]))/(COUNTIF(Tabla22[Product],E9)+COUNTIF(Tabla22[Product2],E9)),0)</f>
        <v>63620.638310447779</v>
      </c>
      <c r="L9" s="42">
        <f>IFERROR((SUMIF(Tabla22[Product],E9,Tabla22[profit -wages])+SUMIF(Tabla22[Product2],E9,Tabla22[profit -wages]))/(COUNTIF(Tabla22[Product],E9)+COUNTIF(Tabla22[Product2],E9)),0)</f>
        <v>25044.793354495381</v>
      </c>
      <c r="N9" s="60" t="s">
        <v>54</v>
      </c>
      <c r="O9" s="46">
        <f>SUMIFS(Tabla22[Req.],Tabla22[Product],N9,Tabla22[[Economy ]],$O$2)+SUMIFS(Tabla22[Req.2],Tabla22[Product2],N9,Tabla22[[Economy ]],$O$2)</f>
        <v>22</v>
      </c>
      <c r="P9" s="46">
        <f>IFERROR(O9/COUNTIF(Tabla22[[Economy ]],$O$2),0)</f>
        <v>0.52380952380952384</v>
      </c>
      <c r="Q9" s="36">
        <f t="shared" si="1"/>
        <v>0.10526315789473685</v>
      </c>
      <c r="R9" s="36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2.1174999999999999E-2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57915.583333333336</v>
      </c>
      <c r="T9" s="3">
        <f>IFERROR((SUMIFS(Tabla22[No wages],Tabla22[Product],N9,Tabla22[[Economy ]],$O$2)+SUMIFS(Tabla22[No wages],Tabla22[Product2],N9,Tabla22[[Economy ]],$O$2))/(COUNTIFS(Tabla22[Product],N9,Tabla22[[Economy ]],$O$2)+COUNTIFS(Tabla22[Product2],N9,Tabla22[[Economy ]],$O$2)),0)</f>
        <v>50270.379849999998</v>
      </c>
      <c r="U9" s="42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11694.53489404762</v>
      </c>
      <c r="W9" s="60" t="s">
        <v>54</v>
      </c>
      <c r="X9" s="46">
        <f>SUMIFS(Tabla22[Req.],Tabla22[Product],W9,Tabla22[[Economy ]],$X$2)+SUMIFS(Tabla22[Req.2],Tabla22[Product2],W9,Tabla22[[Economy ]],$X$2)</f>
        <v>122</v>
      </c>
      <c r="Y9" s="46">
        <f>IFERROR(X9/COUNTIF(Tabla22[[Economy ]],$X$2),0)</f>
        <v>1.2708333333333333</v>
      </c>
      <c r="Z9" s="36">
        <f t="shared" si="2"/>
        <v>0.27790432801822323</v>
      </c>
      <c r="AA9" s="36">
        <f>IFERROR((SUMIFS(Tabla22[QualityBonus],Tabla22[Product],W9,Tabla22[[Economy ]],$X$2)+SUMIFS(Tabla22[QualityBonus],Tabla22[Product2],W9,Tabla22[[Economy ]],$X$2))/(COUNTIFS(Tabla22[Product],W9,Tabla22[[Economy ]],$X$2)+COUNTIFS(Tabla22[Product2],W9,Tabla22[[Economy ]],$X$2)),0)</f>
        <v>2.0665454545454546E-2</v>
      </c>
      <c r="AB9" s="3">
        <f>IFERROR((SUMIFS(Tabla22[Base price1],Tabla22[Product],W9,Tabla22[[Economy ]],$X$2)+SUMIFS(Tabla22[Base price2],Tabla22[Product2],W9,Tabla22[[Economy ]],$X$2))/(COUNTIFS(Tabla22[Product],W9,Tabla22[[Economy ]],$X$2)+COUNTIFS(Tabla22[Product2],W9,Tabla22[[Economy ]],$X$2)),0)</f>
        <v>61305.236363636366</v>
      </c>
      <c r="AC9" s="3">
        <f>IFERROR((SUMIFS(Tabla22[No wages],Tabla22[Product],W9,Tabla22[[Economy ]],$X$2)+SUMIFS(Tabla22[No wages],Tabla22[Product2],W9,Tabla22[[Economy ]],$X$2))/(COUNTIFS(Tabla22[Product],W9,Tabla22[[Economy ]],$X$2)+COUNTIFS(Tabla22[Product2],W9,Tabla22[[Economy ]],$X$2)),0)</f>
        <v>66533.421974545461</v>
      </c>
      <c r="AD9" s="42">
        <f>IFERROR((SUMIFS(Tabla22[profit -wages],Tabla22[Product],W9,Tabla22[[Economy ]],$X$2)+SUMIFS(Tabla22[profit -wages],Tabla22[Product2],W9,Tabla22[[Economy ]],$X$2))/(COUNTIFS(Tabla22[Product],W9,Tabla22[[Economy ]],$X$2)+COUNTIFS(Tabla22[Product2],W9,Tabla22[[Economy ]],$X$2)),0)</f>
        <v>27957.577018593074</v>
      </c>
    </row>
    <row r="10" spans="1:30" x14ac:dyDescent="0.25">
      <c r="B10" s="62" t="s">
        <v>66</v>
      </c>
      <c r="E10" s="61" t="s">
        <v>53</v>
      </c>
      <c r="F10" s="47">
        <f>SUMIFS(Tabla22[Req.],Tabla22[Product],N10)+SUMIFS(Tabla22[Req.2],Tabla22[Product2],N10)</f>
        <v>293</v>
      </c>
      <c r="G10" s="47">
        <f>F10/COUNTIF(Tabla22[QualityBonus],"&gt;0")</f>
        <v>2.1231884057971016</v>
      </c>
      <c r="H10" s="69">
        <f t="shared" si="0"/>
        <v>0.45216049382716045</v>
      </c>
      <c r="I10" s="44">
        <f>IFERROR((SUMIF(Tabla22[Product],E10,Tabla22[QualityBonus])+SUMIF(Tabla22[Product2],E10,Tabla22[QualityBonus]))/(COUNTIF(Tabla22[Product],E10)+COUNTIF(Tabla22[Product2],E10)),0)</f>
        <v>2.033012048192771E-2</v>
      </c>
      <c r="J10" s="38">
        <f>IFERROR((SUMIF(Tabla22[Product],E10,Tabla22[Base price1])+SUMIF(Tabla22[Product2],E10,Tabla22[Base price2]))/(COUNTIF(Tabla22[Product],E10)+COUNTIF(Tabla22[Product2],E10)),0)</f>
        <v>40717.855421686749</v>
      </c>
      <c r="K10" s="38">
        <f>IFERROR((SUMIF(Tabla22[Product],E10,Tabla22[No wages])+SUMIF(Tabla22[Product2],E10,Tabla22[No wages]))/(COUNTIF(Tabla22[Product],E10)+COUNTIF(Tabla22[Product2],E10)),0)</f>
        <v>64620.697574698796</v>
      </c>
      <c r="L10" s="43">
        <f>IFERROR((SUMIF(Tabla22[Product],E10,Tabla22[profit -wages])+SUMIF(Tabla22[Product2],E10,Tabla22[profit -wages]))/(COUNTIF(Tabla22[Product],E10)+COUNTIF(Tabla22[Product2],E10)),0)</f>
        <v>26044.852618746416</v>
      </c>
      <c r="N10" s="61" t="s">
        <v>53</v>
      </c>
      <c r="O10" s="47">
        <f>SUMIFS(Tabla22[Req.],Tabla22[Product],N10,Tabla22[[Economy ]],$O$2)+SUMIFS(Tabla22[Req.2],Tabla22[Product2],N10,Tabla22[[Economy ]],$O$2)</f>
        <v>99</v>
      </c>
      <c r="P10" s="47">
        <f>IFERROR(O10/COUNTIF(Tabla22[[Economy ]],$O$2),0)</f>
        <v>2.3571428571428572</v>
      </c>
      <c r="Q10" s="44">
        <f t="shared" si="1"/>
        <v>0.47368421052631582</v>
      </c>
      <c r="R10" s="44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2.0185185185185188E-2</v>
      </c>
      <c r="S10" s="38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39149.666666666664</v>
      </c>
      <c r="T10" s="38">
        <f>IFERROR((SUMIFS(Tabla22[No wages],Tabla22[Product],N10,Tabla22[[Economy ]],$O$2)+SUMIFS(Tabla22[No wages],Tabla22[Product2],N10,Tabla22[[Economy ]],$O$2))/(COUNTIFS(Tabla22[Product],N10,Tabla22[[Economy ]],$O$2)+COUNTIFS(Tabla22[Product2],N10,Tabla22[[Economy ]],$O$2)),0)</f>
        <v>51280.958514814818</v>
      </c>
      <c r="U10" s="43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12705.113558862437</v>
      </c>
      <c r="W10" s="61" t="s">
        <v>53</v>
      </c>
      <c r="X10" s="47">
        <f>SUMIFS(Tabla22[Req.],Tabla22[Product],W10,Tabla22[[Economy ]],$X$2)+SUMIFS(Tabla22[Req.2],Tabla22[Product2],W10,Tabla22[[Economy ]],$X$2)</f>
        <v>194</v>
      </c>
      <c r="Y10" s="47">
        <f>IFERROR(X10/COUNTIF(Tabla22[[Economy ]],$X$2),0)</f>
        <v>2.0208333333333335</v>
      </c>
      <c r="Z10" s="44">
        <f t="shared" si="2"/>
        <v>0.44191343963553542</v>
      </c>
      <c r="AA10" s="44">
        <f>IFERROR((SUMIFS(Tabla22[QualityBonus],Tabla22[Product],W10,Tabla22[[Economy ]],$X$2)+SUMIFS(Tabla22[QualityBonus],Tabla22[Product2],W10,Tabla22[[Economy ]],$X$2))/(COUNTIFS(Tabla22[Product],W10,Tabla22[[Economy ]],$X$2)+COUNTIFS(Tabla22[Product2],W10,Tabla22[[Economy ]],$X$2)),0)</f>
        <v>2.0399999999999998E-2</v>
      </c>
      <c r="AB10" s="38">
        <f>IFERROR((SUMIFS(Tabla22[Base price1],Tabla22[Product],W10,Tabla22[[Economy ]],$X$2)+SUMIFS(Tabla22[Base price2],Tabla22[Product2],W10,Tabla22[[Economy ]],$X$2))/(COUNTIFS(Tabla22[Product],W10,Tabla22[[Economy ]],$X$2)+COUNTIFS(Tabla22[Product2],W10,Tabla22[[Economy ]],$X$2)),0)</f>
        <v>41473.946428571428</v>
      </c>
      <c r="AC10" s="38">
        <f>IFERROR((SUMIFS(Tabla22[No wages],Tabla22[Product],W10,Tabla22[[Economy ]],$X$2)+SUMIFS(Tabla22[No wages],Tabla22[Product2],W10,Tabla22[[Economy ]],$X$2))/(COUNTIFS(Tabla22[Product],W10,Tabla22[[Economy ]],$X$2)+COUNTIFS(Tabla22[Product2],W10,Tabla22[[Economy ]],$X$2)),0)</f>
        <v>71052.35747857143</v>
      </c>
      <c r="AD10" s="43">
        <f>IFERROR((SUMIFS(Tabla22[profit -wages],Tabla22[Product],W10,Tabla22[[Economy ]],$X$2)+SUMIFS(Tabla22[profit -wages],Tabla22[Product2],W10,Tabla22[[Economy ]],$X$2))/(COUNTIFS(Tabla22[Product],W10,Tabla22[[Economy ]],$X$2)+COUNTIFS(Tabla22[Product2],W10,Tabla22[[Economy ]],$X$2)),0)</f>
        <v>32476.512522619043</v>
      </c>
    </row>
    <row r="11" spans="1:30" x14ac:dyDescent="0.25">
      <c r="B11" s="62" t="s">
        <v>13</v>
      </c>
      <c r="E11" s="50" t="s">
        <v>61</v>
      </c>
      <c r="F11" s="47">
        <f>SUM(F5:F10)</f>
        <v>648</v>
      </c>
      <c r="G11" s="47">
        <f>SUM(G5:G10)</f>
        <v>4.6956521739130439</v>
      </c>
      <c r="H11" s="70">
        <f>SUM(H5:H10)</f>
        <v>1</v>
      </c>
      <c r="I11" s="56">
        <f>AVERAGE(Tabla22[QualityBonus])</f>
        <v>2.0946376811594211E-2</v>
      </c>
      <c r="J11" s="38">
        <f>SUMPRODUCT(G5:G10,J5:J10)/G11</f>
        <v>78414.375265916649</v>
      </c>
      <c r="K11" s="38">
        <f>AVERAGEIF(Tabla22[No wages],"&gt;0")</f>
        <v>62616.322089855072</v>
      </c>
      <c r="L11" s="57">
        <f>AVERAGE(Tabla22[profit -wages])</f>
        <v>24040.477133902692</v>
      </c>
      <c r="M11" s="52"/>
      <c r="N11" s="50" t="s">
        <v>61</v>
      </c>
      <c r="O11" s="47">
        <f>SUM(O5:O10)</f>
        <v>209</v>
      </c>
      <c r="P11" s="47">
        <f>SUM(P5:P10)</f>
        <v>4.9761904761904763</v>
      </c>
      <c r="Q11" s="70">
        <f>SUM(Q5:Q10)</f>
        <v>1</v>
      </c>
      <c r="R11" s="56">
        <f>IFERROR(AVERAGEIFS(Tabla22[QualityBonus],Tabla22[[Economy ]],$O$2),0)</f>
        <v>2.1104761904761897E-2</v>
      </c>
      <c r="S11" s="38">
        <f>IFERROR(SUMPRODUCT(S5:S10,P5:P10)/P11,0)</f>
        <v>80536.017691957153</v>
      </c>
      <c r="T11" s="38">
        <f>IFERROR(AVERAGEIFS(Tabla22[No wages],Tabla22[[Economy ]],$O$2),0)</f>
        <v>50151.689911904759</v>
      </c>
      <c r="U11" s="57">
        <f>IFERROR(AVERAGEIFS(Tabla22[profit -wages],Tabla22[[Economy ]],$O$2),0)</f>
        <v>11575.844955952383</v>
      </c>
      <c r="W11" s="50" t="s">
        <v>61</v>
      </c>
      <c r="X11" s="47">
        <f>SUM(X5:X10)</f>
        <v>439</v>
      </c>
      <c r="Y11" s="47">
        <f>SUM(Y5:Y10)</f>
        <v>4.5729166666666661</v>
      </c>
      <c r="Z11" s="70">
        <f>SUM(Z5:Z10)</f>
        <v>1</v>
      </c>
      <c r="AA11" s="56">
        <f>IFERROR(AVERAGEIFS(Tabla22[QualityBonus],Tabla22[[Economy ]],$X$2),0)</f>
        <v>2.0877083333333334E-2</v>
      </c>
      <c r="AB11" s="38">
        <f>IFERROR(SUMPRODUCT(AB5:AB10,Y5:Y10)/Y11,0)</f>
        <v>77315.728132710137</v>
      </c>
      <c r="AC11" s="38">
        <f>IFERROR(AVERAGEIFS(Tabla22[No wages],Tabla22[[Economy ]],$X$2),0)</f>
        <v>68069.598667708357</v>
      </c>
      <c r="AD11" s="57">
        <f>IFERROR(AVERAGEIFS(Tabla22[profit -wages],Tabla22[[Economy ]],$X$2),0)</f>
        <v>29493.753711755951</v>
      </c>
    </row>
    <row r="12" spans="1:30" x14ac:dyDescent="0.25">
      <c r="B12" s="63" t="s">
        <v>67</v>
      </c>
      <c r="P12" s="81"/>
      <c r="S12" s="45"/>
      <c r="T12" s="45"/>
      <c r="U12" s="45"/>
      <c r="V12" s="45"/>
      <c r="W12" s="45"/>
    </row>
    <row r="13" spans="1:30" x14ac:dyDescent="0.25">
      <c r="L13" s="52"/>
      <c r="S13" s="45"/>
      <c r="T13" s="45"/>
      <c r="U13" s="45"/>
      <c r="V13" s="45"/>
      <c r="W13" s="45"/>
    </row>
    <row r="14" spans="1:30" x14ac:dyDescent="0.25">
      <c r="S14" s="45"/>
      <c r="T14" s="45"/>
      <c r="U14" s="45"/>
      <c r="V14" s="45"/>
      <c r="W14" s="45"/>
    </row>
    <row r="15" spans="1:30" x14ac:dyDescent="0.25">
      <c r="D15" s="97" t="s">
        <v>45</v>
      </c>
      <c r="E15" s="98"/>
      <c r="F15" s="99"/>
      <c r="G15" s="100" t="s">
        <v>46</v>
      </c>
      <c r="H15" s="98"/>
      <c r="I15" s="99"/>
      <c r="J15" s="101" t="s">
        <v>49</v>
      </c>
      <c r="K15" s="102"/>
      <c r="L15" s="102"/>
      <c r="M15" s="102"/>
      <c r="N15" s="102"/>
      <c r="O15" s="102"/>
      <c r="P15" s="102"/>
      <c r="R15" s="45"/>
      <c r="S15" s="45"/>
      <c r="T15" s="45"/>
      <c r="U15" s="45"/>
      <c r="V15" s="45"/>
      <c r="W15" s="45"/>
    </row>
    <row r="16" spans="1:30" x14ac:dyDescent="0.25">
      <c r="A16" t="s">
        <v>44</v>
      </c>
      <c r="B16" t="s">
        <v>12</v>
      </c>
      <c r="C16" t="s">
        <v>0</v>
      </c>
      <c r="D16" s="1" t="s">
        <v>47</v>
      </c>
      <c r="E16" s="13" t="s">
        <v>48</v>
      </c>
      <c r="F16" s="4" t="s">
        <v>4</v>
      </c>
      <c r="G16" s="65" t="s">
        <v>64</v>
      </c>
      <c r="H16" s="13" t="s">
        <v>3</v>
      </c>
      <c r="I16" s="4" t="s">
        <v>5</v>
      </c>
      <c r="J16" s="65" t="s">
        <v>70</v>
      </c>
      <c r="K16" s="13" t="s">
        <v>77</v>
      </c>
      <c r="L16" s="13" t="s">
        <v>78</v>
      </c>
      <c r="M16" s="1" t="s">
        <v>50</v>
      </c>
      <c r="N16" t="s">
        <v>51</v>
      </c>
      <c r="O16" s="40" t="s">
        <v>80</v>
      </c>
      <c r="P16" t="s">
        <v>20</v>
      </c>
      <c r="R16" s="45"/>
      <c r="S16" s="45"/>
      <c r="T16" s="45"/>
      <c r="U16" s="45"/>
      <c r="V16" s="45"/>
    </row>
    <row r="17" spans="1:22" x14ac:dyDescent="0.25">
      <c r="A17" s="13">
        <v>1</v>
      </c>
      <c r="B17" s="13" t="s">
        <v>13</v>
      </c>
      <c r="C17" s="36">
        <v>2.9100000000000001E-2</v>
      </c>
      <c r="D17" s="2" t="s">
        <v>52</v>
      </c>
      <c r="E17" s="71">
        <v>124454</v>
      </c>
      <c r="F17" s="4">
        <v>1</v>
      </c>
      <c r="G17" s="2" t="s">
        <v>54</v>
      </c>
      <c r="H17" s="71">
        <v>63090</v>
      </c>
      <c r="I17" s="4">
        <v>3</v>
      </c>
      <c r="J17" s="74">
        <f>Tabla22[[#This Row],[Base price1]]*Tabla22[[#This Row],[Req.]]+Tabla22[[#This Row],[Base price2]]*Tabla22[[#This Row],[Req.2]]</f>
        <v>313724</v>
      </c>
      <c r="K17" s="71">
        <f>IFERROR(LOOKUP(Tabla22[[#This Row],[Product]],$R$18:$R$23,$T$18:$T$23)*Tabla22[[#This Row],[QualityBonus]]*Tabla22[[#This Row],[Base price1]]*Tabla22[[#This Row],[Req.]],0)</f>
        <v>18108.057000000001</v>
      </c>
      <c r="L17" s="71">
        <f>IF(Tabla22[[#This Row],[Req.2]]&gt;0,LOOKUP(Tabla22[[#This Row],[Product2]],$R$18:$R$23,$T$18:$T$23)*Tabla22[[#This Row],[Base price2]]*Tabla22[[#This Row],[Req.2]]*Tabla22[[#This Row],[QualityBonus]],0)</f>
        <v>27538.785</v>
      </c>
      <c r="M17" s="74">
        <f>IFERROR((Tabla22[[#This Row],[Base price1]]-LOOKUP(Tabla22[[#This Row],[Product]],$R$18:$R$23,$S$18:$S$23))*Tabla22[[#This Row],[Req.]],0)</f>
        <v>12454</v>
      </c>
      <c r="N17" s="71">
        <f>IF(Tabla22[[#This Row],[Req.2]]&gt;0,(Tabla22[[#This Row],[Base price2]]-LOOKUP(Tabla22[[#This Row],[Product2]],$R$18:$R$23,$S$18:$S$23))*Tabla22[[#This Row],[Req.2]],0)</f>
        <v>33270</v>
      </c>
      <c r="O17" s="74">
        <f>SUM(Tabla22[[#This Row],[Bonus1]:[p2]])</f>
        <v>91370.842000000004</v>
      </c>
      <c r="P17" s="71">
        <f>IF(Tabla22[[#This Row],[QualityBonus]]&gt;0,Tabla22[[#This Row],[No wages]]-$C$4,"")</f>
        <v>52794.997044047625</v>
      </c>
      <c r="R17" s="68" t="s">
        <v>75</v>
      </c>
      <c r="S17" s="68" t="s">
        <v>2</v>
      </c>
      <c r="T17" s="68" t="s">
        <v>76</v>
      </c>
      <c r="U17" s="45" t="s">
        <v>95</v>
      </c>
      <c r="V17" s="45"/>
    </row>
    <row r="18" spans="1:22" x14ac:dyDescent="0.25">
      <c r="A18" s="13">
        <v>2</v>
      </c>
      <c r="B18" s="13" t="s">
        <v>13</v>
      </c>
      <c r="C18" s="36">
        <v>2.0899999999999998E-2</v>
      </c>
      <c r="D18" s="2" t="s">
        <v>55</v>
      </c>
      <c r="E18" s="71">
        <v>84382</v>
      </c>
      <c r="F18" s="4">
        <v>2</v>
      </c>
      <c r="G18" s="2" t="s">
        <v>54</v>
      </c>
      <c r="H18" s="71">
        <v>62008</v>
      </c>
      <c r="I18" s="4">
        <v>4</v>
      </c>
      <c r="J18" s="74">
        <f>Tabla22[[#This Row],[Base price1]]*Tabla22[[#This Row],[Req.]]+Tabla22[[#This Row],[Base price2]]*Tabla22[[#This Row],[Req.2]]</f>
        <v>416796</v>
      </c>
      <c r="K18" s="71">
        <f>IFERROR(LOOKUP(Tabla22[[#This Row],[Product]],$R$18:$R$23,$T$18:$T$23)*Tabla22[[#This Row],[QualityBonus]]*Tabla22[[#This Row],[Base price1]]*Tabla22[[#This Row],[Req.]],0)</f>
        <v>14108.670399999999</v>
      </c>
      <c r="L18" s="71">
        <f>IF(Tabla22[[#This Row],[Req.2]]&gt;0,LOOKUP(Tabla22[[#This Row],[Product2]],$R$18:$R$23,$T$18:$T$23)*Tabla22[[#This Row],[Base price2]]*Tabla22[[#This Row],[Req.2]]*Tabla22[[#This Row],[QualityBonus]],0)</f>
        <v>25919.343999999997</v>
      </c>
      <c r="M18" s="74">
        <f>IFERROR((Tabla22[[#This Row],[Base price1]]-LOOKUP(Tabla22[[#This Row],[Product]],$R$18:$R$23,$S$18:$S$23))*Tabla22[[#This Row],[Req.]],0)</f>
        <v>11764</v>
      </c>
      <c r="N18" s="71">
        <f>IF(Tabla22[[#This Row],[Req.2]]&gt;0,(Tabla22[[#This Row],[Base price2]]-LOOKUP(Tabla22[[#This Row],[Product2]],$R$18:$R$23,$S$18:$S$23))*Tabla22[[#This Row],[Req.2]],0)</f>
        <v>40032</v>
      </c>
      <c r="O18" s="74">
        <f>SUM(Tabla22[[#This Row],[Bonus1]:[p2]])</f>
        <v>91824.0144</v>
      </c>
      <c r="P18" s="71">
        <f>IF(Tabla22[[#This Row],[QualityBonus]]&gt;0,Tabla22[[#This Row],[No wages]]-$C$4,"")</f>
        <v>53248.16944404762</v>
      </c>
      <c r="R18" s="45" t="s">
        <v>27</v>
      </c>
      <c r="S18" s="67">
        <v>858000</v>
      </c>
      <c r="T18" s="67">
        <v>4</v>
      </c>
      <c r="U18" s="45" t="s">
        <v>94</v>
      </c>
      <c r="V18" s="45"/>
    </row>
    <row r="19" spans="1:22" x14ac:dyDescent="0.25">
      <c r="A19" s="13">
        <v>3</v>
      </c>
      <c r="B19" s="13" t="s">
        <v>13</v>
      </c>
      <c r="C19" s="36">
        <v>2.7300000000000001E-2</v>
      </c>
      <c r="D19" s="2" t="s">
        <v>55</v>
      </c>
      <c r="E19" s="71">
        <v>85355</v>
      </c>
      <c r="F19" s="4">
        <v>1</v>
      </c>
      <c r="G19" s="2" t="s">
        <v>54</v>
      </c>
      <c r="H19" s="71">
        <v>61900</v>
      </c>
      <c r="I19" s="4">
        <v>4</v>
      </c>
      <c r="J19" s="74">
        <f>Tabla22[[#This Row],[Base price1]]*Tabla22[[#This Row],[Req.]]+Tabla22[[#This Row],[Base price2]]*Tabla22[[#This Row],[Req.2]]</f>
        <v>332955</v>
      </c>
      <c r="K19" s="71">
        <f>IFERROR(LOOKUP(Tabla22[[#This Row],[Product]],$R$18:$R$23,$T$18:$T$23)*Tabla22[[#This Row],[QualityBonus]]*Tabla22[[#This Row],[Base price1]]*Tabla22[[#This Row],[Req.]],0)</f>
        <v>9320.7659999999996</v>
      </c>
      <c r="L19" s="71">
        <f>IF(Tabla22[[#This Row],[Req.2]]&gt;0,LOOKUP(Tabla22[[#This Row],[Product2]],$R$18:$R$23,$T$18:$T$23)*Tabla22[[#This Row],[Base price2]]*Tabla22[[#This Row],[Req.2]]*Tabla22[[#This Row],[QualityBonus]],0)</f>
        <v>33797.4</v>
      </c>
      <c r="M19" s="74">
        <f>IFERROR((Tabla22[[#This Row],[Base price1]]-LOOKUP(Tabla22[[#This Row],[Product]],$R$18:$R$23,$S$18:$S$23))*Tabla22[[#This Row],[Req.]],0)</f>
        <v>6855</v>
      </c>
      <c r="N19" s="71">
        <f>IF(Tabla22[[#This Row],[Req.2]]&gt;0,(Tabla22[[#This Row],[Base price2]]-LOOKUP(Tabla22[[#This Row],[Product2]],$R$18:$R$23,$S$18:$S$23))*Tabla22[[#This Row],[Req.2]],0)</f>
        <v>39600</v>
      </c>
      <c r="O19" s="74">
        <f>SUM(Tabla22[[#This Row],[Bonus1]:[p2]])</f>
        <v>89573.165999999997</v>
      </c>
      <c r="P19" s="71">
        <f>IF(Tabla22[[#This Row],[QualityBonus]]&gt;0,Tabla22[[#This Row],[No wages]]-$C$4,"")</f>
        <v>50997.321044047618</v>
      </c>
      <c r="R19" s="45" t="s">
        <v>56</v>
      </c>
      <c r="S19" s="67">
        <v>221000</v>
      </c>
      <c r="T19" s="67">
        <v>4</v>
      </c>
      <c r="U19" s="45" t="s">
        <v>93</v>
      </c>
      <c r="V19" s="45"/>
    </row>
    <row r="20" spans="1:22" x14ac:dyDescent="0.25">
      <c r="A20" s="13">
        <v>4</v>
      </c>
      <c r="B20" s="13" t="s">
        <v>13</v>
      </c>
      <c r="C20" s="36">
        <v>2.92E-2</v>
      </c>
      <c r="D20" s="2" t="s">
        <v>54</v>
      </c>
      <c r="E20" s="71">
        <v>59763</v>
      </c>
      <c r="F20" s="4">
        <v>3</v>
      </c>
      <c r="G20" s="2"/>
      <c r="H20" s="71"/>
      <c r="I20" s="4"/>
      <c r="J20" s="74">
        <f>Tabla22[[#This Row],[Base price1]]*Tabla22[[#This Row],[Req.]]+Tabla22[[#This Row],[Base price2]]*Tabla22[[#This Row],[Req.2]]</f>
        <v>179289</v>
      </c>
      <c r="K20" s="71">
        <f>IFERROR(LOOKUP(Tabla22[[#This Row],[Product]],$R$18:$R$23,$T$18:$T$23)*Tabla22[[#This Row],[QualityBonus]]*Tabla22[[#This Row],[Base price1]]*Tabla22[[#This Row],[Req.]],0)</f>
        <v>26176.193999999996</v>
      </c>
      <c r="L20" s="71">
        <f>IF(Tabla22[[#This Row],[Req.2]]&gt;0,LOOKUP(Tabla22[[#This Row],[Product2]],$R$18:$R$23,$T$18:$T$23)*Tabla22[[#This Row],[Base price2]]*Tabla22[[#This Row],[Req.2]]*Tabla22[[#This Row],[QualityBonus]],0)</f>
        <v>0</v>
      </c>
      <c r="M20" s="74">
        <f>IFERROR((Tabla22[[#This Row],[Base price1]]-LOOKUP(Tabla22[[#This Row],[Product]],$R$18:$R$23,$S$18:$S$23))*Tabla22[[#This Row],[Req.]],0)</f>
        <v>23289</v>
      </c>
      <c r="N20" s="71">
        <f>IF(Tabla22[[#This Row],[Req.2]]&gt;0,(Tabla22[[#This Row],[Base price2]]-LOOKUP(Tabla22[[#This Row],[Product2]],$R$18:$R$23,$S$18:$S$23))*Tabla22[[#This Row],[Req.2]],0)</f>
        <v>0</v>
      </c>
      <c r="O20" s="74">
        <f>SUM(Tabla22[[#This Row],[Bonus1]:[p2]])</f>
        <v>49465.193999999996</v>
      </c>
      <c r="P20" s="71">
        <f>IF(Tabla22[[#This Row],[QualityBonus]]&gt;0,Tabla22[[#This Row],[No wages]]-$C$4,"")</f>
        <v>10889.349044047616</v>
      </c>
      <c r="R20" s="45" t="s">
        <v>57</v>
      </c>
      <c r="S20" s="67">
        <v>78500</v>
      </c>
      <c r="T20" s="67">
        <v>4</v>
      </c>
      <c r="U20" s="45" t="s">
        <v>93</v>
      </c>
      <c r="V20" s="77"/>
    </row>
    <row r="21" spans="1:22" x14ac:dyDescent="0.25">
      <c r="A21" s="13">
        <v>5</v>
      </c>
      <c r="B21" s="13" t="s">
        <v>13</v>
      </c>
      <c r="C21" s="36">
        <v>2.23E-2</v>
      </c>
      <c r="D21" s="2" t="s">
        <v>52</v>
      </c>
      <c r="E21" s="71">
        <v>121295</v>
      </c>
      <c r="F21" s="4">
        <v>1</v>
      </c>
      <c r="G21" s="2" t="s">
        <v>54</v>
      </c>
      <c r="H21" s="71">
        <v>61528</v>
      </c>
      <c r="I21" s="4">
        <v>2</v>
      </c>
      <c r="J21" s="74">
        <f>Tabla22[[#This Row],[Base price1]]*Tabla22[[#This Row],[Req.]]+Tabla22[[#This Row],[Base price2]]*Tabla22[[#This Row],[Req.2]]</f>
        <v>244351</v>
      </c>
      <c r="K21" s="71">
        <f>IFERROR(LOOKUP(Tabla22[[#This Row],[Product]],$R$18:$R$23,$T$18:$T$23)*Tabla22[[#This Row],[QualityBonus]]*Tabla22[[#This Row],[Base price1]]*Tabla22[[#This Row],[Req.]],0)</f>
        <v>13524.3925</v>
      </c>
      <c r="L21" s="71">
        <f>IF(Tabla22[[#This Row],[Req.2]]&gt;0,LOOKUP(Tabla22[[#This Row],[Product2]],$R$18:$R$23,$T$18:$T$23)*Tabla22[[#This Row],[Base price2]]*Tabla22[[#This Row],[Req.2]]*Tabla22[[#This Row],[QualityBonus]],0)</f>
        <v>13720.744000000001</v>
      </c>
      <c r="M21" s="74">
        <f>IFERROR((Tabla22[[#This Row],[Base price1]]-LOOKUP(Tabla22[[#This Row],[Product]],$R$18:$R$23,$S$18:$S$23))*Tabla22[[#This Row],[Req.]],0)</f>
        <v>9295</v>
      </c>
      <c r="N21" s="71">
        <f>IF(Tabla22[[#This Row],[Req.2]]&gt;0,(Tabla22[[#This Row],[Base price2]]-LOOKUP(Tabla22[[#This Row],[Product2]],$R$18:$R$23,$S$18:$S$23))*Tabla22[[#This Row],[Req.2]],0)</f>
        <v>19056</v>
      </c>
      <c r="O21" s="74">
        <f>SUM(Tabla22[[#This Row],[Bonus1]:[p2]])</f>
        <v>55596.136500000001</v>
      </c>
      <c r="P21" s="71">
        <f>IF(Tabla22[[#This Row],[QualityBonus]]&gt;0,Tabla22[[#This Row],[No wages]]-$C$4,"")</f>
        <v>17020.291544047621</v>
      </c>
      <c r="R21" s="45" t="s">
        <v>54</v>
      </c>
      <c r="S21" s="67">
        <v>52000</v>
      </c>
      <c r="T21" s="67">
        <v>5</v>
      </c>
      <c r="U21" s="45" t="s">
        <v>93</v>
      </c>
      <c r="V21" s="45"/>
    </row>
    <row r="22" spans="1:22" x14ac:dyDescent="0.25">
      <c r="A22" s="24">
        <v>6</v>
      </c>
      <c r="B22" s="24" t="s">
        <v>13</v>
      </c>
      <c r="C22" s="44">
        <v>1.6500000000000001E-2</v>
      </c>
      <c r="D22" s="37" t="s">
        <v>52</v>
      </c>
      <c r="E22" s="72">
        <v>120391</v>
      </c>
      <c r="F22" s="39">
        <v>1</v>
      </c>
      <c r="G22" s="37" t="s">
        <v>53</v>
      </c>
      <c r="H22" s="72">
        <v>41297</v>
      </c>
      <c r="I22" s="39">
        <v>2</v>
      </c>
      <c r="J22" s="75">
        <f>Tabla22[[#This Row],[Base price1]]*Tabla22[[#This Row],[Req.]]+Tabla22[[#This Row],[Base price2]]*Tabla22[[#This Row],[Req.2]]</f>
        <v>202985</v>
      </c>
      <c r="K22" s="72">
        <f>IFERROR(LOOKUP(Tabla22[[#This Row],[Product]],$R$18:$R$23,$T$18:$T$23)*Tabla22[[#This Row],[QualityBonus]]*Tabla22[[#This Row],[Base price1]]*Tabla22[[#This Row],[Req.]],0)</f>
        <v>9932.2574999999997</v>
      </c>
      <c r="L22" s="72">
        <f>IF(Tabla22[[#This Row],[Req.2]]&gt;0,LOOKUP(Tabla22[[#This Row],[Product2]],$R$18:$R$23,$T$18:$T$23)*Tabla22[[#This Row],[Base price2]]*Tabla22[[#This Row],[Req.2]]*Tabla22[[#This Row],[QualityBonus]],0)</f>
        <v>5451.2040000000006</v>
      </c>
      <c r="M22" s="75">
        <f>IFERROR((Tabla22[[#This Row],[Base price1]]-LOOKUP(Tabla22[[#This Row],[Product]],$R$18:$R$23,$S$18:$S$23))*Tabla22[[#This Row],[Req.]],0)</f>
        <v>8391</v>
      </c>
      <c r="N22" s="72">
        <f>IF(Tabla22[[#This Row],[Req.2]]&gt;0,(Tabla22[[#This Row],[Base price2]]-LOOKUP(Tabla22[[#This Row],[Product2]],$R$18:$R$23,$S$18:$S$23))*Tabla22[[#This Row],[Req.2]],0)</f>
        <v>14994</v>
      </c>
      <c r="O22" s="75">
        <f>SUM(Tabla22[[#This Row],[Bonus1]:[p2]])</f>
        <v>38768.461500000005</v>
      </c>
      <c r="P22" s="72">
        <f>IF(Tabla22[[#This Row],[QualityBonus]]&gt;0,Tabla22[[#This Row],[No wages]]-$C$4,"")</f>
        <v>192.61654404762521</v>
      </c>
      <c r="R22" s="45" t="s">
        <v>53</v>
      </c>
      <c r="S22" s="67">
        <v>33800</v>
      </c>
      <c r="T22" s="67">
        <v>4</v>
      </c>
      <c r="U22" s="45" t="s">
        <v>93</v>
      </c>
      <c r="V22" s="45"/>
    </row>
    <row r="23" spans="1:22" x14ac:dyDescent="0.25">
      <c r="A23" s="13">
        <v>7</v>
      </c>
      <c r="B23" s="13" t="s">
        <v>13</v>
      </c>
      <c r="C23" s="36">
        <v>2.7699999999999999E-2</v>
      </c>
      <c r="D23" s="2" t="s">
        <v>54</v>
      </c>
      <c r="E23" s="71">
        <v>59574</v>
      </c>
      <c r="F23" s="4">
        <v>3</v>
      </c>
      <c r="G23" s="2"/>
      <c r="H23" s="71"/>
      <c r="I23" s="4"/>
      <c r="J23" s="74">
        <f>Tabla22[[#This Row],[Base price1]]*Tabla22[[#This Row],[Req.]]+Tabla22[[#This Row],[Base price2]]*Tabla22[[#This Row],[Req.2]]</f>
        <v>178722</v>
      </c>
      <c r="K23" s="71">
        <f>IFERROR(LOOKUP(Tabla22[[#This Row],[Product]],$R$18:$R$23,$T$18:$T$23)*Tabla22[[#This Row],[QualityBonus]]*Tabla22[[#This Row],[Base price1]]*Tabla22[[#This Row],[Req.]],0)</f>
        <v>24752.996999999999</v>
      </c>
      <c r="L23" s="71">
        <f>IF(Tabla22[[#This Row],[Req.2]]&gt;0,LOOKUP(Tabla22[[#This Row],[Product2]],$R$18:$R$23,$T$18:$T$23)*Tabla22[[#This Row],[Base price2]]*Tabla22[[#This Row],[Req.2]]*Tabla22[[#This Row],[QualityBonus]],0)</f>
        <v>0</v>
      </c>
      <c r="M23" s="74">
        <f>IFERROR((Tabla22[[#This Row],[Base price1]]-LOOKUP(Tabla22[[#This Row],[Product]],$R$18:$R$23,$S$18:$S$23))*Tabla22[[#This Row],[Req.]],0)</f>
        <v>22722</v>
      </c>
      <c r="N23" s="71">
        <f>IF(Tabla22[[#This Row],[Req.2]]&gt;0,(Tabla22[[#This Row],[Base price2]]-LOOKUP(Tabla22[[#This Row],[Product2]],$R$18:$R$23,$S$18:$S$23))*Tabla22[[#This Row],[Req.2]],0)</f>
        <v>0</v>
      </c>
      <c r="O23" s="74">
        <f>SUM(Tabla22[[#This Row],[Bonus1]:[p2]])</f>
        <v>47474.997000000003</v>
      </c>
      <c r="P23" s="71">
        <f>IF(Tabla22[[#This Row],[QualityBonus]]&gt;0,Tabla22[[#This Row],[No wages]]-$C$4,"")</f>
        <v>8899.1520440476233</v>
      </c>
      <c r="R23" s="45" t="s">
        <v>52</v>
      </c>
      <c r="S23" s="67">
        <v>112000</v>
      </c>
      <c r="T23" s="67">
        <v>5</v>
      </c>
      <c r="U23" s="45" t="s">
        <v>94</v>
      </c>
      <c r="V23" s="45"/>
    </row>
    <row r="24" spans="1:22" x14ac:dyDescent="0.25">
      <c r="A24" s="13">
        <v>8</v>
      </c>
      <c r="B24" s="13" t="s">
        <v>13</v>
      </c>
      <c r="C24" s="36">
        <v>1.9400000000000001E-2</v>
      </c>
      <c r="D24" s="2" t="s">
        <v>53</v>
      </c>
      <c r="E24" s="71">
        <v>42425</v>
      </c>
      <c r="F24" s="4">
        <v>5</v>
      </c>
      <c r="G24" s="2" t="s">
        <v>54</v>
      </c>
      <c r="H24" s="71">
        <v>62774</v>
      </c>
      <c r="I24" s="4">
        <v>4</v>
      </c>
      <c r="J24" s="74">
        <f>Tabla22[[#This Row],[Base price1]]*Tabla22[[#This Row],[Req.]]+Tabla22[[#This Row],[Base price2]]*Tabla22[[#This Row],[Req.2]]</f>
        <v>463221</v>
      </c>
      <c r="K24" s="71">
        <f>IFERROR(LOOKUP(Tabla22[[#This Row],[Product]],$R$18:$R$23,$T$18:$T$23)*Tabla22[[#This Row],[QualityBonus]]*Tabla22[[#This Row],[Base price1]]*Tabla22[[#This Row],[Req.]],0)</f>
        <v>16460.900000000001</v>
      </c>
      <c r="L24" s="71">
        <f>IF(Tabla22[[#This Row],[Req.2]]&gt;0,LOOKUP(Tabla22[[#This Row],[Product2]],$R$18:$R$23,$T$18:$T$23)*Tabla22[[#This Row],[Base price2]]*Tabla22[[#This Row],[Req.2]]*Tabla22[[#This Row],[QualityBonus]],0)</f>
        <v>24356.312000000002</v>
      </c>
      <c r="M24" s="74">
        <f>IFERROR((Tabla22[[#This Row],[Base price1]]-LOOKUP(Tabla22[[#This Row],[Product]],$R$18:$R$23,$S$18:$S$23))*Tabla22[[#This Row],[Req.]],0)</f>
        <v>43125</v>
      </c>
      <c r="N24" s="71">
        <f>IF(Tabla22[[#This Row],[Req.2]]&gt;0,(Tabla22[[#This Row],[Base price2]]-LOOKUP(Tabla22[[#This Row],[Product2]],$R$18:$R$23,$S$18:$S$23))*Tabla22[[#This Row],[Req.2]],0)</f>
        <v>43096</v>
      </c>
      <c r="O24" s="74">
        <f>SUM(Tabla22[[#This Row],[Bonus1]:[p2]])</f>
        <v>127038.212</v>
      </c>
      <c r="P24" s="71">
        <f>IF(Tabla22[[#This Row],[QualityBonus]]&gt;0,Tabla22[[#This Row],[No wages]]-$C$4,"")</f>
        <v>88462.367044047627</v>
      </c>
      <c r="R24" s="45"/>
      <c r="S24" s="45"/>
      <c r="T24" s="45"/>
      <c r="U24" s="45"/>
      <c r="V24" s="45"/>
    </row>
    <row r="25" spans="1:22" x14ac:dyDescent="0.25">
      <c r="A25" s="13">
        <v>9</v>
      </c>
      <c r="B25" s="13" t="s">
        <v>13</v>
      </c>
      <c r="C25" s="36">
        <v>2.9399999999999999E-2</v>
      </c>
      <c r="D25" s="2" t="s">
        <v>54</v>
      </c>
      <c r="E25" s="71">
        <v>62463</v>
      </c>
      <c r="F25" s="4">
        <v>1</v>
      </c>
      <c r="G25" s="2"/>
      <c r="H25" s="71"/>
      <c r="I25" s="4"/>
      <c r="J25" s="74">
        <f>Tabla22[[#This Row],[Base price1]]*Tabla22[[#This Row],[Req.]]+Tabla22[[#This Row],[Base price2]]*Tabla22[[#This Row],[Req.2]]</f>
        <v>62463</v>
      </c>
      <c r="K25" s="71">
        <f>IFERROR(LOOKUP(Tabla22[[#This Row],[Product]],$R$18:$R$23,$T$18:$T$23)*Tabla22[[#This Row],[QualityBonus]]*Tabla22[[#This Row],[Base price1]]*Tabla22[[#This Row],[Req.]],0)</f>
        <v>9182.0609999999997</v>
      </c>
      <c r="L25" s="71">
        <f>IF(Tabla22[[#This Row],[Req.2]]&gt;0,LOOKUP(Tabla22[[#This Row],[Product2]],$R$18:$R$23,$T$18:$T$23)*Tabla22[[#This Row],[Base price2]]*Tabla22[[#This Row],[Req.2]]*Tabla22[[#This Row],[QualityBonus]],0)</f>
        <v>0</v>
      </c>
      <c r="M25" s="74">
        <f>IFERROR((Tabla22[[#This Row],[Base price1]]-LOOKUP(Tabla22[[#This Row],[Product]],$R$18:$R$23,$S$18:$S$23))*Tabla22[[#This Row],[Req.]],0)</f>
        <v>10463</v>
      </c>
      <c r="N25" s="71">
        <f>IF(Tabla22[[#This Row],[Req.2]]&gt;0,(Tabla22[[#This Row],[Base price2]]-LOOKUP(Tabla22[[#This Row],[Product2]],$R$18:$R$23,$S$18:$S$23))*Tabla22[[#This Row],[Req.2]],0)</f>
        <v>0</v>
      </c>
      <c r="O25" s="74">
        <f>SUM(Tabla22[[#This Row],[Bonus1]:[p2]])</f>
        <v>19645.061000000002</v>
      </c>
      <c r="P25" s="71">
        <f>IF(Tabla22[[#This Row],[QualityBonus]]&gt;0,Tabla22[[#This Row],[No wages]]-$C$4,"")</f>
        <v>-18930.783955952378</v>
      </c>
      <c r="R25" s="45"/>
      <c r="S25" s="45"/>
      <c r="T25" s="45"/>
      <c r="U25" s="45"/>
      <c r="V25" s="45"/>
    </row>
    <row r="26" spans="1:22" x14ac:dyDescent="0.25">
      <c r="A26" s="13">
        <v>10</v>
      </c>
      <c r="B26" s="13" t="s">
        <v>13</v>
      </c>
      <c r="C26" s="36">
        <v>1.35E-2</v>
      </c>
      <c r="D26" s="2" t="s">
        <v>54</v>
      </c>
      <c r="E26" s="71">
        <v>63155</v>
      </c>
      <c r="F26" s="4">
        <v>1</v>
      </c>
      <c r="G26" s="2" t="s">
        <v>52</v>
      </c>
      <c r="H26" s="71">
        <v>121803</v>
      </c>
      <c r="I26" s="4">
        <v>2</v>
      </c>
      <c r="J26" s="74">
        <f>Tabla22[[#This Row],[Base price1]]*Tabla22[[#This Row],[Req.]]+Tabla22[[#This Row],[Base price2]]*Tabla22[[#This Row],[Req.2]]</f>
        <v>306761</v>
      </c>
      <c r="K26" s="71">
        <f>IFERROR(LOOKUP(Tabla22[[#This Row],[Product]],$R$18:$R$23,$T$18:$T$23)*Tabla22[[#This Row],[QualityBonus]]*Tabla22[[#This Row],[Base price1]]*Tabla22[[#This Row],[Req.]],0)</f>
        <v>4262.9625000000005</v>
      </c>
      <c r="L26" s="71">
        <f>IF(Tabla22[[#This Row],[Req.2]]&gt;0,LOOKUP(Tabla22[[#This Row],[Product2]],$R$18:$R$23,$T$18:$T$23)*Tabla22[[#This Row],[Base price2]]*Tabla22[[#This Row],[Req.2]]*Tabla22[[#This Row],[QualityBonus]],0)</f>
        <v>16443.404999999999</v>
      </c>
      <c r="M26" s="74">
        <f>IFERROR((Tabla22[[#This Row],[Base price1]]-LOOKUP(Tabla22[[#This Row],[Product]],$R$18:$R$23,$S$18:$S$23))*Tabla22[[#This Row],[Req.]],0)</f>
        <v>11155</v>
      </c>
      <c r="N26" s="71">
        <f>IF(Tabla22[[#This Row],[Req.2]]&gt;0,(Tabla22[[#This Row],[Base price2]]-LOOKUP(Tabla22[[#This Row],[Product2]],$R$18:$R$23,$S$18:$S$23))*Tabla22[[#This Row],[Req.2]],0)</f>
        <v>19606</v>
      </c>
      <c r="O26" s="74">
        <f>SUM(Tabla22[[#This Row],[Bonus1]:[p2]])</f>
        <v>51467.3675</v>
      </c>
      <c r="P26" s="71">
        <f>IF(Tabla22[[#This Row],[QualityBonus]]&gt;0,Tabla22[[#This Row],[No wages]]-$C$4,"")</f>
        <v>12891.522544047621</v>
      </c>
      <c r="R26" s="45"/>
      <c r="S26" s="45"/>
      <c r="T26" s="45"/>
      <c r="U26" s="45"/>
      <c r="V26" s="45"/>
    </row>
    <row r="27" spans="1:22" x14ac:dyDescent="0.25">
      <c r="A27" s="13">
        <v>11</v>
      </c>
      <c r="B27" s="13" t="s">
        <v>13</v>
      </c>
      <c r="C27" s="36">
        <v>1.9599999999999999E-2</v>
      </c>
      <c r="D27" s="2" t="s">
        <v>52</v>
      </c>
      <c r="E27" s="71">
        <v>122297</v>
      </c>
      <c r="F27" s="4">
        <v>2</v>
      </c>
      <c r="G27" s="2" t="s">
        <v>54</v>
      </c>
      <c r="H27" s="71">
        <v>62060</v>
      </c>
      <c r="I27" s="4">
        <v>1</v>
      </c>
      <c r="J27" s="74">
        <f>Tabla22[[#This Row],[Base price1]]*Tabla22[[#This Row],[Req.]]+Tabla22[[#This Row],[Base price2]]*Tabla22[[#This Row],[Req.2]]</f>
        <v>306654</v>
      </c>
      <c r="K27" s="71">
        <f>IFERROR(LOOKUP(Tabla22[[#This Row],[Product]],$R$18:$R$23,$T$18:$T$23)*Tabla22[[#This Row],[QualityBonus]]*Tabla22[[#This Row],[Base price1]]*Tabla22[[#This Row],[Req.]],0)</f>
        <v>23970.212</v>
      </c>
      <c r="L27" s="71">
        <f>IF(Tabla22[[#This Row],[Req.2]]&gt;0,LOOKUP(Tabla22[[#This Row],[Product2]],$R$18:$R$23,$T$18:$T$23)*Tabla22[[#This Row],[Base price2]]*Tabla22[[#This Row],[Req.2]]*Tabla22[[#This Row],[QualityBonus]],0)</f>
        <v>6081.88</v>
      </c>
      <c r="M27" s="74">
        <f>IFERROR((Tabla22[[#This Row],[Base price1]]-LOOKUP(Tabla22[[#This Row],[Product]],$R$18:$R$23,$S$18:$S$23))*Tabla22[[#This Row],[Req.]],0)</f>
        <v>20594</v>
      </c>
      <c r="N27" s="71">
        <f>IF(Tabla22[[#This Row],[Req.2]]&gt;0,(Tabla22[[#This Row],[Base price2]]-LOOKUP(Tabla22[[#This Row],[Product2]],$R$18:$R$23,$S$18:$S$23))*Tabla22[[#This Row],[Req.2]],0)</f>
        <v>10060</v>
      </c>
      <c r="O27" s="74">
        <f>SUM(Tabla22[[#This Row],[Bonus1]:[p2]])</f>
        <v>60706.092000000004</v>
      </c>
      <c r="P27" s="71">
        <f>IF(Tabla22[[#This Row],[QualityBonus]]&gt;0,Tabla22[[#This Row],[No wages]]-$C$4,"")</f>
        <v>22130.247044047625</v>
      </c>
      <c r="R27" s="45"/>
      <c r="S27" s="45"/>
      <c r="T27" s="45"/>
      <c r="U27" s="45"/>
      <c r="V27" s="45"/>
    </row>
    <row r="28" spans="1:22" x14ac:dyDescent="0.25">
      <c r="A28" s="13">
        <v>12</v>
      </c>
      <c r="B28" s="13" t="s">
        <v>13</v>
      </c>
      <c r="C28" s="36">
        <v>2.01E-2</v>
      </c>
      <c r="D28" s="2" t="s">
        <v>53</v>
      </c>
      <c r="E28" s="71">
        <v>42060</v>
      </c>
      <c r="F28" s="4">
        <v>2</v>
      </c>
      <c r="G28" s="2"/>
      <c r="H28" s="71"/>
      <c r="I28" s="4"/>
      <c r="J28" s="74">
        <f>Tabla22[[#This Row],[Base price1]]*Tabla22[[#This Row],[Req.]]+Tabla22[[#This Row],[Base price2]]*Tabla22[[#This Row],[Req.2]]</f>
        <v>84120</v>
      </c>
      <c r="K28" s="71">
        <f>IFERROR(LOOKUP(Tabla22[[#This Row],[Product]],$R$18:$R$23,$T$18:$T$23)*Tabla22[[#This Row],[QualityBonus]]*Tabla22[[#This Row],[Base price1]]*Tabla22[[#This Row],[Req.]],0)</f>
        <v>6763.2479999999996</v>
      </c>
      <c r="L28" s="71">
        <f>IF(Tabla22[[#This Row],[Req.2]]&gt;0,LOOKUP(Tabla22[[#This Row],[Product2]],$R$18:$R$23,$T$18:$T$23)*Tabla22[[#This Row],[Base price2]]*Tabla22[[#This Row],[Req.2]]*Tabla22[[#This Row],[QualityBonus]],0)</f>
        <v>0</v>
      </c>
      <c r="M28" s="74">
        <f>IFERROR((Tabla22[[#This Row],[Base price1]]-LOOKUP(Tabla22[[#This Row],[Product]],$R$18:$R$23,$S$18:$S$23))*Tabla22[[#This Row],[Req.]],0)</f>
        <v>16520</v>
      </c>
      <c r="N28" s="71">
        <f>IF(Tabla22[[#This Row],[Req.2]]&gt;0,(Tabla22[[#This Row],[Base price2]]-LOOKUP(Tabla22[[#This Row],[Product2]],$R$18:$R$23,$S$18:$S$23))*Tabla22[[#This Row],[Req.2]],0)</f>
        <v>0</v>
      </c>
      <c r="O28" s="74">
        <f>SUM(Tabla22[[#This Row],[Bonus1]:[p2]])</f>
        <v>23283.248</v>
      </c>
      <c r="P28" s="71">
        <f>IF(Tabla22[[#This Row],[QualityBonus]]&gt;0,Tabla22[[#This Row],[No wages]]-$C$4,"")</f>
        <v>-15292.59695595238</v>
      </c>
      <c r="R28" s="45"/>
      <c r="S28" s="45"/>
      <c r="T28" s="45"/>
      <c r="U28" s="45"/>
      <c r="V28" s="45"/>
    </row>
    <row r="29" spans="1:22" x14ac:dyDescent="0.25">
      <c r="A29" s="24">
        <v>13</v>
      </c>
      <c r="B29" s="24" t="s">
        <v>13</v>
      </c>
      <c r="C29" s="44">
        <v>1.23E-2</v>
      </c>
      <c r="D29" s="37" t="s">
        <v>57</v>
      </c>
      <c r="E29" s="72">
        <v>82625</v>
      </c>
      <c r="F29" s="39">
        <v>4</v>
      </c>
      <c r="G29" s="37" t="s">
        <v>54</v>
      </c>
      <c r="H29" s="72">
        <v>60733</v>
      </c>
      <c r="I29" s="39">
        <v>3</v>
      </c>
      <c r="J29" s="75">
        <f>Tabla22[[#This Row],[Base price1]]*Tabla22[[#This Row],[Req.]]+Tabla22[[#This Row],[Base price2]]*Tabla22[[#This Row],[Req.2]]</f>
        <v>512699</v>
      </c>
      <c r="K29" s="72">
        <f>IFERROR(LOOKUP(Tabla22[[#This Row],[Product]],$R$18:$R$23,$T$18:$T$23)*Tabla22[[#This Row],[QualityBonus]]*Tabla22[[#This Row],[Base price1]]*Tabla22[[#This Row],[Req.]],0)</f>
        <v>16260.6</v>
      </c>
      <c r="L29" s="72">
        <f>IF(Tabla22[[#This Row],[Req.2]]&gt;0,LOOKUP(Tabla22[[#This Row],[Product2]],$R$18:$R$23,$T$18:$T$23)*Tabla22[[#This Row],[Base price2]]*Tabla22[[#This Row],[Req.2]]*Tabla22[[#This Row],[QualityBonus]],0)</f>
        <v>11205.238499999999</v>
      </c>
      <c r="M29" s="75">
        <f>IFERROR((Tabla22[[#This Row],[Base price1]]-LOOKUP(Tabla22[[#This Row],[Product]],$R$18:$R$23,$S$18:$S$23))*Tabla22[[#This Row],[Req.]],0)</f>
        <v>16500</v>
      </c>
      <c r="N29" s="72">
        <f>IF(Tabla22[[#This Row],[Req.2]]&gt;0,(Tabla22[[#This Row],[Base price2]]-LOOKUP(Tabla22[[#This Row],[Product2]],$R$18:$R$23,$S$18:$S$23))*Tabla22[[#This Row],[Req.2]],0)</f>
        <v>26199</v>
      </c>
      <c r="O29" s="75">
        <f>SUM(Tabla22[[#This Row],[Bonus1]:[p2]])</f>
        <v>70164.838499999998</v>
      </c>
      <c r="P29" s="72">
        <f>IF(Tabla22[[#This Row],[QualityBonus]]&gt;0,Tabla22[[#This Row],[No wages]]-$C$4,"")</f>
        <v>31588.993544047618</v>
      </c>
      <c r="R29" s="45"/>
      <c r="S29" s="45"/>
      <c r="T29" s="45"/>
      <c r="U29" s="45"/>
      <c r="V29" s="45"/>
    </row>
    <row r="30" spans="1:22" x14ac:dyDescent="0.25">
      <c r="A30" s="13">
        <v>14</v>
      </c>
      <c r="B30" s="13" t="s">
        <v>13</v>
      </c>
      <c r="C30" s="36">
        <v>2.4E-2</v>
      </c>
      <c r="D30" s="2" t="s">
        <v>52</v>
      </c>
      <c r="E30" s="71">
        <v>122928</v>
      </c>
      <c r="F30" s="4">
        <v>4</v>
      </c>
      <c r="G30" s="2" t="s">
        <v>57</v>
      </c>
      <c r="H30" s="71">
        <v>84564</v>
      </c>
      <c r="I30" s="4">
        <v>2</v>
      </c>
      <c r="J30" s="74">
        <f>Tabla22[[#This Row],[Base price1]]*Tabla22[[#This Row],[Req.]]+Tabla22[[#This Row],[Base price2]]*Tabla22[[#This Row],[Req.2]]</f>
        <v>660840</v>
      </c>
      <c r="K30" s="71">
        <f>IFERROR(LOOKUP(Tabla22[[#This Row],[Product]],$R$18:$R$23,$T$18:$T$23)*Tabla22[[#This Row],[QualityBonus]]*Tabla22[[#This Row],[Base price1]]*Tabla22[[#This Row],[Req.]],0)</f>
        <v>59005.439999999995</v>
      </c>
      <c r="L30" s="71">
        <f>IF(Tabla22[[#This Row],[Req.2]]&gt;0,LOOKUP(Tabla22[[#This Row],[Product2]],$R$18:$R$23,$T$18:$T$23)*Tabla22[[#This Row],[Base price2]]*Tabla22[[#This Row],[Req.2]]*Tabla22[[#This Row],[QualityBonus]],0)</f>
        <v>16236.288</v>
      </c>
      <c r="M30" s="74">
        <f>IFERROR((Tabla22[[#This Row],[Base price1]]-LOOKUP(Tabla22[[#This Row],[Product]],$R$18:$R$23,$S$18:$S$23))*Tabla22[[#This Row],[Req.]],0)</f>
        <v>43712</v>
      </c>
      <c r="N30" s="71">
        <f>IF(Tabla22[[#This Row],[Req.2]]&gt;0,(Tabla22[[#This Row],[Base price2]]-LOOKUP(Tabla22[[#This Row],[Product2]],$R$18:$R$23,$S$18:$S$23))*Tabla22[[#This Row],[Req.2]],0)</f>
        <v>12128</v>
      </c>
      <c r="O30" s="74">
        <f>SUM(Tabla22[[#This Row],[Bonus1]:[p2]])</f>
        <v>131081.728</v>
      </c>
      <c r="P30" s="71">
        <f>IF(Tabla22[[#This Row],[QualityBonus]]&gt;0,Tabla22[[#This Row],[No wages]]-$C$4,"")</f>
        <v>92505.88304404763</v>
      </c>
      <c r="R30" s="45"/>
      <c r="S30" s="45"/>
      <c r="T30" s="45"/>
      <c r="U30" s="45"/>
      <c r="V30" s="45"/>
    </row>
    <row r="31" spans="1:22" x14ac:dyDescent="0.25">
      <c r="A31" s="13">
        <v>15</v>
      </c>
      <c r="B31" s="13" t="s">
        <v>13</v>
      </c>
      <c r="C31" s="36">
        <v>1.3299999999999999E-2</v>
      </c>
      <c r="D31" s="2" t="s">
        <v>53</v>
      </c>
      <c r="E31" s="71">
        <v>41066</v>
      </c>
      <c r="F31" s="4">
        <v>2</v>
      </c>
      <c r="G31" s="2" t="s">
        <v>54</v>
      </c>
      <c r="H31" s="71">
        <v>59787</v>
      </c>
      <c r="I31" s="4">
        <v>1</v>
      </c>
      <c r="J31" s="74">
        <f>Tabla22[[#This Row],[Base price1]]*Tabla22[[#This Row],[Req.]]+Tabla22[[#This Row],[Base price2]]*Tabla22[[#This Row],[Req.2]]</f>
        <v>141919</v>
      </c>
      <c r="K31" s="71">
        <f>IFERROR(LOOKUP(Tabla22[[#This Row],[Product]],$R$18:$R$23,$T$18:$T$23)*Tabla22[[#This Row],[QualityBonus]]*Tabla22[[#This Row],[Base price1]]*Tabla22[[#This Row],[Req.]],0)</f>
        <v>4369.4223999999995</v>
      </c>
      <c r="L31" s="71">
        <f>IF(Tabla22[[#This Row],[Req.2]]&gt;0,LOOKUP(Tabla22[[#This Row],[Product2]],$R$18:$R$23,$T$18:$T$23)*Tabla22[[#This Row],[Base price2]]*Tabla22[[#This Row],[Req.2]]*Tabla22[[#This Row],[QualityBonus]],0)</f>
        <v>3975.8354999999997</v>
      </c>
      <c r="M31" s="74">
        <f>IFERROR((Tabla22[[#This Row],[Base price1]]-LOOKUP(Tabla22[[#This Row],[Product]],$R$18:$R$23,$S$18:$S$23))*Tabla22[[#This Row],[Req.]],0)</f>
        <v>14532</v>
      </c>
      <c r="N31" s="71">
        <f>IF(Tabla22[[#This Row],[Req.2]]&gt;0,(Tabla22[[#This Row],[Base price2]]-LOOKUP(Tabla22[[#This Row],[Product2]],$R$18:$R$23,$S$18:$S$23))*Tabla22[[#This Row],[Req.2]],0)</f>
        <v>7787</v>
      </c>
      <c r="O31" s="74">
        <f>SUM(Tabla22[[#This Row],[Bonus1]:[p2]])</f>
        <v>30664.257899999997</v>
      </c>
      <c r="P31" s="71">
        <f>IF(Tabla22[[#This Row],[QualityBonus]]&gt;0,Tabla22[[#This Row],[No wages]]-$C$4,"")</f>
        <v>-7911.5870559523828</v>
      </c>
      <c r="R31" s="45"/>
      <c r="S31" s="45"/>
      <c r="T31" s="45"/>
      <c r="U31" s="45"/>
      <c r="V31" s="45"/>
    </row>
    <row r="32" spans="1:22" x14ac:dyDescent="0.25">
      <c r="A32" s="13">
        <v>16</v>
      </c>
      <c r="B32" s="13" t="s">
        <v>13</v>
      </c>
      <c r="C32" s="36">
        <v>1.9099999999999999E-2</v>
      </c>
      <c r="D32" s="2" t="s">
        <v>53</v>
      </c>
      <c r="E32" s="71">
        <v>40811</v>
      </c>
      <c r="F32" s="4">
        <v>5</v>
      </c>
      <c r="G32" s="2" t="s">
        <v>52</v>
      </c>
      <c r="H32" s="71">
        <v>119896</v>
      </c>
      <c r="I32" s="4">
        <v>2</v>
      </c>
      <c r="J32" s="74">
        <f>Tabla22[[#This Row],[Base price1]]*Tabla22[[#This Row],[Req.]]+Tabla22[[#This Row],[Base price2]]*Tabla22[[#This Row],[Req.2]]</f>
        <v>443847</v>
      </c>
      <c r="K32" s="71">
        <f>IFERROR(LOOKUP(Tabla22[[#This Row],[Product]],$R$18:$R$23,$T$18:$T$23)*Tabla22[[#This Row],[QualityBonus]]*Tabla22[[#This Row],[Base price1]]*Tabla22[[#This Row],[Req.]],0)</f>
        <v>15589.802</v>
      </c>
      <c r="L32" s="71">
        <f>IF(Tabla22[[#This Row],[Req.2]]&gt;0,LOOKUP(Tabla22[[#This Row],[Product2]],$R$18:$R$23,$T$18:$T$23)*Tabla22[[#This Row],[Base price2]]*Tabla22[[#This Row],[Req.2]]*Tabla22[[#This Row],[QualityBonus]],0)</f>
        <v>22900.135999999999</v>
      </c>
      <c r="M32" s="74">
        <f>IFERROR((Tabla22[[#This Row],[Base price1]]-LOOKUP(Tabla22[[#This Row],[Product]],$R$18:$R$23,$S$18:$S$23))*Tabla22[[#This Row],[Req.]],0)</f>
        <v>35055</v>
      </c>
      <c r="N32" s="71">
        <f>IF(Tabla22[[#This Row],[Req.2]]&gt;0,(Tabla22[[#This Row],[Base price2]]-LOOKUP(Tabla22[[#This Row],[Product2]],$R$18:$R$23,$S$18:$S$23))*Tabla22[[#This Row],[Req.2]],0)</f>
        <v>15792</v>
      </c>
      <c r="O32" s="74">
        <f>SUM(Tabla22[[#This Row],[Bonus1]:[p2]])</f>
        <v>89336.937999999995</v>
      </c>
      <c r="P32" s="71">
        <f>IF(Tabla22[[#This Row],[QualityBonus]]&gt;0,Tabla22[[#This Row],[No wages]]-$C$4,"")</f>
        <v>50761.093044047615</v>
      </c>
      <c r="R32" s="45"/>
      <c r="S32" s="45"/>
      <c r="T32" s="45"/>
      <c r="U32" s="45"/>
      <c r="V32" s="45"/>
    </row>
    <row r="33" spans="1:22" x14ac:dyDescent="0.25">
      <c r="A33" s="13">
        <v>17</v>
      </c>
      <c r="B33" s="13" t="s">
        <v>13</v>
      </c>
      <c r="C33" s="36">
        <v>2.53E-2</v>
      </c>
      <c r="D33" s="2" t="s">
        <v>52</v>
      </c>
      <c r="E33" s="71">
        <v>122798</v>
      </c>
      <c r="F33" s="4">
        <v>1</v>
      </c>
      <c r="G33" s="2" t="s">
        <v>54</v>
      </c>
      <c r="H33" s="71">
        <v>61610</v>
      </c>
      <c r="I33" s="4">
        <v>1</v>
      </c>
      <c r="J33" s="74">
        <f>Tabla22[[#This Row],[Base price1]]*Tabla22[[#This Row],[Req.]]+Tabla22[[#This Row],[Base price2]]*Tabla22[[#This Row],[Req.2]]</f>
        <v>184408</v>
      </c>
      <c r="K33" s="71">
        <f>IFERROR(LOOKUP(Tabla22[[#This Row],[Product]],$R$18:$R$23,$T$18:$T$23)*Tabla22[[#This Row],[QualityBonus]]*Tabla22[[#This Row],[Base price1]]*Tabla22[[#This Row],[Req.]],0)</f>
        <v>15533.947</v>
      </c>
      <c r="L33" s="71">
        <f>IF(Tabla22[[#This Row],[Req.2]]&gt;0,LOOKUP(Tabla22[[#This Row],[Product2]],$R$18:$R$23,$T$18:$T$23)*Tabla22[[#This Row],[Base price2]]*Tabla22[[#This Row],[Req.2]]*Tabla22[[#This Row],[QualityBonus]],0)</f>
        <v>7793.665</v>
      </c>
      <c r="M33" s="74">
        <f>IFERROR((Tabla22[[#This Row],[Base price1]]-LOOKUP(Tabla22[[#This Row],[Product]],$R$18:$R$23,$S$18:$S$23))*Tabla22[[#This Row],[Req.]],0)</f>
        <v>10798</v>
      </c>
      <c r="N33" s="71">
        <f>IF(Tabla22[[#This Row],[Req.2]]&gt;0,(Tabla22[[#This Row],[Base price2]]-LOOKUP(Tabla22[[#This Row],[Product2]],$R$18:$R$23,$S$18:$S$23))*Tabla22[[#This Row],[Req.2]],0)</f>
        <v>9610</v>
      </c>
      <c r="O33" s="74">
        <f>SUM(Tabla22[[#This Row],[Bonus1]:[p2]])</f>
        <v>43735.612000000001</v>
      </c>
      <c r="P33" s="71">
        <f>IF(Tabla22[[#This Row],[QualityBonus]]&gt;0,Tabla22[[#This Row],[No wages]]-$C$4,"")</f>
        <v>5159.7670440476213</v>
      </c>
      <c r="S33" s="45"/>
      <c r="T33" s="45"/>
      <c r="U33" s="45"/>
      <c r="V33" s="45"/>
    </row>
    <row r="34" spans="1:22" x14ac:dyDescent="0.25">
      <c r="A34" s="13">
        <v>18</v>
      </c>
      <c r="B34" s="13" t="s">
        <v>13</v>
      </c>
      <c r="C34" s="36">
        <v>1.4800000000000001E-2</v>
      </c>
      <c r="D34" s="2" t="s">
        <v>55</v>
      </c>
      <c r="E34" s="71">
        <v>86511</v>
      </c>
      <c r="F34" s="4">
        <v>2</v>
      </c>
      <c r="G34" s="2" t="s">
        <v>52</v>
      </c>
      <c r="H34" s="71">
        <v>117824</v>
      </c>
      <c r="I34" s="4">
        <v>3</v>
      </c>
      <c r="J34" s="74">
        <f>Tabla22[[#This Row],[Base price1]]*Tabla22[[#This Row],[Req.]]+Tabla22[[#This Row],[Base price2]]*Tabla22[[#This Row],[Req.2]]</f>
        <v>526494</v>
      </c>
      <c r="K34" s="71">
        <f>IFERROR(LOOKUP(Tabla22[[#This Row],[Product]],$R$18:$R$23,$T$18:$T$23)*Tabla22[[#This Row],[QualityBonus]]*Tabla22[[#This Row],[Base price1]]*Tabla22[[#This Row],[Req.]],0)</f>
        <v>10242.902400000001</v>
      </c>
      <c r="L34" s="71">
        <f>IF(Tabla22[[#This Row],[Req.2]]&gt;0,LOOKUP(Tabla22[[#This Row],[Product2]],$R$18:$R$23,$T$18:$T$23)*Tabla22[[#This Row],[Base price2]]*Tabla22[[#This Row],[Req.2]]*Tabla22[[#This Row],[QualityBonus]],0)</f>
        <v>26156.928</v>
      </c>
      <c r="M34" s="74">
        <f>IFERROR((Tabla22[[#This Row],[Base price1]]-LOOKUP(Tabla22[[#This Row],[Product]],$R$18:$R$23,$S$18:$S$23))*Tabla22[[#This Row],[Req.]],0)</f>
        <v>16022</v>
      </c>
      <c r="N34" s="71">
        <f>IF(Tabla22[[#This Row],[Req.2]]&gt;0,(Tabla22[[#This Row],[Base price2]]-LOOKUP(Tabla22[[#This Row],[Product2]],$R$18:$R$23,$S$18:$S$23))*Tabla22[[#This Row],[Req.2]],0)</f>
        <v>17472</v>
      </c>
      <c r="O34" s="74">
        <f>SUM(Tabla22[[#This Row],[Bonus1]:[p2]])</f>
        <v>69893.830400000006</v>
      </c>
      <c r="P34" s="71">
        <f>IF(Tabla22[[#This Row],[QualityBonus]]&gt;0,Tabla22[[#This Row],[No wages]]-$C$4,"")</f>
        <v>31317.985444047627</v>
      </c>
      <c r="S34" s="45"/>
      <c r="T34" s="45"/>
      <c r="U34" s="45"/>
      <c r="V34" s="45"/>
    </row>
    <row r="35" spans="1:22" x14ac:dyDescent="0.25">
      <c r="A35" s="13">
        <v>19</v>
      </c>
      <c r="B35" s="13" t="s">
        <v>13</v>
      </c>
      <c r="C35" s="36">
        <v>2.3300000000000001E-2</v>
      </c>
      <c r="D35" s="2" t="s">
        <v>53</v>
      </c>
      <c r="E35" s="71">
        <v>41738</v>
      </c>
      <c r="F35" s="4">
        <v>4</v>
      </c>
      <c r="G35" s="2" t="s">
        <v>52</v>
      </c>
      <c r="H35" s="71">
        <v>119747</v>
      </c>
      <c r="I35" s="4">
        <v>1</v>
      </c>
      <c r="J35" s="74">
        <f>Tabla22[[#This Row],[Base price1]]*Tabla22[[#This Row],[Req.]]+Tabla22[[#This Row],[Base price2]]*Tabla22[[#This Row],[Req.2]]</f>
        <v>286699</v>
      </c>
      <c r="K35" s="71">
        <f>IFERROR(LOOKUP(Tabla22[[#This Row],[Product]],$R$18:$R$23,$T$18:$T$23)*Tabla22[[#This Row],[QualityBonus]]*Tabla22[[#This Row],[Base price1]]*Tabla22[[#This Row],[Req.]],0)</f>
        <v>15559.9264</v>
      </c>
      <c r="L35" s="71">
        <f>IF(Tabla22[[#This Row],[Req.2]]&gt;0,LOOKUP(Tabla22[[#This Row],[Product2]],$R$18:$R$23,$T$18:$T$23)*Tabla22[[#This Row],[Base price2]]*Tabla22[[#This Row],[Req.2]]*Tabla22[[#This Row],[QualityBonus]],0)</f>
        <v>13950.525500000002</v>
      </c>
      <c r="M35" s="74">
        <f>IFERROR((Tabla22[[#This Row],[Base price1]]-LOOKUP(Tabla22[[#This Row],[Product]],$R$18:$R$23,$S$18:$S$23))*Tabla22[[#This Row],[Req.]],0)</f>
        <v>31752</v>
      </c>
      <c r="N35" s="71">
        <f>IF(Tabla22[[#This Row],[Req.2]]&gt;0,(Tabla22[[#This Row],[Base price2]]-LOOKUP(Tabla22[[#This Row],[Product2]],$R$18:$R$23,$S$18:$S$23))*Tabla22[[#This Row],[Req.2]],0)</f>
        <v>7747</v>
      </c>
      <c r="O35" s="74">
        <f>SUM(Tabla22[[#This Row],[Bonus1]:[p2]])</f>
        <v>69009.4519</v>
      </c>
      <c r="P35" s="71">
        <f>IF(Tabla22[[#This Row],[QualityBonus]]&gt;0,Tabla22[[#This Row],[No wages]]-$C$4,"")</f>
        <v>30433.60694404762</v>
      </c>
      <c r="S35" s="45"/>
      <c r="T35" s="45"/>
      <c r="U35" s="45"/>
      <c r="V35" s="45"/>
    </row>
    <row r="36" spans="1:22" x14ac:dyDescent="0.25">
      <c r="A36" s="13">
        <v>20</v>
      </c>
      <c r="B36" s="13" t="s">
        <v>13</v>
      </c>
      <c r="C36" s="36">
        <v>2.07E-2</v>
      </c>
      <c r="D36" s="2" t="s">
        <v>53</v>
      </c>
      <c r="E36" s="71">
        <v>41925</v>
      </c>
      <c r="F36" s="4">
        <v>5</v>
      </c>
      <c r="G36" s="2" t="s">
        <v>54</v>
      </c>
      <c r="H36" s="71">
        <v>60640</v>
      </c>
      <c r="I36" s="4">
        <v>2</v>
      </c>
      <c r="J36" s="74">
        <f>Tabla22[[#This Row],[Base price1]]*Tabla22[[#This Row],[Req.]]+Tabla22[[#This Row],[Base price2]]*Tabla22[[#This Row],[Req.2]]</f>
        <v>330905</v>
      </c>
      <c r="K36" s="71">
        <f>IFERROR(LOOKUP(Tabla22[[#This Row],[Product]],$R$18:$R$23,$T$18:$T$23)*Tabla22[[#This Row],[QualityBonus]]*Tabla22[[#This Row],[Base price1]]*Tabla22[[#This Row],[Req.]],0)</f>
        <v>17356.95</v>
      </c>
      <c r="L36" s="71">
        <f>IF(Tabla22[[#This Row],[Req.2]]&gt;0,LOOKUP(Tabla22[[#This Row],[Product2]],$R$18:$R$23,$T$18:$T$23)*Tabla22[[#This Row],[Base price2]]*Tabla22[[#This Row],[Req.2]]*Tabla22[[#This Row],[QualityBonus]],0)</f>
        <v>12552.48</v>
      </c>
      <c r="M36" s="74">
        <f>IFERROR((Tabla22[[#This Row],[Base price1]]-LOOKUP(Tabla22[[#This Row],[Product]],$R$18:$R$23,$S$18:$S$23))*Tabla22[[#This Row],[Req.]],0)</f>
        <v>40625</v>
      </c>
      <c r="N36" s="71">
        <f>IF(Tabla22[[#This Row],[Req.2]]&gt;0,(Tabla22[[#This Row],[Base price2]]-LOOKUP(Tabla22[[#This Row],[Product2]],$R$18:$R$23,$S$18:$S$23))*Tabla22[[#This Row],[Req.2]],0)</f>
        <v>17280</v>
      </c>
      <c r="O36" s="74">
        <f>SUM(Tabla22[[#This Row],[Bonus1]:[p2]])</f>
        <v>87814.43</v>
      </c>
      <c r="P36" s="71">
        <f>IF(Tabla22[[#This Row],[QualityBonus]]&gt;0,Tabla22[[#This Row],[No wages]]-$C$4,"")</f>
        <v>49238.585044047613</v>
      </c>
      <c r="S36" s="45"/>
      <c r="T36" s="45"/>
      <c r="U36" s="45"/>
      <c r="V36" s="45"/>
    </row>
    <row r="37" spans="1:22" x14ac:dyDescent="0.25">
      <c r="A37" s="24">
        <v>21</v>
      </c>
      <c r="B37" s="24" t="s">
        <v>13</v>
      </c>
      <c r="C37" s="44">
        <v>2.7E-2</v>
      </c>
      <c r="D37" s="37" t="s">
        <v>55</v>
      </c>
      <c r="E37" s="72">
        <v>83391</v>
      </c>
      <c r="F37" s="39">
        <v>1</v>
      </c>
      <c r="G37" s="37" t="s">
        <v>54</v>
      </c>
      <c r="H37" s="72">
        <v>63078</v>
      </c>
      <c r="I37" s="39">
        <v>3</v>
      </c>
      <c r="J37" s="75">
        <f>Tabla22[[#This Row],[Base price1]]*Tabla22[[#This Row],[Req.]]+Tabla22[[#This Row],[Base price2]]*Tabla22[[#This Row],[Req.2]]</f>
        <v>272625</v>
      </c>
      <c r="K37" s="72">
        <f>IFERROR(LOOKUP(Tabla22[[#This Row],[Product]],$R$18:$R$23,$T$18:$T$23)*Tabla22[[#This Row],[QualityBonus]]*Tabla22[[#This Row],[Base price1]]*Tabla22[[#This Row],[Req.]],0)</f>
        <v>9006.2279999999992</v>
      </c>
      <c r="L37" s="72">
        <f>IF(Tabla22[[#This Row],[Req.2]]&gt;0,LOOKUP(Tabla22[[#This Row],[Product2]],$R$18:$R$23,$T$18:$T$23)*Tabla22[[#This Row],[Base price2]]*Tabla22[[#This Row],[Req.2]]*Tabla22[[#This Row],[QualityBonus]],0)</f>
        <v>25546.59</v>
      </c>
      <c r="M37" s="75">
        <f>IFERROR((Tabla22[[#This Row],[Base price1]]-LOOKUP(Tabla22[[#This Row],[Product]],$R$18:$R$23,$S$18:$S$23))*Tabla22[[#This Row],[Req.]],0)</f>
        <v>4891</v>
      </c>
      <c r="N37" s="72">
        <f>IF(Tabla22[[#This Row],[Req.2]]&gt;0,(Tabla22[[#This Row],[Base price2]]-LOOKUP(Tabla22[[#This Row],[Product2]],$R$18:$R$23,$S$18:$S$23))*Tabla22[[#This Row],[Req.2]],0)</f>
        <v>33234</v>
      </c>
      <c r="O37" s="75">
        <f>SUM(Tabla22[[#This Row],[Bonus1]:[p2]])</f>
        <v>72677.817999999999</v>
      </c>
      <c r="P37" s="72">
        <f>IF(Tabla22[[#This Row],[QualityBonus]]&gt;0,Tabla22[[#This Row],[No wages]]-$C$4,"")</f>
        <v>34101.97304404762</v>
      </c>
      <c r="S37" s="45"/>
      <c r="T37" s="45"/>
      <c r="U37" s="45"/>
      <c r="V37" s="45"/>
    </row>
    <row r="38" spans="1:22" x14ac:dyDescent="0.25">
      <c r="A38" s="13">
        <v>22</v>
      </c>
      <c r="B38" s="13" t="s">
        <v>13</v>
      </c>
      <c r="C38" s="36">
        <v>1.2800000000000001E-2</v>
      </c>
      <c r="D38" s="2" t="s">
        <v>54</v>
      </c>
      <c r="E38" s="71">
        <v>62248</v>
      </c>
      <c r="F38" s="4">
        <v>2</v>
      </c>
      <c r="G38" s="2" t="s">
        <v>53</v>
      </c>
      <c r="H38" s="71">
        <v>41091</v>
      </c>
      <c r="I38" s="4">
        <v>4</v>
      </c>
      <c r="J38" s="74">
        <f>Tabla22[[#This Row],[Base price1]]*Tabla22[[#This Row],[Req.]]+Tabla22[[#This Row],[Base price2]]*Tabla22[[#This Row],[Req.2]]</f>
        <v>288860</v>
      </c>
      <c r="K38" s="71">
        <f>IFERROR(LOOKUP(Tabla22[[#This Row],[Product]],$R$18:$R$23,$T$18:$T$23)*Tabla22[[#This Row],[QualityBonus]]*Tabla22[[#This Row],[Base price1]]*Tabla22[[#This Row],[Req.]],0)</f>
        <v>7967.7440000000006</v>
      </c>
      <c r="L38" s="71">
        <f>IF(Tabla22[[#This Row],[Req.2]]&gt;0,LOOKUP(Tabla22[[#This Row],[Product2]],$R$18:$R$23,$T$18:$T$23)*Tabla22[[#This Row],[Base price2]]*Tabla22[[#This Row],[Req.2]]*Tabla22[[#This Row],[QualityBonus]],0)</f>
        <v>8415.4367999999995</v>
      </c>
      <c r="M38" s="74">
        <f>IFERROR((Tabla22[[#This Row],[Base price1]]-LOOKUP(Tabla22[[#This Row],[Product]],$R$18:$R$23,$S$18:$S$23))*Tabla22[[#This Row],[Req.]],0)</f>
        <v>20496</v>
      </c>
      <c r="N38" s="71">
        <f>IF(Tabla22[[#This Row],[Req.2]]&gt;0,(Tabla22[[#This Row],[Base price2]]-LOOKUP(Tabla22[[#This Row],[Product2]],$R$18:$R$23,$S$18:$S$23))*Tabla22[[#This Row],[Req.2]],0)</f>
        <v>29164</v>
      </c>
      <c r="O38" s="74">
        <f>SUM(Tabla22[[#This Row],[Bonus1]:[p2]])</f>
        <v>66043.180800000002</v>
      </c>
      <c r="P38" s="71">
        <f>IF(Tabla22[[#This Row],[QualityBonus]]&gt;0,Tabla22[[#This Row],[No wages]]-$C$4,"")</f>
        <v>27467.335844047622</v>
      </c>
      <c r="S38" s="45"/>
      <c r="T38" s="45"/>
      <c r="U38" s="45"/>
      <c r="V38" s="45"/>
    </row>
    <row r="39" spans="1:22" x14ac:dyDescent="0.25">
      <c r="A39" s="13">
        <v>23</v>
      </c>
      <c r="B39" s="13" t="s">
        <v>13</v>
      </c>
      <c r="C39" s="36">
        <v>2.6599999999999999E-2</v>
      </c>
      <c r="D39" s="2" t="s">
        <v>54</v>
      </c>
      <c r="E39" s="71">
        <v>63084</v>
      </c>
      <c r="F39" s="4">
        <v>3</v>
      </c>
      <c r="G39" s="2" t="s">
        <v>53</v>
      </c>
      <c r="H39" s="71">
        <v>40499</v>
      </c>
      <c r="I39" s="4">
        <v>5</v>
      </c>
      <c r="J39" s="74">
        <f>Tabla22[[#This Row],[Base price1]]*Tabla22[[#This Row],[Req.]]+Tabla22[[#This Row],[Base price2]]*Tabla22[[#This Row],[Req.2]]</f>
        <v>391747</v>
      </c>
      <c r="K39" s="71">
        <f>IFERROR(LOOKUP(Tabla22[[#This Row],[Product]],$R$18:$R$23,$T$18:$T$23)*Tabla22[[#This Row],[QualityBonus]]*Tabla22[[#This Row],[Base price1]]*Tabla22[[#This Row],[Req.]],0)</f>
        <v>25170.516000000003</v>
      </c>
      <c r="L39" s="71">
        <f>IF(Tabla22[[#This Row],[Req.2]]&gt;0,LOOKUP(Tabla22[[#This Row],[Product2]],$R$18:$R$23,$T$18:$T$23)*Tabla22[[#This Row],[Base price2]]*Tabla22[[#This Row],[Req.2]]*Tabla22[[#This Row],[QualityBonus]],0)</f>
        <v>21545.467999999997</v>
      </c>
      <c r="M39" s="74">
        <f>IFERROR((Tabla22[[#This Row],[Base price1]]-LOOKUP(Tabla22[[#This Row],[Product]],$R$18:$R$23,$S$18:$S$23))*Tabla22[[#This Row],[Req.]],0)</f>
        <v>33252</v>
      </c>
      <c r="N39" s="71">
        <f>IF(Tabla22[[#This Row],[Req.2]]&gt;0,(Tabla22[[#This Row],[Base price2]]-LOOKUP(Tabla22[[#This Row],[Product2]],$R$18:$R$23,$S$18:$S$23))*Tabla22[[#This Row],[Req.2]],0)</f>
        <v>33495</v>
      </c>
      <c r="O39" s="74">
        <f>SUM(Tabla22[[#This Row],[Bonus1]:[p2]])</f>
        <v>113462.984</v>
      </c>
      <c r="P39" s="71">
        <f>IF(Tabla22[[#This Row],[QualityBonus]]&gt;0,Tabla22[[#This Row],[No wages]]-$C$4,"")</f>
        <v>74887.139044047624</v>
      </c>
    </row>
    <row r="40" spans="1:22" x14ac:dyDescent="0.25">
      <c r="A40" s="13">
        <v>24</v>
      </c>
      <c r="B40" s="13" t="s">
        <v>13</v>
      </c>
      <c r="C40" s="36">
        <v>2.3300000000000001E-2</v>
      </c>
      <c r="D40" s="2" t="s">
        <v>56</v>
      </c>
      <c r="E40" s="71">
        <v>226246</v>
      </c>
      <c r="F40" s="4">
        <v>2</v>
      </c>
      <c r="G40" s="2" t="s">
        <v>53</v>
      </c>
      <c r="H40" s="71">
        <v>40077</v>
      </c>
      <c r="I40" s="4">
        <v>5</v>
      </c>
      <c r="J40" s="74">
        <f>Tabla22[[#This Row],[Base price1]]*Tabla22[[#This Row],[Req.]]+Tabla22[[#This Row],[Base price2]]*Tabla22[[#This Row],[Req.2]]</f>
        <v>652877</v>
      </c>
      <c r="K40" s="71">
        <f>IFERROR(LOOKUP(Tabla22[[#This Row],[Product]],$R$18:$R$23,$T$18:$T$23)*Tabla22[[#This Row],[QualityBonus]]*Tabla22[[#This Row],[Base price1]]*Tabla22[[#This Row],[Req.]],0)</f>
        <v>42172.254400000005</v>
      </c>
      <c r="L40" s="71">
        <f>IF(Tabla22[[#This Row],[Req.2]]&gt;0,LOOKUP(Tabla22[[#This Row],[Product2]],$R$18:$R$23,$T$18:$T$23)*Tabla22[[#This Row],[Base price2]]*Tabla22[[#This Row],[Req.2]]*Tabla22[[#This Row],[QualityBonus]],0)</f>
        <v>18675.882000000001</v>
      </c>
      <c r="M40" s="74">
        <f>IFERROR((Tabla22[[#This Row],[Base price1]]-LOOKUP(Tabla22[[#This Row],[Product]],$R$18:$R$23,$S$18:$S$23))*Tabla22[[#This Row],[Req.]],0)</f>
        <v>10492</v>
      </c>
      <c r="N40" s="71">
        <f>IF(Tabla22[[#This Row],[Req.2]]&gt;0,(Tabla22[[#This Row],[Base price2]]-LOOKUP(Tabla22[[#This Row],[Product2]],$R$18:$R$23,$S$18:$S$23))*Tabla22[[#This Row],[Req.2]],0)</f>
        <v>31385</v>
      </c>
      <c r="O40" s="74">
        <f>SUM(Tabla22[[#This Row],[Bonus1]:[p2]])</f>
        <v>102725.1364</v>
      </c>
      <c r="P40" s="71">
        <f>IF(Tabla22[[#This Row],[QualityBonus]]&gt;0,Tabla22[[#This Row],[No wages]]-$C$4,"")</f>
        <v>64149.291444047623</v>
      </c>
    </row>
    <row r="41" spans="1:22" x14ac:dyDescent="0.25">
      <c r="A41" s="13">
        <v>25</v>
      </c>
      <c r="B41" s="13" t="s">
        <v>13</v>
      </c>
      <c r="C41" s="36">
        <v>2.6800000000000001E-2</v>
      </c>
      <c r="D41" s="2" t="s">
        <v>53</v>
      </c>
      <c r="E41" s="71">
        <v>42129</v>
      </c>
      <c r="F41" s="4">
        <v>3</v>
      </c>
      <c r="G41" s="2" t="s">
        <v>57</v>
      </c>
      <c r="H41" s="71">
        <v>84082</v>
      </c>
      <c r="I41" s="4">
        <v>3</v>
      </c>
      <c r="J41" s="74">
        <f>Tabla22[[#This Row],[Base price1]]*Tabla22[[#This Row],[Req.]]+Tabla22[[#This Row],[Base price2]]*Tabla22[[#This Row],[Req.2]]</f>
        <v>378633</v>
      </c>
      <c r="K41" s="71">
        <f>IFERROR(LOOKUP(Tabla22[[#This Row],[Product]],$R$18:$R$23,$T$18:$T$23)*Tabla22[[#This Row],[QualityBonus]]*Tabla22[[#This Row],[Base price1]]*Tabla22[[#This Row],[Req.]],0)</f>
        <v>13548.686399999999</v>
      </c>
      <c r="L41" s="71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74">
        <f>IFERROR((Tabla22[[#This Row],[Base price1]]-LOOKUP(Tabla22[[#This Row],[Product]],$R$18:$R$23,$S$18:$S$23))*Tabla22[[#This Row],[Req.]],0)</f>
        <v>24987</v>
      </c>
      <c r="N41" s="71">
        <f>IF(Tabla22[[#This Row],[Req.2]]&gt;0,(Tabla22[[#This Row],[Base price2]]-LOOKUP(Tabla22[[#This Row],[Product2]],$R$18:$R$23,$S$18:$S$23))*Tabla22[[#This Row],[Req.2]],0)</f>
        <v>16746</v>
      </c>
      <c r="O41" s="74">
        <f>SUM(Tabla22[[#This Row],[Bonus1]:[p2]])</f>
        <v>82322.457599999994</v>
      </c>
      <c r="P41" s="71">
        <f>IF(Tabla22[[#This Row],[QualityBonus]]&gt;0,Tabla22[[#This Row],[No wages]]-$C$4,"")</f>
        <v>43746.612644047615</v>
      </c>
    </row>
    <row r="42" spans="1:22" x14ac:dyDescent="0.25">
      <c r="A42" s="13">
        <v>26</v>
      </c>
      <c r="B42" s="13" t="s">
        <v>13</v>
      </c>
      <c r="C42" s="36">
        <v>2.81E-2</v>
      </c>
      <c r="D42" s="2" t="s">
        <v>53</v>
      </c>
      <c r="E42" s="71">
        <v>41691</v>
      </c>
      <c r="F42" s="4">
        <v>5</v>
      </c>
      <c r="G42" s="2" t="s">
        <v>54</v>
      </c>
      <c r="H42" s="71">
        <v>59925</v>
      </c>
      <c r="I42" s="4">
        <v>3</v>
      </c>
      <c r="J42" s="74">
        <f>Tabla22[[#This Row],[Base price1]]*Tabla22[[#This Row],[Req.]]+Tabla22[[#This Row],[Base price2]]*Tabla22[[#This Row],[Req.2]]</f>
        <v>388230</v>
      </c>
      <c r="K42" s="71">
        <f>IFERROR(LOOKUP(Tabla22[[#This Row],[Product]],$R$18:$R$23,$T$18:$T$23)*Tabla22[[#This Row],[QualityBonus]]*Tabla22[[#This Row],[Base price1]]*Tabla22[[#This Row],[Req.]],0)</f>
        <v>23430.342000000001</v>
      </c>
      <c r="L42" s="71">
        <f>IF(Tabla22[[#This Row],[Req.2]]&gt;0,LOOKUP(Tabla22[[#This Row],[Product2]],$R$18:$R$23,$T$18:$T$23)*Tabla22[[#This Row],[Base price2]]*Tabla22[[#This Row],[Req.2]]*Tabla22[[#This Row],[QualityBonus]],0)</f>
        <v>25258.387500000001</v>
      </c>
      <c r="M42" s="74">
        <f>IFERROR((Tabla22[[#This Row],[Base price1]]-LOOKUP(Tabla22[[#This Row],[Product]],$R$18:$R$23,$S$18:$S$23))*Tabla22[[#This Row],[Req.]],0)</f>
        <v>39455</v>
      </c>
      <c r="N42" s="71">
        <f>IF(Tabla22[[#This Row],[Req.2]]&gt;0,(Tabla22[[#This Row],[Base price2]]-LOOKUP(Tabla22[[#This Row],[Product2]],$R$18:$R$23,$S$18:$S$23))*Tabla22[[#This Row],[Req.2]],0)</f>
        <v>23775</v>
      </c>
      <c r="O42" s="74">
        <f>SUM(Tabla22[[#This Row],[Bonus1]:[p2]])</f>
        <v>111918.7295</v>
      </c>
      <c r="P42" s="71">
        <f>IF(Tabla22[[#This Row],[QualityBonus]]&gt;0,Tabla22[[#This Row],[No wages]]-$C$4,"")</f>
        <v>73342.884544047614</v>
      </c>
    </row>
    <row r="43" spans="1:22" x14ac:dyDescent="0.25">
      <c r="A43" s="13">
        <v>27</v>
      </c>
      <c r="B43" s="13" t="s">
        <v>13</v>
      </c>
      <c r="C43" s="36">
        <v>2.53E-2</v>
      </c>
      <c r="D43" s="2" t="s">
        <v>53</v>
      </c>
      <c r="E43" s="71">
        <v>42580</v>
      </c>
      <c r="F43" s="4">
        <v>4</v>
      </c>
      <c r="G43" s="2"/>
      <c r="H43" s="71"/>
      <c r="I43" s="4"/>
      <c r="J43" s="74">
        <f>Tabla22[[#This Row],[Base price1]]*Tabla22[[#This Row],[Req.]]+Tabla22[[#This Row],[Base price2]]*Tabla22[[#This Row],[Req.2]]</f>
        <v>170320</v>
      </c>
      <c r="K43" s="71">
        <f>IFERROR(LOOKUP(Tabla22[[#This Row],[Product]],$R$18:$R$23,$T$18:$T$23)*Tabla22[[#This Row],[QualityBonus]]*Tabla22[[#This Row],[Base price1]]*Tabla22[[#This Row],[Req.]],0)</f>
        <v>17236.383999999998</v>
      </c>
      <c r="L43" s="71">
        <f>IF(Tabla22[[#This Row],[Req.2]]&gt;0,LOOKUP(Tabla22[[#This Row],[Product2]],$R$18:$R$23,$T$18:$T$23)*Tabla22[[#This Row],[Base price2]]*Tabla22[[#This Row],[Req.2]]*Tabla22[[#This Row],[QualityBonus]],0)</f>
        <v>0</v>
      </c>
      <c r="M43" s="74">
        <f>IFERROR((Tabla22[[#This Row],[Base price1]]-LOOKUP(Tabla22[[#This Row],[Product]],$R$18:$R$23,$S$18:$S$23))*Tabla22[[#This Row],[Req.]],0)</f>
        <v>35120</v>
      </c>
      <c r="N43" s="71">
        <f>IF(Tabla22[[#This Row],[Req.2]]&gt;0,(Tabla22[[#This Row],[Base price2]]-LOOKUP(Tabla22[[#This Row],[Product2]],$R$18:$R$23,$S$18:$S$23))*Tabla22[[#This Row],[Req.2]],0)</f>
        <v>0</v>
      </c>
      <c r="O43" s="74">
        <f>SUM(Tabla22[[#This Row],[Bonus1]:[p2]])</f>
        <v>52356.383999999998</v>
      </c>
      <c r="P43" s="71">
        <f>IF(Tabla22[[#This Row],[QualityBonus]]&gt;0,Tabla22[[#This Row],[No wages]]-$C$4,"")</f>
        <v>13780.539044047619</v>
      </c>
    </row>
    <row r="44" spans="1:22" x14ac:dyDescent="0.25">
      <c r="A44" s="13">
        <v>28</v>
      </c>
      <c r="B44" s="13" t="s">
        <v>13</v>
      </c>
      <c r="C44" s="36">
        <v>1.17E-2</v>
      </c>
      <c r="D44" s="2" t="s">
        <v>53</v>
      </c>
      <c r="E44" s="71">
        <v>41608</v>
      </c>
      <c r="F44" s="4">
        <v>5</v>
      </c>
      <c r="G44" s="2" t="s">
        <v>54</v>
      </c>
      <c r="H44" s="71">
        <v>62343</v>
      </c>
      <c r="I44" s="4">
        <v>4</v>
      </c>
      <c r="J44" s="74">
        <f>Tabla22[[#This Row],[Base price1]]*Tabla22[[#This Row],[Req.]]+Tabla22[[#This Row],[Base price2]]*Tabla22[[#This Row],[Req.2]]</f>
        <v>457412</v>
      </c>
      <c r="K44" s="71">
        <f>IFERROR(LOOKUP(Tabla22[[#This Row],[Product]],$R$18:$R$23,$T$18:$T$23)*Tabla22[[#This Row],[QualityBonus]]*Tabla22[[#This Row],[Base price1]]*Tabla22[[#This Row],[Req.]],0)</f>
        <v>9736.2720000000008</v>
      </c>
      <c r="L44" s="71">
        <f>IF(Tabla22[[#This Row],[Req.2]]&gt;0,LOOKUP(Tabla22[[#This Row],[Product2]],$R$18:$R$23,$T$18:$T$23)*Tabla22[[#This Row],[Base price2]]*Tabla22[[#This Row],[Req.2]]*Tabla22[[#This Row],[QualityBonus]],0)</f>
        <v>14588.262000000001</v>
      </c>
      <c r="M44" s="74">
        <f>IFERROR((Tabla22[[#This Row],[Base price1]]-LOOKUP(Tabla22[[#This Row],[Product]],$R$18:$R$23,$S$18:$S$23))*Tabla22[[#This Row],[Req.]],0)</f>
        <v>39040</v>
      </c>
      <c r="N44" s="71">
        <f>IF(Tabla22[[#This Row],[Req.2]]&gt;0,(Tabla22[[#This Row],[Base price2]]-LOOKUP(Tabla22[[#This Row],[Product2]],$R$18:$R$23,$S$18:$S$23))*Tabla22[[#This Row],[Req.2]],0)</f>
        <v>41372</v>
      </c>
      <c r="O44" s="74">
        <f>SUM(Tabla22[[#This Row],[Bonus1]:[p2]])</f>
        <v>104736.534</v>
      </c>
      <c r="P44" s="71">
        <f>IF(Tabla22[[#This Row],[QualityBonus]]&gt;0,Tabla22[[#This Row],[No wages]]-$C$4,"")</f>
        <v>66160.689044047613</v>
      </c>
    </row>
    <row r="45" spans="1:22" x14ac:dyDescent="0.25">
      <c r="A45" s="13">
        <v>29</v>
      </c>
      <c r="B45" s="13" t="s">
        <v>13</v>
      </c>
      <c r="C45" s="36">
        <v>2.5999999999999999E-2</v>
      </c>
      <c r="D45" s="2" t="s">
        <v>53</v>
      </c>
      <c r="E45" s="71">
        <v>42445</v>
      </c>
      <c r="F45" s="4">
        <v>5</v>
      </c>
      <c r="G45" s="2"/>
      <c r="H45" s="71"/>
      <c r="I45" s="4"/>
      <c r="J45" s="74">
        <f>Tabla22[[#This Row],[Base price1]]*Tabla22[[#This Row],[Req.]]+Tabla22[[#This Row],[Base price2]]*Tabla22[[#This Row],[Req.2]]</f>
        <v>212225</v>
      </c>
      <c r="K45" s="71">
        <f>IFERROR(LOOKUP(Tabla22[[#This Row],[Product]],$R$18:$R$23,$T$18:$T$23)*Tabla22[[#This Row],[QualityBonus]]*Tabla22[[#This Row],[Base price1]]*Tabla22[[#This Row],[Req.]],0)</f>
        <v>22071.399999999998</v>
      </c>
      <c r="L45" s="71">
        <f>IF(Tabla22[[#This Row],[Req.2]]&gt;0,LOOKUP(Tabla22[[#This Row],[Product2]],$R$18:$R$23,$T$18:$T$23)*Tabla22[[#This Row],[Base price2]]*Tabla22[[#This Row],[Req.2]]*Tabla22[[#This Row],[QualityBonus]],0)</f>
        <v>0</v>
      </c>
      <c r="M45" s="74">
        <f>IFERROR((Tabla22[[#This Row],[Base price1]]-LOOKUP(Tabla22[[#This Row],[Product]],$R$18:$R$23,$S$18:$S$23))*Tabla22[[#This Row],[Req.]],0)</f>
        <v>43225</v>
      </c>
      <c r="N45" s="71">
        <f>IF(Tabla22[[#This Row],[Req.2]]&gt;0,(Tabla22[[#This Row],[Base price2]]-LOOKUP(Tabla22[[#This Row],[Product2]],$R$18:$R$23,$S$18:$S$23))*Tabla22[[#This Row],[Req.2]],0)</f>
        <v>0</v>
      </c>
      <c r="O45" s="74">
        <f>SUM(Tabla22[[#This Row],[Bonus1]:[p2]])</f>
        <v>65296.399999999994</v>
      </c>
      <c r="P45" s="71">
        <f>IF(Tabla22[[#This Row],[QualityBonus]]&gt;0,Tabla22[[#This Row],[No wages]]-$C$4,"")</f>
        <v>26720.555044047615</v>
      </c>
    </row>
    <row r="46" spans="1:22" x14ac:dyDescent="0.25">
      <c r="A46" s="13">
        <v>30</v>
      </c>
      <c r="B46" s="13" t="s">
        <v>13</v>
      </c>
      <c r="C46" s="36">
        <v>2.2599999999999999E-2</v>
      </c>
      <c r="D46" s="2" t="s">
        <v>53</v>
      </c>
      <c r="E46" s="71">
        <v>41129</v>
      </c>
      <c r="F46" s="4">
        <v>2</v>
      </c>
      <c r="G46" s="2" t="s">
        <v>52</v>
      </c>
      <c r="H46" s="71">
        <v>121638</v>
      </c>
      <c r="I46" s="4">
        <v>3</v>
      </c>
      <c r="J46" s="74">
        <f>Tabla22[[#This Row],[Base price1]]*Tabla22[[#This Row],[Req.]]+Tabla22[[#This Row],[Base price2]]*Tabla22[[#This Row],[Req.2]]</f>
        <v>447172</v>
      </c>
      <c r="K46" s="71">
        <f>IFERROR(LOOKUP(Tabla22[[#This Row],[Product]],$R$18:$R$23,$T$18:$T$23)*Tabla22[[#This Row],[QualityBonus]]*Tabla22[[#This Row],[Base price1]]*Tabla22[[#This Row],[Req.]],0)</f>
        <v>7436.1231999999991</v>
      </c>
      <c r="L46" s="71">
        <f>IF(Tabla22[[#This Row],[Req.2]]&gt;0,LOOKUP(Tabla22[[#This Row],[Product2]],$R$18:$R$23,$T$18:$T$23)*Tabla22[[#This Row],[Base price2]]*Tabla22[[#This Row],[Req.2]]*Tabla22[[#This Row],[QualityBonus]],0)</f>
        <v>41235.281999999999</v>
      </c>
      <c r="M46" s="74">
        <f>IFERROR((Tabla22[[#This Row],[Base price1]]-LOOKUP(Tabla22[[#This Row],[Product]],$R$18:$R$23,$S$18:$S$23))*Tabla22[[#This Row],[Req.]],0)</f>
        <v>14658</v>
      </c>
      <c r="N46" s="71">
        <f>IF(Tabla22[[#This Row],[Req.2]]&gt;0,(Tabla22[[#This Row],[Base price2]]-LOOKUP(Tabla22[[#This Row],[Product2]],$R$18:$R$23,$S$18:$S$23))*Tabla22[[#This Row],[Req.2]],0)</f>
        <v>28914</v>
      </c>
      <c r="O46" s="74">
        <f>SUM(Tabla22[[#This Row],[Bonus1]:[p2]])</f>
        <v>92243.405200000008</v>
      </c>
      <c r="P46" s="71">
        <f>IF(Tabla22[[#This Row],[QualityBonus]]&gt;0,Tabla22[[#This Row],[No wages]]-$C$4,"")</f>
        <v>53667.560244047629</v>
      </c>
    </row>
    <row r="47" spans="1:22" x14ac:dyDescent="0.25">
      <c r="A47" s="13">
        <v>31</v>
      </c>
      <c r="B47" s="13" t="s">
        <v>13</v>
      </c>
      <c r="C47" s="36">
        <v>2.9600000000000001E-2</v>
      </c>
      <c r="D47" s="2" t="s">
        <v>54</v>
      </c>
      <c r="E47" s="71">
        <v>60948</v>
      </c>
      <c r="F47" s="4">
        <v>1</v>
      </c>
      <c r="G47" s="2" t="s">
        <v>53</v>
      </c>
      <c r="H47" s="71">
        <v>41020</v>
      </c>
      <c r="I47" s="4">
        <v>3</v>
      </c>
      <c r="J47" s="74">
        <f>Tabla22[[#This Row],[Base price1]]*Tabla22[[#This Row],[Req.]]+Tabla22[[#This Row],[Base price2]]*Tabla22[[#This Row],[Req.2]]</f>
        <v>184008</v>
      </c>
      <c r="K47" s="71">
        <f>IFERROR(LOOKUP(Tabla22[[#This Row],[Product]],$R$18:$R$23,$T$18:$T$23)*Tabla22[[#This Row],[QualityBonus]]*Tabla22[[#This Row],[Base price1]]*Tabla22[[#This Row],[Req.]],0)</f>
        <v>9020.3040000000019</v>
      </c>
      <c r="L47" s="71">
        <f>IF(Tabla22[[#This Row],[Req.2]]&gt;0,LOOKUP(Tabla22[[#This Row],[Product2]],$R$18:$R$23,$T$18:$T$23)*Tabla22[[#This Row],[Base price2]]*Tabla22[[#This Row],[Req.2]]*Tabla22[[#This Row],[QualityBonus]],0)</f>
        <v>14570.304</v>
      </c>
      <c r="M47" s="74">
        <f>IFERROR((Tabla22[[#This Row],[Base price1]]-LOOKUP(Tabla22[[#This Row],[Product]],$R$18:$R$23,$S$18:$S$23))*Tabla22[[#This Row],[Req.]],0)</f>
        <v>8948</v>
      </c>
      <c r="N47" s="71">
        <f>IF(Tabla22[[#This Row],[Req.2]]&gt;0,(Tabla22[[#This Row],[Base price2]]-LOOKUP(Tabla22[[#This Row],[Product2]],$R$18:$R$23,$S$18:$S$23))*Tabla22[[#This Row],[Req.2]],0)</f>
        <v>21660</v>
      </c>
      <c r="O47" s="74">
        <f>SUM(Tabla22[[#This Row],[Bonus1]:[p2]])</f>
        <v>54198.608</v>
      </c>
      <c r="P47" s="71">
        <f>IF(Tabla22[[#This Row],[QualityBonus]]&gt;0,Tabla22[[#This Row],[No wages]]-$C$4,"")</f>
        <v>15622.76304404762</v>
      </c>
    </row>
    <row r="48" spans="1:22" x14ac:dyDescent="0.25">
      <c r="A48" s="13">
        <v>32</v>
      </c>
      <c r="B48" s="13" t="s">
        <v>13</v>
      </c>
      <c r="C48" s="36">
        <v>1.7600000000000001E-2</v>
      </c>
      <c r="D48" s="2" t="s">
        <v>52</v>
      </c>
      <c r="E48" s="71">
        <v>117745</v>
      </c>
      <c r="F48" s="4">
        <v>3</v>
      </c>
      <c r="G48" s="2" t="s">
        <v>54</v>
      </c>
      <c r="H48" s="71">
        <v>62072</v>
      </c>
      <c r="I48" s="4">
        <v>2</v>
      </c>
      <c r="J48" s="74">
        <f>Tabla22[[#This Row],[Base price1]]*Tabla22[[#This Row],[Req.]]+Tabla22[[#This Row],[Base price2]]*Tabla22[[#This Row],[Req.2]]</f>
        <v>477379</v>
      </c>
      <c r="K48" s="71">
        <f>IFERROR(LOOKUP(Tabla22[[#This Row],[Product]],$R$18:$R$23,$T$18:$T$23)*Tabla22[[#This Row],[QualityBonus]]*Tabla22[[#This Row],[Base price1]]*Tabla22[[#This Row],[Req.]],0)</f>
        <v>31084.680000000004</v>
      </c>
      <c r="L48" s="71">
        <f>IF(Tabla22[[#This Row],[Req.2]]&gt;0,LOOKUP(Tabla22[[#This Row],[Product2]],$R$18:$R$23,$T$18:$T$23)*Tabla22[[#This Row],[Base price2]]*Tabla22[[#This Row],[Req.2]]*Tabla22[[#This Row],[QualityBonus]],0)</f>
        <v>10924.672</v>
      </c>
      <c r="M48" s="74">
        <f>IFERROR((Tabla22[[#This Row],[Base price1]]-LOOKUP(Tabla22[[#This Row],[Product]],$R$18:$R$23,$S$18:$S$23))*Tabla22[[#This Row],[Req.]],0)</f>
        <v>17235</v>
      </c>
      <c r="N48" s="71">
        <f>IF(Tabla22[[#This Row],[Req.2]]&gt;0,(Tabla22[[#This Row],[Base price2]]-LOOKUP(Tabla22[[#This Row],[Product2]],$R$18:$R$23,$S$18:$S$23))*Tabla22[[#This Row],[Req.2]],0)</f>
        <v>20144</v>
      </c>
      <c r="O48" s="74">
        <f>SUM(Tabla22[[#This Row],[Bonus1]:[p2]])</f>
        <v>79388.352000000014</v>
      </c>
      <c r="P48" s="71">
        <f>IF(Tabla22[[#This Row],[QualityBonus]]&gt;0,Tabla22[[#This Row],[No wages]]-$C$4,"")</f>
        <v>40812.507044047634</v>
      </c>
    </row>
    <row r="49" spans="1:16" x14ac:dyDescent="0.25">
      <c r="A49" s="13">
        <v>33</v>
      </c>
      <c r="B49" s="13" t="s">
        <v>13</v>
      </c>
      <c r="C49" s="36">
        <v>1.7000000000000001E-2</v>
      </c>
      <c r="D49" s="2" t="s">
        <v>54</v>
      </c>
      <c r="E49" s="71">
        <v>62999</v>
      </c>
      <c r="F49" s="4">
        <v>1</v>
      </c>
      <c r="G49" s="2"/>
      <c r="H49" s="71"/>
      <c r="I49" s="4"/>
      <c r="J49" s="74">
        <f>Tabla22[[#This Row],[Base price1]]*Tabla22[[#This Row],[Req.]]+Tabla22[[#This Row],[Base price2]]*Tabla22[[#This Row],[Req.2]]</f>
        <v>62999</v>
      </c>
      <c r="K49" s="71">
        <f>IFERROR(LOOKUP(Tabla22[[#This Row],[Product]],$R$18:$R$23,$T$18:$T$23)*Tabla22[[#This Row],[QualityBonus]]*Tabla22[[#This Row],[Base price1]]*Tabla22[[#This Row],[Req.]],0)</f>
        <v>5354.915</v>
      </c>
      <c r="L49" s="71">
        <f>IF(Tabla22[[#This Row],[Req.2]]&gt;0,LOOKUP(Tabla22[[#This Row],[Product2]],$R$18:$R$23,$T$18:$T$23)*Tabla22[[#This Row],[Base price2]]*Tabla22[[#This Row],[Req.2]]*Tabla22[[#This Row],[QualityBonus]],0)</f>
        <v>0</v>
      </c>
      <c r="M49" s="74">
        <f>IFERROR((Tabla22[[#This Row],[Base price1]]-LOOKUP(Tabla22[[#This Row],[Product]],$R$18:$R$23,$S$18:$S$23))*Tabla22[[#This Row],[Req.]],0)</f>
        <v>10999</v>
      </c>
      <c r="N49" s="71">
        <f>IF(Tabla22[[#This Row],[Req.2]]&gt;0,(Tabla22[[#This Row],[Base price2]]-LOOKUP(Tabla22[[#This Row],[Product2]],$R$18:$R$23,$S$18:$S$23))*Tabla22[[#This Row],[Req.2]],0)</f>
        <v>0</v>
      </c>
      <c r="O49" s="74">
        <f>SUM(Tabla22[[#This Row],[Bonus1]:[p2]])</f>
        <v>16353.915000000001</v>
      </c>
      <c r="P49" s="71">
        <f>IF(Tabla22[[#This Row],[QualityBonus]]&gt;0,Tabla22[[#This Row],[No wages]]-$C$4,"")</f>
        <v>-22221.929955952379</v>
      </c>
    </row>
    <row r="50" spans="1:16" x14ac:dyDescent="0.25">
      <c r="A50" s="24">
        <v>34</v>
      </c>
      <c r="B50" s="24" t="s">
        <v>13</v>
      </c>
      <c r="C50" s="44">
        <v>2.8199999999999999E-2</v>
      </c>
      <c r="D50" s="37" t="s">
        <v>52</v>
      </c>
      <c r="E50" s="72">
        <v>117232</v>
      </c>
      <c r="F50" s="39">
        <v>1</v>
      </c>
      <c r="G50" s="37"/>
      <c r="H50" s="72"/>
      <c r="I50" s="39"/>
      <c r="J50" s="75">
        <f>Tabla22[[#This Row],[Base price1]]*Tabla22[[#This Row],[Req.]]+Tabla22[[#This Row],[Base price2]]*Tabla22[[#This Row],[Req.2]]</f>
        <v>117232</v>
      </c>
      <c r="K50" s="72">
        <f>IFERROR(LOOKUP(Tabla22[[#This Row],[Product]],$R$18:$R$23,$T$18:$T$23)*Tabla22[[#This Row],[QualityBonus]]*Tabla22[[#This Row],[Base price1]]*Tabla22[[#This Row],[Req.]],0)</f>
        <v>16529.712</v>
      </c>
      <c r="L50" s="72">
        <f>IF(Tabla22[[#This Row],[Req.2]]&gt;0,LOOKUP(Tabla22[[#This Row],[Product2]],$R$18:$R$23,$T$18:$T$23)*Tabla22[[#This Row],[Base price2]]*Tabla22[[#This Row],[Req.2]]*Tabla22[[#This Row],[QualityBonus]],0)</f>
        <v>0</v>
      </c>
      <c r="M50" s="75">
        <f>IFERROR((Tabla22[[#This Row],[Base price1]]-LOOKUP(Tabla22[[#This Row],[Product]],$R$18:$R$23,$S$18:$S$23))*Tabla22[[#This Row],[Req.]],0)</f>
        <v>5232</v>
      </c>
      <c r="N50" s="72">
        <f>IF(Tabla22[[#This Row],[Req.2]]&gt;0,(Tabla22[[#This Row],[Base price2]]-LOOKUP(Tabla22[[#This Row],[Product2]],$R$18:$R$23,$S$18:$S$23))*Tabla22[[#This Row],[Req.2]],0)</f>
        <v>0</v>
      </c>
      <c r="O50" s="75">
        <f>SUM(Tabla22[[#This Row],[Bonus1]:[p2]])</f>
        <v>21761.712</v>
      </c>
      <c r="P50" s="72">
        <f>IF(Tabla22[[#This Row],[QualityBonus]]&gt;0,Tabla22[[#This Row],[No wages]]-$C$4,"")</f>
        <v>-16814.13295595238</v>
      </c>
    </row>
    <row r="51" spans="1:16" x14ac:dyDescent="0.25">
      <c r="A51" s="13">
        <v>35</v>
      </c>
      <c r="B51" s="13" t="s">
        <v>13</v>
      </c>
      <c r="C51" s="36">
        <v>2.6499999999999999E-2</v>
      </c>
      <c r="D51" s="2" t="s">
        <v>55</v>
      </c>
      <c r="E51" s="71">
        <v>82956</v>
      </c>
      <c r="F51" s="4">
        <v>4</v>
      </c>
      <c r="G51" s="2" t="s">
        <v>53</v>
      </c>
      <c r="H51" s="71">
        <v>42566</v>
      </c>
      <c r="I51" s="4">
        <v>5</v>
      </c>
      <c r="J51" s="74">
        <f>Tabla22[[#This Row],[Base price1]]*Tabla22[[#This Row],[Req.]]+Tabla22[[#This Row],[Base price2]]*Tabla22[[#This Row],[Req.2]]</f>
        <v>544654</v>
      </c>
      <c r="K51" s="71">
        <f>IFERROR(LOOKUP(Tabla22[[#This Row],[Product]],$R$18:$R$23,$T$18:$T$23)*Tabla22[[#This Row],[QualityBonus]]*Tabla22[[#This Row],[Base price1]]*Tabla22[[#This Row],[Req.]],0)</f>
        <v>35173.343999999997</v>
      </c>
      <c r="L51" s="71">
        <f>IF(Tabla22[[#This Row],[Req.2]]&gt;0,LOOKUP(Tabla22[[#This Row],[Product2]],$R$18:$R$23,$T$18:$T$23)*Tabla22[[#This Row],[Base price2]]*Tabla22[[#This Row],[Req.2]]*Tabla22[[#This Row],[QualityBonus]],0)</f>
        <v>22559.98</v>
      </c>
      <c r="M51" s="74">
        <f>IFERROR((Tabla22[[#This Row],[Base price1]]-LOOKUP(Tabla22[[#This Row],[Product]],$R$18:$R$23,$S$18:$S$23))*Tabla22[[#This Row],[Req.]],0)</f>
        <v>17824</v>
      </c>
      <c r="N51" s="71">
        <f>IF(Tabla22[[#This Row],[Req.2]]&gt;0,(Tabla22[[#This Row],[Base price2]]-LOOKUP(Tabla22[[#This Row],[Product2]],$R$18:$R$23,$S$18:$S$23))*Tabla22[[#This Row],[Req.2]],0)</f>
        <v>43830</v>
      </c>
      <c r="O51" s="74">
        <f>SUM(Tabla22[[#This Row],[Bonus1]:[p2]])</f>
        <v>119387.32399999999</v>
      </c>
      <c r="P51" s="71">
        <f>IF(Tabla22[[#This Row],[QualityBonus]]&gt;0,Tabla22[[#This Row],[No wages]]-$C$4,"")</f>
        <v>80811.479044047621</v>
      </c>
    </row>
    <row r="52" spans="1:16" x14ac:dyDescent="0.25">
      <c r="A52" s="13">
        <v>36</v>
      </c>
      <c r="B52" s="13" t="s">
        <v>13</v>
      </c>
      <c r="C52" s="36">
        <v>2.5999999999999999E-2</v>
      </c>
      <c r="D52" s="2" t="s">
        <v>53</v>
      </c>
      <c r="E52" s="71">
        <v>42329</v>
      </c>
      <c r="F52" s="4">
        <v>4</v>
      </c>
      <c r="G52" s="2"/>
      <c r="H52" s="71"/>
      <c r="I52" s="4"/>
      <c r="J52" s="74">
        <f>Tabla22[[#This Row],[Base price1]]*Tabla22[[#This Row],[Req.]]+Tabla22[[#This Row],[Base price2]]*Tabla22[[#This Row],[Req.2]]</f>
        <v>169316</v>
      </c>
      <c r="K52" s="71">
        <f>IFERROR(LOOKUP(Tabla22[[#This Row],[Product]],$R$18:$R$23,$T$18:$T$23)*Tabla22[[#This Row],[QualityBonus]]*Tabla22[[#This Row],[Base price1]]*Tabla22[[#This Row],[Req.]],0)</f>
        <v>17608.863999999998</v>
      </c>
      <c r="L52" s="71">
        <f>IF(Tabla22[[#This Row],[Req.2]]&gt;0,LOOKUP(Tabla22[[#This Row],[Product2]],$R$18:$R$23,$T$18:$T$23)*Tabla22[[#This Row],[Base price2]]*Tabla22[[#This Row],[Req.2]]*Tabla22[[#This Row],[QualityBonus]],0)</f>
        <v>0</v>
      </c>
      <c r="M52" s="74">
        <f>IFERROR((Tabla22[[#This Row],[Base price1]]-LOOKUP(Tabla22[[#This Row],[Product]],$R$18:$R$23,$S$18:$S$23))*Tabla22[[#This Row],[Req.]],0)</f>
        <v>34116</v>
      </c>
      <c r="N52" s="71">
        <f>IF(Tabla22[[#This Row],[Req.2]]&gt;0,(Tabla22[[#This Row],[Base price2]]-LOOKUP(Tabla22[[#This Row],[Product2]],$R$18:$R$23,$S$18:$S$23))*Tabla22[[#This Row],[Req.2]],0)</f>
        <v>0</v>
      </c>
      <c r="O52" s="74">
        <f>SUM(Tabla22[[#This Row],[Bonus1]:[p2]])</f>
        <v>51724.864000000001</v>
      </c>
      <c r="P52" s="71">
        <f>IF(Tabla22[[#This Row],[QualityBonus]]&gt;0,Tabla22[[#This Row],[No wages]]-$C$4,"")</f>
        <v>13149.019044047622</v>
      </c>
    </row>
    <row r="53" spans="1:16" x14ac:dyDescent="0.25">
      <c r="A53" s="13">
        <v>37</v>
      </c>
      <c r="B53" s="13" t="s">
        <v>13</v>
      </c>
      <c r="C53" s="36">
        <v>2.4299999999999999E-2</v>
      </c>
      <c r="D53" s="2" t="s">
        <v>53</v>
      </c>
      <c r="E53" s="71">
        <v>41309</v>
      </c>
      <c r="F53" s="4">
        <v>2</v>
      </c>
      <c r="G53" s="2" t="s">
        <v>52</v>
      </c>
      <c r="H53" s="71">
        <v>118549</v>
      </c>
      <c r="I53" s="4">
        <v>3</v>
      </c>
      <c r="J53" s="74">
        <f>Tabla22[[#This Row],[Base price1]]*Tabla22[[#This Row],[Req.]]+Tabla22[[#This Row],[Base price2]]*Tabla22[[#This Row],[Req.2]]</f>
        <v>438265</v>
      </c>
      <c r="K53" s="71">
        <f>IFERROR(LOOKUP(Tabla22[[#This Row],[Product]],$R$18:$R$23,$T$18:$T$23)*Tabla22[[#This Row],[QualityBonus]]*Tabla22[[#This Row],[Base price1]]*Tabla22[[#This Row],[Req.]],0)</f>
        <v>8030.4695999999994</v>
      </c>
      <c r="L53" s="71">
        <f>IF(Tabla22[[#This Row],[Req.2]]&gt;0,LOOKUP(Tabla22[[#This Row],[Product2]],$R$18:$R$23,$T$18:$T$23)*Tabla22[[#This Row],[Base price2]]*Tabla22[[#This Row],[Req.2]]*Tabla22[[#This Row],[QualityBonus]],0)</f>
        <v>43211.110499999995</v>
      </c>
      <c r="M53" s="74">
        <f>IFERROR((Tabla22[[#This Row],[Base price1]]-LOOKUP(Tabla22[[#This Row],[Product]],$R$18:$R$23,$S$18:$S$23))*Tabla22[[#This Row],[Req.]],0)</f>
        <v>15018</v>
      </c>
      <c r="N53" s="71">
        <f>IF(Tabla22[[#This Row],[Req.2]]&gt;0,(Tabla22[[#This Row],[Base price2]]-LOOKUP(Tabla22[[#This Row],[Product2]],$R$18:$R$23,$S$18:$S$23))*Tabla22[[#This Row],[Req.2]],0)</f>
        <v>19647</v>
      </c>
      <c r="O53" s="74">
        <f>SUM(Tabla22[[#This Row],[Bonus1]:[p2]])</f>
        <v>85906.580099999992</v>
      </c>
      <c r="P53" s="71">
        <f>IF(Tabla22[[#This Row],[QualityBonus]]&gt;0,Tabla22[[#This Row],[No wages]]-$C$4,"")</f>
        <v>47330.735144047612</v>
      </c>
    </row>
    <row r="54" spans="1:16" x14ac:dyDescent="0.25">
      <c r="A54" s="13">
        <v>38</v>
      </c>
      <c r="B54" s="13" t="s">
        <v>13</v>
      </c>
      <c r="C54" s="36">
        <v>1.6799999999999999E-2</v>
      </c>
      <c r="D54" s="2" t="s">
        <v>53</v>
      </c>
      <c r="E54" s="71">
        <v>41700</v>
      </c>
      <c r="F54" s="4">
        <v>3</v>
      </c>
      <c r="G54" s="2" t="s">
        <v>57</v>
      </c>
      <c r="H54" s="71">
        <v>86334</v>
      </c>
      <c r="I54" s="4">
        <v>1</v>
      </c>
      <c r="J54" s="74">
        <f>Tabla22[[#This Row],[Base price1]]*Tabla22[[#This Row],[Req.]]+Tabla22[[#This Row],[Base price2]]*Tabla22[[#This Row],[Req.2]]</f>
        <v>211434</v>
      </c>
      <c r="K54" s="71">
        <f>IFERROR(LOOKUP(Tabla22[[#This Row],[Product]],$R$18:$R$23,$T$18:$T$23)*Tabla22[[#This Row],[QualityBonus]]*Tabla22[[#This Row],[Base price1]]*Tabla22[[#This Row],[Req.]],0)</f>
        <v>8406.7199999999993</v>
      </c>
      <c r="L54" s="71">
        <f>IF(Tabla22[[#This Row],[Req.2]]&gt;0,LOOKUP(Tabla22[[#This Row],[Product2]],$R$18:$R$23,$T$18:$T$23)*Tabla22[[#This Row],[Base price2]]*Tabla22[[#This Row],[Req.2]]*Tabla22[[#This Row],[QualityBonus]],0)</f>
        <v>5801.6448</v>
      </c>
      <c r="M54" s="74">
        <f>IFERROR((Tabla22[[#This Row],[Base price1]]-LOOKUP(Tabla22[[#This Row],[Product]],$R$18:$R$23,$S$18:$S$23))*Tabla22[[#This Row],[Req.]],0)</f>
        <v>23700</v>
      </c>
      <c r="N54" s="71">
        <f>IF(Tabla22[[#This Row],[Req.2]]&gt;0,(Tabla22[[#This Row],[Base price2]]-LOOKUP(Tabla22[[#This Row],[Product2]],$R$18:$R$23,$S$18:$S$23))*Tabla22[[#This Row],[Req.2]],0)</f>
        <v>7834</v>
      </c>
      <c r="O54" s="74">
        <f>SUM(Tabla22[[#This Row],[Bonus1]:[p2]])</f>
        <v>45742.364799999996</v>
      </c>
      <c r="P54" s="71">
        <f>IF(Tabla22[[#This Row],[QualityBonus]]&gt;0,Tabla22[[#This Row],[No wages]]-$C$4,"")</f>
        <v>7166.5198440476161</v>
      </c>
    </row>
    <row r="55" spans="1:16" x14ac:dyDescent="0.25">
      <c r="A55" s="13">
        <v>39</v>
      </c>
      <c r="B55" s="13" t="s">
        <v>13</v>
      </c>
      <c r="C55" s="36">
        <v>2.3300000000000001E-2</v>
      </c>
      <c r="D55" s="2" t="s">
        <v>53</v>
      </c>
      <c r="E55" s="71">
        <v>41268</v>
      </c>
      <c r="F55" s="4">
        <v>2</v>
      </c>
      <c r="G55" s="2"/>
      <c r="H55" s="71"/>
      <c r="I55" s="4"/>
      <c r="J55" s="74">
        <f>Tabla22[[#This Row],[Base price1]]*Tabla22[[#This Row],[Req.]]+Tabla22[[#This Row],[Base price2]]*Tabla22[[#This Row],[Req.2]]</f>
        <v>82536</v>
      </c>
      <c r="K55" s="71">
        <f>IFERROR(LOOKUP(Tabla22[[#This Row],[Product]],$R$18:$R$23,$T$18:$T$23)*Tabla22[[#This Row],[QualityBonus]]*Tabla22[[#This Row],[Base price1]]*Tabla22[[#This Row],[Req.]],0)</f>
        <v>7692.3552</v>
      </c>
      <c r="L55" s="71">
        <f>IF(Tabla22[[#This Row],[Req.2]]&gt;0,LOOKUP(Tabla22[[#This Row],[Product2]],$R$18:$R$23,$T$18:$T$23)*Tabla22[[#This Row],[Base price2]]*Tabla22[[#This Row],[Req.2]]*Tabla22[[#This Row],[QualityBonus]],0)</f>
        <v>0</v>
      </c>
      <c r="M55" s="74">
        <f>IFERROR((Tabla22[[#This Row],[Base price1]]-LOOKUP(Tabla22[[#This Row],[Product]],$R$18:$R$23,$S$18:$S$23))*Tabla22[[#This Row],[Req.]],0)</f>
        <v>14936</v>
      </c>
      <c r="N55" s="71">
        <f>IF(Tabla22[[#This Row],[Req.2]]&gt;0,(Tabla22[[#This Row],[Base price2]]-LOOKUP(Tabla22[[#This Row],[Product2]],$R$18:$R$23,$S$18:$S$23))*Tabla22[[#This Row],[Req.2]],0)</f>
        <v>0</v>
      </c>
      <c r="O55" s="74">
        <f>SUM(Tabla22[[#This Row],[Bonus1]:[p2]])</f>
        <v>22628.355199999998</v>
      </c>
      <c r="P55" s="71">
        <f>IF(Tabla22[[#This Row],[QualityBonus]]&gt;0,Tabla22[[#This Row],[No wages]]-$C$4,"")</f>
        <v>-15947.489755952382</v>
      </c>
    </row>
    <row r="56" spans="1:16" x14ac:dyDescent="0.25">
      <c r="A56" s="13">
        <v>40</v>
      </c>
      <c r="B56" s="13" t="s">
        <v>13</v>
      </c>
      <c r="C56" s="36">
        <v>2.18E-2</v>
      </c>
      <c r="D56" s="2" t="s">
        <v>55</v>
      </c>
      <c r="E56" s="71">
        <v>85536</v>
      </c>
      <c r="F56" s="4">
        <v>4</v>
      </c>
      <c r="G56" s="2" t="s">
        <v>53</v>
      </c>
      <c r="H56" s="71">
        <v>42025</v>
      </c>
      <c r="I56" s="4">
        <v>5</v>
      </c>
      <c r="J56" s="74">
        <f>Tabla22[[#This Row],[Base price1]]*Tabla22[[#This Row],[Req.]]+Tabla22[[#This Row],[Base price2]]*Tabla22[[#This Row],[Req.2]]</f>
        <v>552269</v>
      </c>
      <c r="K56" s="71">
        <f>IFERROR(LOOKUP(Tabla22[[#This Row],[Product]],$R$18:$R$23,$T$18:$T$23)*Tabla22[[#This Row],[QualityBonus]]*Tabla22[[#This Row],[Base price1]]*Tabla22[[#This Row],[Req.]],0)</f>
        <v>29834.9568</v>
      </c>
      <c r="L56" s="71">
        <f>IF(Tabla22[[#This Row],[Req.2]]&gt;0,LOOKUP(Tabla22[[#This Row],[Product2]],$R$18:$R$23,$T$18:$T$23)*Tabla22[[#This Row],[Base price2]]*Tabla22[[#This Row],[Req.2]]*Tabla22[[#This Row],[QualityBonus]],0)</f>
        <v>18322.900000000001</v>
      </c>
      <c r="M56" s="74">
        <f>IFERROR((Tabla22[[#This Row],[Base price1]]-LOOKUP(Tabla22[[#This Row],[Product]],$R$18:$R$23,$S$18:$S$23))*Tabla22[[#This Row],[Req.]],0)</f>
        <v>28144</v>
      </c>
      <c r="N56" s="71">
        <f>IF(Tabla22[[#This Row],[Req.2]]&gt;0,(Tabla22[[#This Row],[Base price2]]-LOOKUP(Tabla22[[#This Row],[Product2]],$R$18:$R$23,$S$18:$S$23))*Tabla22[[#This Row],[Req.2]],0)</f>
        <v>41125</v>
      </c>
      <c r="O56" s="74">
        <f>SUM(Tabla22[[#This Row],[Bonus1]:[p2]])</f>
        <v>117426.85680000001</v>
      </c>
      <c r="P56" s="71">
        <f>IF(Tabla22[[#This Row],[QualityBonus]]&gt;0,Tabla22[[#This Row],[No wages]]-$C$4,"")</f>
        <v>78851.011844047636</v>
      </c>
    </row>
    <row r="57" spans="1:16" x14ac:dyDescent="0.25">
      <c r="A57" s="13">
        <v>41</v>
      </c>
      <c r="B57" s="13" t="s">
        <v>13</v>
      </c>
      <c r="C57" s="36">
        <v>1.9800000000000002E-2</v>
      </c>
      <c r="D57" s="2" t="s">
        <v>54</v>
      </c>
      <c r="E57" s="71">
        <v>61103</v>
      </c>
      <c r="F57" s="4">
        <v>2</v>
      </c>
      <c r="G57" s="2" t="s">
        <v>53</v>
      </c>
      <c r="H57" s="71">
        <v>42071</v>
      </c>
      <c r="I57" s="4">
        <v>2</v>
      </c>
      <c r="J57" s="74">
        <f>Tabla22[[#This Row],[Base price1]]*Tabla22[[#This Row],[Req.]]+Tabla22[[#This Row],[Base price2]]*Tabla22[[#This Row],[Req.2]]</f>
        <v>206348</v>
      </c>
      <c r="K57" s="71">
        <f>IFERROR(LOOKUP(Tabla22[[#This Row],[Product]],$R$18:$R$23,$T$18:$T$23)*Tabla22[[#This Row],[QualityBonus]]*Tabla22[[#This Row],[Base price1]]*Tabla22[[#This Row],[Req.]],0)</f>
        <v>12098.394</v>
      </c>
      <c r="L57" s="71">
        <f>IF(Tabla22[[#This Row],[Req.2]]&gt;0,LOOKUP(Tabla22[[#This Row],[Product2]],$R$18:$R$23,$T$18:$T$23)*Tabla22[[#This Row],[Base price2]]*Tabla22[[#This Row],[Req.2]]*Tabla22[[#This Row],[QualityBonus]],0)</f>
        <v>6664.0464000000002</v>
      </c>
      <c r="M57" s="74">
        <f>IFERROR((Tabla22[[#This Row],[Base price1]]-LOOKUP(Tabla22[[#This Row],[Product]],$R$18:$R$23,$S$18:$S$23))*Tabla22[[#This Row],[Req.]],0)</f>
        <v>18206</v>
      </c>
      <c r="N57" s="71">
        <f>IF(Tabla22[[#This Row],[Req.2]]&gt;0,(Tabla22[[#This Row],[Base price2]]-LOOKUP(Tabla22[[#This Row],[Product2]],$R$18:$R$23,$S$18:$S$23))*Tabla22[[#This Row],[Req.2]],0)</f>
        <v>16542</v>
      </c>
      <c r="O57" s="74">
        <f>SUM(Tabla22[[#This Row],[Bonus1]:[p2]])</f>
        <v>53510.440399999999</v>
      </c>
      <c r="P57" s="71">
        <f>IF(Tabla22[[#This Row],[QualityBonus]]&gt;0,Tabla22[[#This Row],[No wages]]-$C$4,"")</f>
        <v>14934.59544404762</v>
      </c>
    </row>
    <row r="58" spans="1:16" x14ac:dyDescent="0.25">
      <c r="A58" s="24">
        <v>42</v>
      </c>
      <c r="B58" s="24" t="s">
        <v>13</v>
      </c>
      <c r="C58" s="44">
        <v>1.0200000000000001E-2</v>
      </c>
      <c r="D58" s="37" t="s">
        <v>53</v>
      </c>
      <c r="E58" s="72">
        <v>39994</v>
      </c>
      <c r="F58" s="39">
        <v>2</v>
      </c>
      <c r="G58" s="37"/>
      <c r="H58" s="72"/>
      <c r="I58" s="39"/>
      <c r="J58" s="75">
        <f>Tabla22[[#This Row],[Base price1]]*Tabla22[[#This Row],[Req.]]+Tabla22[[#This Row],[Base price2]]*Tabla22[[#This Row],[Req.2]]</f>
        <v>79988</v>
      </c>
      <c r="K58" s="72">
        <f>IFERROR(LOOKUP(Tabla22[[#This Row],[Product]],$R$18:$R$23,$T$18:$T$23)*Tabla22[[#This Row],[QualityBonus]]*Tabla22[[#This Row],[Base price1]]*Tabla22[[#This Row],[Req.]],0)</f>
        <v>3263.5104000000001</v>
      </c>
      <c r="L58" s="72">
        <f>IF(Tabla22[[#This Row],[Req.2]]&gt;0,LOOKUP(Tabla22[[#This Row],[Product2]],$R$18:$R$23,$T$18:$T$23)*Tabla22[[#This Row],[Base price2]]*Tabla22[[#This Row],[Req.2]]*Tabla22[[#This Row],[QualityBonus]],0)</f>
        <v>0</v>
      </c>
      <c r="M58" s="75">
        <f>IFERROR((Tabla22[[#This Row],[Base price1]]-LOOKUP(Tabla22[[#This Row],[Product]],$R$18:$R$23,$S$18:$S$23))*Tabla22[[#This Row],[Req.]],0)</f>
        <v>12388</v>
      </c>
      <c r="N58" s="72">
        <f>IF(Tabla22[[#This Row],[Req.2]]&gt;0,(Tabla22[[#This Row],[Base price2]]-LOOKUP(Tabla22[[#This Row],[Product2]],$R$18:$R$23,$S$18:$S$23))*Tabla22[[#This Row],[Req.2]],0)</f>
        <v>0</v>
      </c>
      <c r="O58" s="75">
        <f>SUM(Tabla22[[#This Row],[Bonus1]:[p2]])</f>
        <v>15651.510399999999</v>
      </c>
      <c r="P58" s="72">
        <f>IF(Tabla22[[#This Row],[QualityBonus]]&gt;0,Tabla22[[#This Row],[No wages]]-$C$4,"")</f>
        <v>-22924.33455595238</v>
      </c>
    </row>
    <row r="59" spans="1:16" x14ac:dyDescent="0.25">
      <c r="A59" s="13">
        <v>43</v>
      </c>
      <c r="B59" s="13" t="s">
        <v>13</v>
      </c>
      <c r="C59" s="36">
        <v>2.2800000000000001E-2</v>
      </c>
      <c r="D59" s="2" t="s">
        <v>53</v>
      </c>
      <c r="E59" s="71">
        <v>41087</v>
      </c>
      <c r="F59" s="4">
        <v>4</v>
      </c>
      <c r="G59" s="2" t="s">
        <v>52</v>
      </c>
      <c r="H59" s="71">
        <v>118450</v>
      </c>
      <c r="I59" s="4">
        <v>3</v>
      </c>
      <c r="J59" s="74">
        <f>Tabla22[[#This Row],[Base price1]]*Tabla22[[#This Row],[Req.]]+Tabla22[[#This Row],[Base price2]]*Tabla22[[#This Row],[Req.2]]</f>
        <v>519698</v>
      </c>
      <c r="K59" s="71">
        <f>IFERROR(LOOKUP(Tabla22[[#This Row],[Product]],$R$18:$R$23,$T$18:$T$23)*Tabla22[[#This Row],[QualityBonus]]*Tabla22[[#This Row],[Base price1]]*Tabla22[[#This Row],[Req.]],0)</f>
        <v>14988.5376</v>
      </c>
      <c r="L59" s="71">
        <f>IF(Tabla22[[#This Row],[Req.2]]&gt;0,LOOKUP(Tabla22[[#This Row],[Product2]],$R$18:$R$23,$T$18:$T$23)*Tabla22[[#This Row],[Base price2]]*Tabla22[[#This Row],[Req.2]]*Tabla22[[#This Row],[QualityBonus]],0)</f>
        <v>40509.9</v>
      </c>
      <c r="M59" s="74">
        <f>IFERROR((Tabla22[[#This Row],[Base price1]]-LOOKUP(Tabla22[[#This Row],[Product]],$R$18:$R$23,$S$18:$S$23))*Tabla22[[#This Row],[Req.]],0)</f>
        <v>29148</v>
      </c>
      <c r="N59" s="71">
        <f>IF(Tabla22[[#This Row],[Req.2]]&gt;0,(Tabla22[[#This Row],[Base price2]]-LOOKUP(Tabla22[[#This Row],[Product2]],$R$18:$R$23,$S$18:$S$23))*Tabla22[[#This Row],[Req.2]],0)</f>
        <v>19350</v>
      </c>
      <c r="O59" s="74">
        <f>SUM(Tabla22[[#This Row],[Bonus1]:[p2]])</f>
        <v>103996.4376</v>
      </c>
      <c r="P59" s="71">
        <f>IF(Tabla22[[#This Row],[QualityBonus]]&gt;0,Tabla22[[#This Row],[No wages]]-$C$4,"")</f>
        <v>65420.592644047625</v>
      </c>
    </row>
    <row r="60" spans="1:16" x14ac:dyDescent="0.25">
      <c r="A60" s="13">
        <v>44</v>
      </c>
      <c r="B60" s="13" t="s">
        <v>13</v>
      </c>
      <c r="C60" s="36">
        <v>1.7399999999999999E-2</v>
      </c>
      <c r="D60" s="2" t="s">
        <v>53</v>
      </c>
      <c r="E60" s="71">
        <v>40290</v>
      </c>
      <c r="F60" s="4">
        <v>5</v>
      </c>
      <c r="G60" s="2"/>
      <c r="H60" s="71"/>
      <c r="I60" s="4"/>
      <c r="J60" s="74">
        <f>Tabla22[[#This Row],[Base price1]]*Tabla22[[#This Row],[Req.]]+Tabla22[[#This Row],[Base price2]]*Tabla22[[#This Row],[Req.2]]</f>
        <v>201450</v>
      </c>
      <c r="K60" s="71">
        <f>IFERROR(LOOKUP(Tabla22[[#This Row],[Product]],$R$18:$R$23,$T$18:$T$23)*Tabla22[[#This Row],[QualityBonus]]*Tabla22[[#This Row],[Base price1]]*Tabla22[[#This Row],[Req.]],0)</f>
        <v>14020.919999999998</v>
      </c>
      <c r="L60" s="71">
        <f>IF(Tabla22[[#This Row],[Req.2]]&gt;0,LOOKUP(Tabla22[[#This Row],[Product2]],$R$18:$R$23,$T$18:$T$23)*Tabla22[[#This Row],[Base price2]]*Tabla22[[#This Row],[Req.2]]*Tabla22[[#This Row],[QualityBonus]],0)</f>
        <v>0</v>
      </c>
      <c r="M60" s="74">
        <f>IFERROR((Tabla22[[#This Row],[Base price1]]-LOOKUP(Tabla22[[#This Row],[Product]],$R$18:$R$23,$S$18:$S$23))*Tabla22[[#This Row],[Req.]],0)</f>
        <v>32450</v>
      </c>
      <c r="N60" s="71">
        <f>IF(Tabla22[[#This Row],[Req.2]]&gt;0,(Tabla22[[#This Row],[Base price2]]-LOOKUP(Tabla22[[#This Row],[Product2]],$R$18:$R$23,$S$18:$S$23))*Tabla22[[#This Row],[Req.2]],0)</f>
        <v>0</v>
      </c>
      <c r="O60" s="74">
        <f>SUM(Tabla22[[#This Row],[Bonus1]:[p2]])</f>
        <v>46470.92</v>
      </c>
      <c r="P60" s="71">
        <f>IF(Tabla22[[#This Row],[QualityBonus]]&gt;0,Tabla22[[#This Row],[No wages]]-$C$4,"")</f>
        <v>7895.0750440476186</v>
      </c>
    </row>
    <row r="61" spans="1:16" x14ac:dyDescent="0.25">
      <c r="A61" s="13">
        <v>45</v>
      </c>
      <c r="B61" s="13" t="s">
        <v>13</v>
      </c>
      <c r="C61" s="36">
        <v>2.9000000000000001E-2</v>
      </c>
      <c r="D61" s="2" t="s">
        <v>54</v>
      </c>
      <c r="E61" s="71">
        <v>61156</v>
      </c>
      <c r="F61" s="4">
        <v>3</v>
      </c>
      <c r="G61" s="2"/>
      <c r="H61" s="71"/>
      <c r="I61" s="4"/>
      <c r="J61" s="74">
        <f>Tabla22[[#This Row],[Base price1]]*Tabla22[[#This Row],[Req.]]+Tabla22[[#This Row],[Base price2]]*Tabla22[[#This Row],[Req.2]]</f>
        <v>183468</v>
      </c>
      <c r="K61" s="71">
        <f>IFERROR(LOOKUP(Tabla22[[#This Row],[Product]],$R$18:$R$23,$T$18:$T$23)*Tabla22[[#This Row],[QualityBonus]]*Tabla22[[#This Row],[Base price1]]*Tabla22[[#This Row],[Req.]],0)</f>
        <v>26602.86</v>
      </c>
      <c r="L61" s="71">
        <f>IF(Tabla22[[#This Row],[Req.2]]&gt;0,LOOKUP(Tabla22[[#This Row],[Product2]],$R$18:$R$23,$T$18:$T$23)*Tabla22[[#This Row],[Base price2]]*Tabla22[[#This Row],[Req.2]]*Tabla22[[#This Row],[QualityBonus]],0)</f>
        <v>0</v>
      </c>
      <c r="M61" s="74">
        <f>IFERROR((Tabla22[[#This Row],[Base price1]]-LOOKUP(Tabla22[[#This Row],[Product]],$R$18:$R$23,$S$18:$S$23))*Tabla22[[#This Row],[Req.]],0)</f>
        <v>27468</v>
      </c>
      <c r="N61" s="71">
        <f>IF(Tabla22[[#This Row],[Req.2]]&gt;0,(Tabla22[[#This Row],[Base price2]]-LOOKUP(Tabla22[[#This Row],[Product2]],$R$18:$R$23,$S$18:$S$23))*Tabla22[[#This Row],[Req.2]],0)</f>
        <v>0</v>
      </c>
      <c r="O61" s="74">
        <f>SUM(Tabla22[[#This Row],[Bonus1]:[p2]])</f>
        <v>54070.86</v>
      </c>
      <c r="P61" s="71">
        <f>IF(Tabla22[[#This Row],[QualityBonus]]&gt;0,Tabla22[[#This Row],[No wages]]-$C$4,"")</f>
        <v>15495.015044047621</v>
      </c>
    </row>
    <row r="62" spans="1:16" x14ac:dyDescent="0.25">
      <c r="A62" s="13">
        <v>46</v>
      </c>
      <c r="B62" s="13" t="s">
        <v>13</v>
      </c>
      <c r="C62" s="36">
        <v>1.5299999999999999E-2</v>
      </c>
      <c r="D62" s="2" t="s">
        <v>53</v>
      </c>
      <c r="E62" s="71">
        <v>40841</v>
      </c>
      <c r="F62" s="4">
        <v>3</v>
      </c>
      <c r="G62" s="2" t="s">
        <v>57</v>
      </c>
      <c r="H62" s="71">
        <v>85277</v>
      </c>
      <c r="I62" s="4">
        <v>4</v>
      </c>
      <c r="J62" s="74">
        <f>Tabla22[[#This Row],[Base price1]]*Tabla22[[#This Row],[Req.]]+Tabla22[[#This Row],[Base price2]]*Tabla22[[#This Row],[Req.2]]</f>
        <v>463631</v>
      </c>
      <c r="K62" s="71">
        <f>IFERROR(LOOKUP(Tabla22[[#This Row],[Product]],$R$18:$R$23,$T$18:$T$23)*Tabla22[[#This Row],[QualityBonus]]*Tabla22[[#This Row],[Base price1]]*Tabla22[[#This Row],[Req.]],0)</f>
        <v>7498.4076000000005</v>
      </c>
      <c r="L62" s="71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74">
        <f>IFERROR((Tabla22[[#This Row],[Base price1]]-LOOKUP(Tabla22[[#This Row],[Product]],$R$18:$R$23,$S$18:$S$23))*Tabla22[[#This Row],[Req.]],0)</f>
        <v>21123</v>
      </c>
      <c r="N62" s="71">
        <f>IF(Tabla22[[#This Row],[Req.2]]&gt;0,(Tabla22[[#This Row],[Base price2]]-LOOKUP(Tabla22[[#This Row],[Product2]],$R$18:$R$23,$S$18:$S$23))*Tabla22[[#This Row],[Req.2]],0)</f>
        <v>27108</v>
      </c>
      <c r="O62" s="74">
        <f>SUM(Tabla22[[#This Row],[Bonus1]:[p2]])</f>
        <v>76605.217199999999</v>
      </c>
      <c r="P62" s="71">
        <f>IF(Tabla22[[#This Row],[QualityBonus]]&gt;0,Tabla22[[#This Row],[No wages]]-$C$4,"")</f>
        <v>38029.372244047619</v>
      </c>
    </row>
    <row r="63" spans="1:16" x14ac:dyDescent="0.25">
      <c r="A63" s="13">
        <v>47</v>
      </c>
      <c r="B63" s="13" t="s">
        <v>13</v>
      </c>
      <c r="C63" s="36">
        <v>2.0899999999999998E-2</v>
      </c>
      <c r="D63" s="2" t="s">
        <v>54</v>
      </c>
      <c r="E63" s="71">
        <v>62292</v>
      </c>
      <c r="F63" s="4">
        <v>2</v>
      </c>
      <c r="G63" s="2"/>
      <c r="H63" s="71"/>
      <c r="I63" s="4"/>
      <c r="J63" s="74">
        <f>Tabla22[[#This Row],[Base price1]]*Tabla22[[#This Row],[Req.]]+Tabla22[[#This Row],[Base price2]]*Tabla22[[#This Row],[Req.2]]</f>
        <v>124584</v>
      </c>
      <c r="K63" s="71">
        <f>IFERROR(LOOKUP(Tabla22[[#This Row],[Product]],$R$18:$R$23,$T$18:$T$23)*Tabla22[[#This Row],[QualityBonus]]*Tabla22[[#This Row],[Base price1]]*Tabla22[[#This Row],[Req.]],0)</f>
        <v>13019.028</v>
      </c>
      <c r="L63" s="71">
        <f>IF(Tabla22[[#This Row],[Req.2]]&gt;0,LOOKUP(Tabla22[[#This Row],[Product2]],$R$18:$R$23,$T$18:$T$23)*Tabla22[[#This Row],[Base price2]]*Tabla22[[#This Row],[Req.2]]*Tabla22[[#This Row],[QualityBonus]],0)</f>
        <v>0</v>
      </c>
      <c r="M63" s="74">
        <f>IFERROR((Tabla22[[#This Row],[Base price1]]-LOOKUP(Tabla22[[#This Row],[Product]],$R$18:$R$23,$S$18:$S$23))*Tabla22[[#This Row],[Req.]],0)</f>
        <v>20584</v>
      </c>
      <c r="N63" s="71">
        <f>IF(Tabla22[[#This Row],[Req.2]]&gt;0,(Tabla22[[#This Row],[Base price2]]-LOOKUP(Tabla22[[#This Row],[Product2]],$R$18:$R$23,$S$18:$S$23))*Tabla22[[#This Row],[Req.2]],0)</f>
        <v>0</v>
      </c>
      <c r="O63" s="74">
        <f>SUM(Tabla22[[#This Row],[Bonus1]:[p2]])</f>
        <v>33603.027999999998</v>
      </c>
      <c r="P63" s="71">
        <f>IF(Tabla22[[#This Row],[QualityBonus]]&gt;0,Tabla22[[#This Row],[No wages]]-$C$4,"")</f>
        <v>-4972.8169559523812</v>
      </c>
    </row>
    <row r="64" spans="1:16" x14ac:dyDescent="0.25">
      <c r="A64" s="13">
        <v>48</v>
      </c>
      <c r="B64" s="13" t="s">
        <v>13</v>
      </c>
      <c r="C64" s="66">
        <v>2.5999999999999999E-2</v>
      </c>
      <c r="D64" s="2" t="s">
        <v>54</v>
      </c>
      <c r="E64" s="73">
        <v>62770</v>
      </c>
      <c r="F64" s="5">
        <v>4</v>
      </c>
      <c r="G64" s="2" t="s">
        <v>57</v>
      </c>
      <c r="H64" s="71">
        <v>84716</v>
      </c>
      <c r="I64" s="5">
        <v>1</v>
      </c>
      <c r="J64" s="74">
        <f>Tabla22[[#This Row],[Base price1]]*Tabla22[[#This Row],[Req.]]+Tabla22[[#This Row],[Base price2]]*Tabla22[[#This Row],[Req.2]]</f>
        <v>335796</v>
      </c>
      <c r="K64" s="71">
        <f>IFERROR(LOOKUP(Tabla22[[#This Row],[Product]],$R$18:$R$23,$T$18:$T$23)*Tabla22[[#This Row],[QualityBonus]]*Tabla22[[#This Row],[Base price1]]*Tabla22[[#This Row],[Req.]],0)</f>
        <v>32640.400000000001</v>
      </c>
      <c r="L64" s="71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74">
        <f>IFERROR((Tabla22[[#This Row],[Base price1]]-LOOKUP(Tabla22[[#This Row],[Product]],$R$18:$R$23,$S$18:$S$23))*Tabla22[[#This Row],[Req.]],0)</f>
        <v>43080</v>
      </c>
      <c r="N64" s="71">
        <f>IF(Tabla22[[#This Row],[Req.2]]&gt;0,(Tabla22[[#This Row],[Base price2]]-LOOKUP(Tabla22[[#This Row],[Product2]],$R$18:$R$23,$S$18:$S$23))*Tabla22[[#This Row],[Req.2]],0)</f>
        <v>6216</v>
      </c>
      <c r="O64" s="74">
        <f>SUM(Tabla22[[#This Row],[Bonus1]:[p2]])</f>
        <v>90746.864000000001</v>
      </c>
      <c r="P64" s="73">
        <f>IF(Tabla22[[#This Row],[QualityBonus]]&gt;0,Tabla22[[#This Row],[No wages]]-$C$4,"")</f>
        <v>52171.019044047622</v>
      </c>
    </row>
    <row r="65" spans="1:16" x14ac:dyDescent="0.25">
      <c r="A65" s="13">
        <v>49</v>
      </c>
      <c r="B65" s="13" t="s">
        <v>13</v>
      </c>
      <c r="C65" s="66">
        <v>1.7100000000000001E-2</v>
      </c>
      <c r="D65" s="2" t="s">
        <v>53</v>
      </c>
      <c r="E65" s="73">
        <v>42582</v>
      </c>
      <c r="F65" s="5">
        <v>5</v>
      </c>
      <c r="G65" s="2" t="s">
        <v>54</v>
      </c>
      <c r="H65" s="71">
        <v>62487</v>
      </c>
      <c r="I65" s="5">
        <v>2</v>
      </c>
      <c r="J65" s="74">
        <f>Tabla22[[#This Row],[Base price1]]*Tabla22[[#This Row],[Req.]]+Tabla22[[#This Row],[Base price2]]*Tabla22[[#This Row],[Req.2]]</f>
        <v>337884</v>
      </c>
      <c r="K65" s="71">
        <f>IFERROR(LOOKUP(Tabla22[[#This Row],[Product]],$R$18:$R$23,$T$18:$T$23)*Tabla22[[#This Row],[QualityBonus]]*Tabla22[[#This Row],[Base price1]]*Tabla22[[#This Row],[Req.]],0)</f>
        <v>14563.044</v>
      </c>
      <c r="L65" s="71">
        <f>IF(Tabla22[[#This Row],[Req.2]]&gt;0,LOOKUP(Tabla22[[#This Row],[Product2]],$R$18:$R$23,$T$18:$T$23)*Tabla22[[#This Row],[Base price2]]*Tabla22[[#This Row],[Req.2]]*Tabla22[[#This Row],[QualityBonus]],0)</f>
        <v>10685.277</v>
      </c>
      <c r="M65" s="74">
        <f>IFERROR((Tabla22[[#This Row],[Base price1]]-LOOKUP(Tabla22[[#This Row],[Product]],$R$18:$R$23,$S$18:$S$23))*Tabla22[[#This Row],[Req.]],0)</f>
        <v>43910</v>
      </c>
      <c r="N65" s="71">
        <f>IF(Tabla22[[#This Row],[Req.2]]&gt;0,(Tabla22[[#This Row],[Base price2]]-LOOKUP(Tabla22[[#This Row],[Product2]],$R$18:$R$23,$S$18:$S$23))*Tabla22[[#This Row],[Req.2]],0)</f>
        <v>20974</v>
      </c>
      <c r="O65" s="74">
        <f>SUM(Tabla22[[#This Row],[Bonus1]:[p2]])</f>
        <v>90132.320999999996</v>
      </c>
      <c r="P65" s="73">
        <f>IF(Tabla22[[#This Row],[QualityBonus]]&gt;0,Tabla22[[#This Row],[No wages]]-$C$4,"")</f>
        <v>51556.476044047617</v>
      </c>
    </row>
    <row r="66" spans="1:16" x14ac:dyDescent="0.25">
      <c r="A66" s="13">
        <v>50</v>
      </c>
      <c r="B66" s="13" t="s">
        <v>13</v>
      </c>
      <c r="C66" s="66">
        <v>1.0200000000000001E-2</v>
      </c>
      <c r="D66" s="2" t="s">
        <v>54</v>
      </c>
      <c r="E66" s="73">
        <v>59416</v>
      </c>
      <c r="F66" s="5">
        <v>2</v>
      </c>
      <c r="G66" s="2"/>
      <c r="H66" s="71"/>
      <c r="I66" s="5"/>
      <c r="J66" s="74">
        <f>Tabla22[[#This Row],[Base price1]]*Tabla22[[#This Row],[Req.]]+Tabla22[[#This Row],[Base price2]]*Tabla22[[#This Row],[Req.2]]</f>
        <v>118832</v>
      </c>
      <c r="K66" s="71">
        <f>IFERROR(LOOKUP(Tabla22[[#This Row],[Product]],$R$18:$R$23,$T$18:$T$23)*Tabla22[[#This Row],[QualityBonus]]*Tabla22[[#This Row],[Base price1]]*Tabla22[[#This Row],[Req.]],0)</f>
        <v>6060.4320000000007</v>
      </c>
      <c r="L66" s="71">
        <f>IF(Tabla22[[#This Row],[Req.2]]&gt;0,LOOKUP(Tabla22[[#This Row],[Product2]],$R$18:$R$23,$T$18:$T$23)*Tabla22[[#This Row],[Base price2]]*Tabla22[[#This Row],[Req.2]]*Tabla22[[#This Row],[QualityBonus]],0)</f>
        <v>0</v>
      </c>
      <c r="M66" s="74">
        <f>IFERROR((Tabla22[[#This Row],[Base price1]]-LOOKUP(Tabla22[[#This Row],[Product]],$R$18:$R$23,$S$18:$S$23))*Tabla22[[#This Row],[Req.]],0)</f>
        <v>14832</v>
      </c>
      <c r="N66" s="71">
        <f>IF(Tabla22[[#This Row],[Req.2]]&gt;0,(Tabla22[[#This Row],[Base price2]]-LOOKUP(Tabla22[[#This Row],[Product2]],$R$18:$R$23,$S$18:$S$23))*Tabla22[[#This Row],[Req.2]],0)</f>
        <v>0</v>
      </c>
      <c r="O66" s="74">
        <f>SUM(Tabla22[[#This Row],[Bonus1]:[p2]])</f>
        <v>20892.432000000001</v>
      </c>
      <c r="P66" s="73">
        <f>IF(Tabla22[[#This Row],[QualityBonus]]&gt;0,Tabla22[[#This Row],[No wages]]-$C$4,"")</f>
        <v>-17683.412955952379</v>
      </c>
    </row>
    <row r="67" spans="1:16" x14ac:dyDescent="0.25">
      <c r="A67" s="13">
        <v>51</v>
      </c>
      <c r="B67" s="13" t="s">
        <v>13</v>
      </c>
      <c r="C67" s="66">
        <v>2.7099999999999999E-2</v>
      </c>
      <c r="D67" s="2" t="s">
        <v>53</v>
      </c>
      <c r="E67" s="73">
        <v>42602</v>
      </c>
      <c r="F67" s="5">
        <v>5</v>
      </c>
      <c r="G67" s="2"/>
      <c r="H67" s="71"/>
      <c r="I67" s="5"/>
      <c r="J67" s="74">
        <f>Tabla22[[#This Row],[Base price1]]*Tabla22[[#This Row],[Req.]]+Tabla22[[#This Row],[Base price2]]*Tabla22[[#This Row],[Req.2]]</f>
        <v>213010</v>
      </c>
      <c r="K67" s="71">
        <f>IFERROR(LOOKUP(Tabla22[[#This Row],[Product]],$R$18:$R$23,$T$18:$T$23)*Tabla22[[#This Row],[QualityBonus]]*Tabla22[[#This Row],[Base price1]]*Tabla22[[#This Row],[Req.]],0)</f>
        <v>23090.284</v>
      </c>
      <c r="L67" s="71">
        <f>IF(Tabla22[[#This Row],[Req.2]]&gt;0,LOOKUP(Tabla22[[#This Row],[Product2]],$R$18:$R$23,$T$18:$T$23)*Tabla22[[#This Row],[Base price2]]*Tabla22[[#This Row],[Req.2]]*Tabla22[[#This Row],[QualityBonus]],0)</f>
        <v>0</v>
      </c>
      <c r="M67" s="74">
        <f>IFERROR((Tabla22[[#This Row],[Base price1]]-LOOKUP(Tabla22[[#This Row],[Product]],$R$18:$R$23,$S$18:$S$23))*Tabla22[[#This Row],[Req.]],0)</f>
        <v>44010</v>
      </c>
      <c r="N67" s="71">
        <f>IF(Tabla22[[#This Row],[Req.2]]&gt;0,(Tabla22[[#This Row],[Base price2]]-LOOKUP(Tabla22[[#This Row],[Product2]],$R$18:$R$23,$S$18:$S$23))*Tabla22[[#This Row],[Req.2]],0)</f>
        <v>0</v>
      </c>
      <c r="O67" s="74">
        <f>SUM(Tabla22[[#This Row],[Bonus1]:[p2]])</f>
        <v>67100.284</v>
      </c>
      <c r="P67" s="73">
        <f>IF(Tabla22[[#This Row],[QualityBonus]]&gt;0,Tabla22[[#This Row],[No wages]]-$C$4,"")</f>
        <v>28524.43904404762</v>
      </c>
    </row>
    <row r="68" spans="1:16" x14ac:dyDescent="0.25">
      <c r="A68" s="13">
        <v>52</v>
      </c>
      <c r="B68" s="13" t="s">
        <v>13</v>
      </c>
      <c r="C68" s="66">
        <v>2.9399999999999999E-2</v>
      </c>
      <c r="D68" s="2" t="s">
        <v>27</v>
      </c>
      <c r="E68" s="73">
        <v>825825</v>
      </c>
      <c r="F68" s="5">
        <v>3</v>
      </c>
      <c r="G68" s="2" t="s">
        <v>53</v>
      </c>
      <c r="H68" s="71">
        <v>40101</v>
      </c>
      <c r="I68" s="5">
        <v>5</v>
      </c>
      <c r="J68" s="74">
        <f>Tabla22[[#This Row],[Base price1]]*Tabla22[[#This Row],[Req.]]+Tabla22[[#This Row],[Base price2]]*Tabla22[[#This Row],[Req.2]]</f>
        <v>2677980</v>
      </c>
      <c r="K68" s="71">
        <f>IFERROR(LOOKUP(Tabla22[[#This Row],[Product]],$R$18:$R$23,$T$18:$T$23)*Tabla22[[#This Row],[QualityBonus]]*Tabla22[[#This Row],[Base price1]]*Tabla22[[#This Row],[Req.]],0)</f>
        <v>291351.06</v>
      </c>
      <c r="L68" s="71">
        <f>IF(Tabla22[[#This Row],[Req.2]]&gt;0,LOOKUP(Tabla22[[#This Row],[Product2]],$R$18:$R$23,$T$18:$T$23)*Tabla22[[#This Row],[Base price2]]*Tabla22[[#This Row],[Req.2]]*Tabla22[[#This Row],[QualityBonus]],0)</f>
        <v>23579.387999999999</v>
      </c>
      <c r="M68" s="74">
        <f>IFERROR((Tabla22[[#This Row],[Base price1]]-LOOKUP(Tabla22[[#This Row],[Product]],$R$18:$R$23,$S$18:$S$23))*Tabla22[[#This Row],[Req.]],0)</f>
        <v>-96525</v>
      </c>
      <c r="N68" s="71">
        <f>IF(Tabla22[[#This Row],[Req.2]]&gt;0,(Tabla22[[#This Row],[Base price2]]-LOOKUP(Tabla22[[#This Row],[Product2]],$R$18:$R$23,$S$18:$S$23))*Tabla22[[#This Row],[Req.2]],0)</f>
        <v>31505</v>
      </c>
      <c r="O68" s="74">
        <f>SUM(Tabla22[[#This Row],[Bonus1]:[p2]])</f>
        <v>249910.44799999997</v>
      </c>
      <c r="P68" s="73">
        <f>IF(Tabla22[[#This Row],[QualityBonus]]&gt;0,Tabla22[[#This Row],[No wages]]-$C$4,"")</f>
        <v>211334.6030440476</v>
      </c>
    </row>
    <row r="69" spans="1:16" x14ac:dyDescent="0.25">
      <c r="A69" s="13">
        <v>53</v>
      </c>
      <c r="B69" s="13" t="s">
        <v>13</v>
      </c>
      <c r="C69" s="66">
        <v>2.9600000000000001E-2</v>
      </c>
      <c r="D69" s="2" t="s">
        <v>54</v>
      </c>
      <c r="E69" s="73">
        <v>61467</v>
      </c>
      <c r="F69" s="5">
        <v>1</v>
      </c>
      <c r="G69" s="2"/>
      <c r="H69" s="71"/>
      <c r="I69" s="5"/>
      <c r="J69" s="74">
        <f>Tabla22[[#This Row],[Base price1]]*Tabla22[[#This Row],[Req.]]+Tabla22[[#This Row],[Base price2]]*Tabla22[[#This Row],[Req.2]]</f>
        <v>61467</v>
      </c>
      <c r="K69" s="71">
        <f>IFERROR(LOOKUP(Tabla22[[#This Row],[Product]],$R$18:$R$23,$T$18:$T$23)*Tabla22[[#This Row],[QualityBonus]]*Tabla22[[#This Row],[Base price1]]*Tabla22[[#This Row],[Req.]],0)</f>
        <v>9097.1160000000018</v>
      </c>
      <c r="L69" s="71">
        <f>IF(Tabla22[[#This Row],[Req.2]]&gt;0,LOOKUP(Tabla22[[#This Row],[Product2]],$R$18:$R$23,$T$18:$T$23)*Tabla22[[#This Row],[Base price2]]*Tabla22[[#This Row],[Req.2]]*Tabla22[[#This Row],[QualityBonus]],0)</f>
        <v>0</v>
      </c>
      <c r="M69" s="74">
        <f>IFERROR((Tabla22[[#This Row],[Base price1]]-LOOKUP(Tabla22[[#This Row],[Product]],$R$18:$R$23,$S$18:$S$23))*Tabla22[[#This Row],[Req.]],0)</f>
        <v>9467</v>
      </c>
      <c r="N69" s="71">
        <f>IF(Tabla22[[#This Row],[Req.2]]&gt;0,(Tabla22[[#This Row],[Base price2]]-LOOKUP(Tabla22[[#This Row],[Product2]],$R$18:$R$23,$S$18:$S$23))*Tabla22[[#This Row],[Req.2]],0)</f>
        <v>0</v>
      </c>
      <c r="O69" s="74">
        <f>SUM(Tabla22[[#This Row],[Bonus1]:[p2]])</f>
        <v>18564.116000000002</v>
      </c>
      <c r="P69" s="73">
        <f>IF(Tabla22[[#This Row],[QualityBonus]]&gt;0,Tabla22[[#This Row],[No wages]]-$C$4,"")</f>
        <v>-20011.728955952378</v>
      </c>
    </row>
    <row r="70" spans="1:16" x14ac:dyDescent="0.25">
      <c r="A70" s="13">
        <v>54</v>
      </c>
      <c r="B70" s="13" t="s">
        <v>13</v>
      </c>
      <c r="C70" s="66">
        <v>1.9099999999999999E-2</v>
      </c>
      <c r="D70" s="2" t="s">
        <v>52</v>
      </c>
      <c r="E70" s="73">
        <v>119307</v>
      </c>
      <c r="F70" s="5">
        <v>1</v>
      </c>
      <c r="G70" s="2" t="s">
        <v>53</v>
      </c>
      <c r="H70" s="71">
        <v>42570</v>
      </c>
      <c r="I70" s="5">
        <v>3</v>
      </c>
      <c r="J70" s="74">
        <f>Tabla22[[#This Row],[Base price1]]*Tabla22[[#This Row],[Req.]]+Tabla22[[#This Row],[Base price2]]*Tabla22[[#This Row],[Req.2]]</f>
        <v>247017</v>
      </c>
      <c r="K70" s="71">
        <f>IFERROR(LOOKUP(Tabla22[[#This Row],[Product]],$R$18:$R$23,$T$18:$T$23)*Tabla22[[#This Row],[QualityBonus]]*Tabla22[[#This Row],[Base price1]]*Tabla22[[#This Row],[Req.]],0)</f>
        <v>11393.818499999999</v>
      </c>
      <c r="L70" s="71">
        <f>IF(Tabla22[[#This Row],[Req.2]]&gt;0,LOOKUP(Tabla22[[#This Row],[Product2]],$R$18:$R$23,$T$18:$T$23)*Tabla22[[#This Row],[Base price2]]*Tabla22[[#This Row],[Req.2]]*Tabla22[[#This Row],[QualityBonus]],0)</f>
        <v>9757.0439999999999</v>
      </c>
      <c r="M70" s="74">
        <f>IFERROR((Tabla22[[#This Row],[Base price1]]-LOOKUP(Tabla22[[#This Row],[Product]],$R$18:$R$23,$S$18:$S$23))*Tabla22[[#This Row],[Req.]],0)</f>
        <v>7307</v>
      </c>
      <c r="N70" s="71">
        <f>IF(Tabla22[[#This Row],[Req.2]]&gt;0,(Tabla22[[#This Row],[Base price2]]-LOOKUP(Tabla22[[#This Row],[Product2]],$R$18:$R$23,$S$18:$S$23))*Tabla22[[#This Row],[Req.2]],0)</f>
        <v>26310</v>
      </c>
      <c r="O70" s="74">
        <f>SUM(Tabla22[[#This Row],[Bonus1]:[p2]])</f>
        <v>54767.862500000003</v>
      </c>
      <c r="P70" s="73">
        <f>IF(Tabla22[[#This Row],[QualityBonus]]&gt;0,Tabla22[[#This Row],[No wages]]-$C$4,"")</f>
        <v>16192.017544047623</v>
      </c>
    </row>
    <row r="71" spans="1:16" x14ac:dyDescent="0.25">
      <c r="A71" s="13">
        <v>55</v>
      </c>
      <c r="B71" s="13" t="s">
        <v>13</v>
      </c>
      <c r="C71" s="66">
        <v>1.61E-2</v>
      </c>
      <c r="D71" s="2" t="s">
        <v>54</v>
      </c>
      <c r="E71" s="71">
        <v>61283</v>
      </c>
      <c r="F71" s="4">
        <v>1</v>
      </c>
      <c r="G71" s="2"/>
      <c r="H71" s="71"/>
      <c r="I71" s="4"/>
      <c r="J71" s="74">
        <f>Tabla22[[#This Row],[Base price1]]*Tabla22[[#This Row],[Req.]]+Tabla22[[#This Row],[Base price2]]*Tabla22[[#This Row],[Req.2]]</f>
        <v>61283</v>
      </c>
      <c r="K71" s="71">
        <f>IFERROR(LOOKUP(Tabla22[[#This Row],[Product]],$R$18:$R$23,$T$18:$T$23)*Tabla22[[#This Row],[QualityBonus]]*Tabla22[[#This Row],[Base price1]]*Tabla22[[#This Row],[Req.]],0)</f>
        <v>4933.2815000000001</v>
      </c>
      <c r="L71" s="71">
        <f>IF(Tabla22[[#This Row],[Req.2]]&gt;0,LOOKUP(Tabla22[[#This Row],[Product2]],$R$18:$R$23,$T$18:$T$23)*Tabla22[[#This Row],[Base price2]]*Tabla22[[#This Row],[Req.2]]*Tabla22[[#This Row],[QualityBonus]],0)</f>
        <v>0</v>
      </c>
      <c r="M71" s="74">
        <f>IFERROR((Tabla22[[#This Row],[Base price1]]-LOOKUP(Tabla22[[#This Row],[Product]],$R$18:$R$23,$S$18:$S$23))*Tabla22[[#This Row],[Req.]],0)</f>
        <v>9283</v>
      </c>
      <c r="N71" s="71">
        <f>IF(Tabla22[[#This Row],[Req.2]]&gt;0,(Tabla22[[#This Row],[Base price2]]-LOOKUP(Tabla22[[#This Row],[Product2]],$R$18:$R$23,$S$18:$S$23))*Tabla22[[#This Row],[Req.2]],0)</f>
        <v>0</v>
      </c>
      <c r="O71" s="74">
        <f>SUM(Tabla22[[#This Row],[Bonus1]:[p2]])</f>
        <v>14216.281500000001</v>
      </c>
      <c r="P71" s="71">
        <f>IF(Tabla22[[#This Row],[QualityBonus]]&gt;0,Tabla22[[#This Row],[No wages]]-$C$4,"")</f>
        <v>-24359.563455952379</v>
      </c>
    </row>
    <row r="72" spans="1:16" x14ac:dyDescent="0.25">
      <c r="A72" s="24">
        <v>56</v>
      </c>
      <c r="B72" s="24" t="s">
        <v>13</v>
      </c>
      <c r="C72" s="44">
        <v>2.1899999999999999E-2</v>
      </c>
      <c r="D72" s="37" t="s">
        <v>55</v>
      </c>
      <c r="E72" s="72">
        <v>84255</v>
      </c>
      <c r="F72" s="39">
        <v>1</v>
      </c>
      <c r="G72" s="37" t="s">
        <v>54</v>
      </c>
      <c r="H72" s="72">
        <v>59249</v>
      </c>
      <c r="I72" s="39">
        <v>1</v>
      </c>
      <c r="J72" s="75">
        <f>Tabla22[[#This Row],[Base price1]]*Tabla22[[#This Row],[Req.]]+Tabla22[[#This Row],[Base price2]]*Tabla22[[#This Row],[Req.2]]</f>
        <v>143504</v>
      </c>
      <c r="K72" s="72">
        <f>IFERROR(LOOKUP(Tabla22[[#This Row],[Product]],$R$18:$R$23,$T$18:$T$23)*Tabla22[[#This Row],[QualityBonus]]*Tabla22[[#This Row],[Base price1]]*Tabla22[[#This Row],[Req.]],0)</f>
        <v>7380.7379999999994</v>
      </c>
      <c r="L72" s="72">
        <f>IF(Tabla22[[#This Row],[Req.2]]&gt;0,LOOKUP(Tabla22[[#This Row],[Product2]],$R$18:$R$23,$T$18:$T$23)*Tabla22[[#This Row],[Base price2]]*Tabla22[[#This Row],[Req.2]]*Tabla22[[#This Row],[QualityBonus]],0)</f>
        <v>6487.7654999999995</v>
      </c>
      <c r="M72" s="75">
        <f>IFERROR((Tabla22[[#This Row],[Base price1]]-LOOKUP(Tabla22[[#This Row],[Product]],$R$18:$R$23,$S$18:$S$23))*Tabla22[[#This Row],[Req.]],0)</f>
        <v>5755</v>
      </c>
      <c r="N72" s="72">
        <f>IF(Tabla22[[#This Row],[Req.2]]&gt;0,(Tabla22[[#This Row],[Base price2]]-LOOKUP(Tabla22[[#This Row],[Product2]],$R$18:$R$23,$S$18:$S$23))*Tabla22[[#This Row],[Req.2]],0)</f>
        <v>7249</v>
      </c>
      <c r="O72" s="75">
        <f>SUM(Tabla22[[#This Row],[Bonus1]:[p2]])</f>
        <v>26872.503499999999</v>
      </c>
      <c r="P72" s="72">
        <f>IF(Tabla22[[#This Row],[QualityBonus]]&gt;0,Tabla22[[#This Row],[No wages]]-$C$4,"")</f>
        <v>-11703.341455952381</v>
      </c>
    </row>
    <row r="73" spans="1:16" x14ac:dyDescent="0.25">
      <c r="A73" s="13">
        <v>57</v>
      </c>
      <c r="B73" s="13" t="s">
        <v>13</v>
      </c>
      <c r="C73" s="66">
        <v>1.5800000000000002E-2</v>
      </c>
      <c r="D73" s="2" t="s">
        <v>54</v>
      </c>
      <c r="E73" s="73">
        <v>62381</v>
      </c>
      <c r="F73" s="5">
        <v>2</v>
      </c>
      <c r="G73" s="2" t="s">
        <v>53</v>
      </c>
      <c r="H73" s="71">
        <v>41862</v>
      </c>
      <c r="I73" s="5">
        <v>3</v>
      </c>
      <c r="J73" s="74">
        <f>Tabla22[[#This Row],[Base price1]]*Tabla22[[#This Row],[Req.]]+Tabla22[[#This Row],[Base price2]]*Tabla22[[#This Row],[Req.2]]</f>
        <v>250348</v>
      </c>
      <c r="K73" s="71">
        <f>IFERROR(LOOKUP(Tabla22[[#This Row],[Product]],$R$18:$R$23,$T$18:$T$23)*Tabla22[[#This Row],[QualityBonus]]*Tabla22[[#This Row],[Base price1]]*Tabla22[[#This Row],[Req.]],0)</f>
        <v>9856.1980000000021</v>
      </c>
      <c r="L73" s="71">
        <f>IF(Tabla22[[#This Row],[Req.2]]&gt;0,LOOKUP(Tabla22[[#This Row],[Product2]],$R$18:$R$23,$T$18:$T$23)*Tabla22[[#This Row],[Base price2]]*Tabla22[[#This Row],[Req.2]]*Tabla22[[#This Row],[QualityBonus]],0)</f>
        <v>7937.0352000000012</v>
      </c>
      <c r="M73" s="74">
        <f>IFERROR((Tabla22[[#This Row],[Base price1]]-LOOKUP(Tabla22[[#This Row],[Product]],$R$18:$R$23,$S$18:$S$23))*Tabla22[[#This Row],[Req.]],0)</f>
        <v>20762</v>
      </c>
      <c r="N73" s="71">
        <f>IF(Tabla22[[#This Row],[Req.2]]&gt;0,(Tabla22[[#This Row],[Base price2]]-LOOKUP(Tabla22[[#This Row],[Product2]],$R$18:$R$23,$S$18:$S$23))*Tabla22[[#This Row],[Req.2]],0)</f>
        <v>24186</v>
      </c>
      <c r="O73" s="74">
        <f>SUM(Tabla22[[#This Row],[Bonus1]:[p2]])</f>
        <v>62741.233200000002</v>
      </c>
      <c r="P73" s="73">
        <f>IF(Tabla22[[#This Row],[QualityBonus]]&gt;0,Tabla22[[#This Row],[No wages]]-$C$4,"")</f>
        <v>24165.388244047623</v>
      </c>
    </row>
    <row r="74" spans="1:16" x14ac:dyDescent="0.25">
      <c r="A74" s="13">
        <v>58</v>
      </c>
      <c r="B74" s="13" t="s">
        <v>13</v>
      </c>
      <c r="C74" s="66">
        <v>1.21E-2</v>
      </c>
      <c r="D74" s="2" t="s">
        <v>53</v>
      </c>
      <c r="E74" s="73">
        <v>40404</v>
      </c>
      <c r="F74" s="5">
        <v>2</v>
      </c>
      <c r="G74" s="2" t="s">
        <v>52</v>
      </c>
      <c r="H74" s="71">
        <v>121380</v>
      </c>
      <c r="I74" s="5">
        <v>2</v>
      </c>
      <c r="J74" s="74">
        <f>Tabla22[[#This Row],[Base price1]]*Tabla22[[#This Row],[Req.]]+Tabla22[[#This Row],[Base price2]]*Tabla22[[#This Row],[Req.2]]</f>
        <v>323568</v>
      </c>
      <c r="K74" s="71">
        <f>IFERROR(LOOKUP(Tabla22[[#This Row],[Product]],$R$18:$R$23,$T$18:$T$23)*Tabla22[[#This Row],[QualityBonus]]*Tabla22[[#This Row],[Base price1]]*Tabla22[[#This Row],[Req.]],0)</f>
        <v>3911.1071999999999</v>
      </c>
      <c r="L74" s="71">
        <f>IF(Tabla22[[#This Row],[Req.2]]&gt;0,LOOKUP(Tabla22[[#This Row],[Product2]],$R$18:$R$23,$T$18:$T$23)*Tabla22[[#This Row],[Base price2]]*Tabla22[[#This Row],[Req.2]]*Tabla22[[#This Row],[QualityBonus]],0)</f>
        <v>14686.98</v>
      </c>
      <c r="M74" s="74">
        <f>IFERROR((Tabla22[[#This Row],[Base price1]]-LOOKUP(Tabla22[[#This Row],[Product]],$R$18:$R$23,$S$18:$S$23))*Tabla22[[#This Row],[Req.]],0)</f>
        <v>13208</v>
      </c>
      <c r="N74" s="71">
        <f>IF(Tabla22[[#This Row],[Req.2]]&gt;0,(Tabla22[[#This Row],[Base price2]]-LOOKUP(Tabla22[[#This Row],[Product2]],$R$18:$R$23,$S$18:$S$23))*Tabla22[[#This Row],[Req.2]],0)</f>
        <v>18760</v>
      </c>
      <c r="O74" s="74">
        <f>SUM(Tabla22[[#This Row],[Bonus1]:[p2]])</f>
        <v>50566.087199999994</v>
      </c>
      <c r="P74" s="73">
        <f>IF(Tabla22[[#This Row],[QualityBonus]]&gt;0,Tabla22[[#This Row],[No wages]]-$C$4,"")</f>
        <v>11990.242244047615</v>
      </c>
    </row>
    <row r="75" spans="1:16" x14ac:dyDescent="0.25">
      <c r="A75" s="13">
        <v>59</v>
      </c>
      <c r="B75" s="13" t="s">
        <v>13</v>
      </c>
      <c r="C75" s="66">
        <v>1.1599999999999999E-2</v>
      </c>
      <c r="D75" s="2" t="s">
        <v>54</v>
      </c>
      <c r="E75" s="73">
        <v>62536</v>
      </c>
      <c r="F75" s="5">
        <v>4</v>
      </c>
      <c r="G75" s="2" t="s">
        <v>53</v>
      </c>
      <c r="H75" s="71">
        <v>41912</v>
      </c>
      <c r="I75" s="5">
        <v>2</v>
      </c>
      <c r="J75" s="74">
        <f>Tabla22[[#This Row],[Base price1]]*Tabla22[[#This Row],[Req.]]+Tabla22[[#This Row],[Base price2]]*Tabla22[[#This Row],[Req.2]]</f>
        <v>333968</v>
      </c>
      <c r="K75" s="71">
        <f>IFERROR(LOOKUP(Tabla22[[#This Row],[Product]],$R$18:$R$23,$T$18:$T$23)*Tabla22[[#This Row],[QualityBonus]]*Tabla22[[#This Row],[Base price1]]*Tabla22[[#This Row],[Req.]],0)</f>
        <v>14508.351999999999</v>
      </c>
      <c r="L75" s="71">
        <f>IF(Tabla22[[#This Row],[Req.2]]&gt;0,LOOKUP(Tabla22[[#This Row],[Product2]],$R$18:$R$23,$T$18:$T$23)*Tabla22[[#This Row],[Base price2]]*Tabla22[[#This Row],[Req.2]]*Tabla22[[#This Row],[QualityBonus]],0)</f>
        <v>3889.4335999999998</v>
      </c>
      <c r="M75" s="74">
        <f>IFERROR((Tabla22[[#This Row],[Base price1]]-LOOKUP(Tabla22[[#This Row],[Product]],$R$18:$R$23,$S$18:$S$23))*Tabla22[[#This Row],[Req.]],0)</f>
        <v>42144</v>
      </c>
      <c r="N75" s="71">
        <f>IF(Tabla22[[#This Row],[Req.2]]&gt;0,(Tabla22[[#This Row],[Base price2]]-LOOKUP(Tabla22[[#This Row],[Product2]],$R$18:$R$23,$S$18:$S$23))*Tabla22[[#This Row],[Req.2]],0)</f>
        <v>16224</v>
      </c>
      <c r="O75" s="74">
        <f>SUM(Tabla22[[#This Row],[Bonus1]:[p2]])</f>
        <v>76765.785600000003</v>
      </c>
      <c r="P75" s="73">
        <f>IF(Tabla22[[#This Row],[QualityBonus]]&gt;0,Tabla22[[#This Row],[No wages]]-$C$4,"")</f>
        <v>38189.940644047623</v>
      </c>
    </row>
    <row r="76" spans="1:16" x14ac:dyDescent="0.25">
      <c r="A76" s="13">
        <v>60</v>
      </c>
      <c r="B76" s="13" t="s">
        <v>13</v>
      </c>
      <c r="C76" s="66">
        <v>2.0299999999999999E-2</v>
      </c>
      <c r="D76" s="2" t="s">
        <v>53</v>
      </c>
      <c r="E76" s="73">
        <v>40580</v>
      </c>
      <c r="F76" s="5">
        <v>4</v>
      </c>
      <c r="G76" s="2" t="s">
        <v>54</v>
      </c>
      <c r="H76" s="71">
        <v>59385</v>
      </c>
      <c r="I76" s="5">
        <v>1</v>
      </c>
      <c r="J76" s="74">
        <f>Tabla22[[#This Row],[Base price1]]*Tabla22[[#This Row],[Req.]]+Tabla22[[#This Row],[Base price2]]*Tabla22[[#This Row],[Req.2]]</f>
        <v>221705</v>
      </c>
      <c r="K76" s="71">
        <f>IFERROR(LOOKUP(Tabla22[[#This Row],[Product]],$R$18:$R$23,$T$18:$T$23)*Tabla22[[#This Row],[QualityBonus]]*Tabla22[[#This Row],[Base price1]]*Tabla22[[#This Row],[Req.]],0)</f>
        <v>13180.383999999998</v>
      </c>
      <c r="L76" s="71">
        <f>IF(Tabla22[[#This Row],[Req.2]]&gt;0,LOOKUP(Tabla22[[#This Row],[Product2]],$R$18:$R$23,$T$18:$T$23)*Tabla22[[#This Row],[Base price2]]*Tabla22[[#This Row],[Req.2]]*Tabla22[[#This Row],[QualityBonus]],0)</f>
        <v>6027.5774999999994</v>
      </c>
      <c r="M76" s="74">
        <f>IFERROR((Tabla22[[#This Row],[Base price1]]-LOOKUP(Tabla22[[#This Row],[Product]],$R$18:$R$23,$S$18:$S$23))*Tabla22[[#This Row],[Req.]],0)</f>
        <v>27120</v>
      </c>
      <c r="N76" s="71">
        <f>IF(Tabla22[[#This Row],[Req.2]]&gt;0,(Tabla22[[#This Row],[Base price2]]-LOOKUP(Tabla22[[#This Row],[Product2]],$R$18:$R$23,$S$18:$S$23))*Tabla22[[#This Row],[Req.2]],0)</f>
        <v>7385</v>
      </c>
      <c r="O76" s="74">
        <f>SUM(Tabla22[[#This Row],[Bonus1]:[p2]])</f>
        <v>53712.961499999998</v>
      </c>
      <c r="P76" s="73">
        <f>IF(Tabla22[[#This Row],[QualityBonus]]&gt;0,Tabla22[[#This Row],[No wages]]-$C$4,"")</f>
        <v>15137.116544047618</v>
      </c>
    </row>
    <row r="77" spans="1:16" x14ac:dyDescent="0.25">
      <c r="A77" s="13">
        <v>61</v>
      </c>
      <c r="B77" s="13" t="s">
        <v>13</v>
      </c>
      <c r="C77" s="66">
        <v>2.2200000000000001E-2</v>
      </c>
      <c r="D77" s="2" t="s">
        <v>56</v>
      </c>
      <c r="E77" s="73">
        <v>222195</v>
      </c>
      <c r="F77" s="5">
        <v>1</v>
      </c>
      <c r="G77" s="2" t="s">
        <v>52</v>
      </c>
      <c r="H77" s="73">
        <v>117614</v>
      </c>
      <c r="I77" s="5">
        <v>3</v>
      </c>
      <c r="J77" s="74">
        <f>Tabla22[[#This Row],[Base price1]]*Tabla22[[#This Row],[Req.]]+Tabla22[[#This Row],[Base price2]]*Tabla22[[#This Row],[Req.2]]</f>
        <v>575037</v>
      </c>
      <c r="K77" s="71">
        <f>IFERROR(LOOKUP(Tabla22[[#This Row],[Product]],$R$18:$R$23,$T$18:$T$23)*Tabla22[[#This Row],[QualityBonus]]*Tabla22[[#This Row],[Base price1]]*Tabla22[[#This Row],[Req.]],0)</f>
        <v>19730.916000000001</v>
      </c>
      <c r="L77" s="71">
        <f>IF(Tabla22[[#This Row],[Req.2]]&gt;0,LOOKUP(Tabla22[[#This Row],[Product2]],$R$18:$R$23,$T$18:$T$23)*Tabla22[[#This Row],[Base price2]]*Tabla22[[#This Row],[Req.2]]*Tabla22[[#This Row],[QualityBonus]],0)</f>
        <v>39165.462</v>
      </c>
      <c r="M77" s="74">
        <f>IFERROR((Tabla22[[#This Row],[Base price1]]-LOOKUP(Tabla22[[#This Row],[Product]],$R$18:$R$23,$S$18:$S$23))*Tabla22[[#This Row],[Req.]],0)</f>
        <v>1195</v>
      </c>
      <c r="N77" s="71">
        <f>IF(Tabla22[[#This Row],[Req.2]]&gt;0,(Tabla22[[#This Row],[Base price2]]-LOOKUP(Tabla22[[#This Row],[Product2]],$R$18:$R$23,$S$18:$S$23))*Tabla22[[#This Row],[Req.2]],0)</f>
        <v>16842</v>
      </c>
      <c r="O77" s="74">
        <f>SUM(Tabla22[[#This Row],[Bonus1]:[p2]])</f>
        <v>76933.377999999997</v>
      </c>
      <c r="P77" s="73">
        <f>IF(Tabla22[[#This Row],[QualityBonus]]&gt;0,Tabla22[[#This Row],[No wages]]-$C$4,"")</f>
        <v>38357.533044047617</v>
      </c>
    </row>
    <row r="78" spans="1:16" x14ac:dyDescent="0.25">
      <c r="A78" s="13">
        <v>62</v>
      </c>
      <c r="B78" s="13" t="s">
        <v>13</v>
      </c>
      <c r="C78" s="66">
        <v>2.1299999999999999E-2</v>
      </c>
      <c r="D78" s="2" t="s">
        <v>52</v>
      </c>
      <c r="E78" s="73">
        <v>120518</v>
      </c>
      <c r="F78" s="5">
        <v>1</v>
      </c>
      <c r="G78" s="2" t="s">
        <v>53</v>
      </c>
      <c r="H78" s="73">
        <v>40446</v>
      </c>
      <c r="I78" s="5">
        <v>3</v>
      </c>
      <c r="J78" s="74">
        <f>Tabla22[[#This Row],[Base price1]]*Tabla22[[#This Row],[Req.]]+Tabla22[[#This Row],[Base price2]]*Tabla22[[#This Row],[Req.2]]</f>
        <v>241856</v>
      </c>
      <c r="K78" s="71">
        <f>IFERROR(LOOKUP(Tabla22[[#This Row],[Product]],$R$18:$R$23,$T$18:$T$23)*Tabla22[[#This Row],[QualityBonus]]*Tabla22[[#This Row],[Base price1]]*Tabla22[[#This Row],[Req.]],0)</f>
        <v>12835.166999999999</v>
      </c>
      <c r="L78" s="71">
        <f>IF(Tabla22[[#This Row],[Req.2]]&gt;0,LOOKUP(Tabla22[[#This Row],[Product2]],$R$18:$R$23,$T$18:$T$23)*Tabla22[[#This Row],[Base price2]]*Tabla22[[#This Row],[Req.2]]*Tabla22[[#This Row],[QualityBonus]],0)</f>
        <v>10337.997600000001</v>
      </c>
      <c r="M78" s="74">
        <f>IFERROR((Tabla22[[#This Row],[Base price1]]-LOOKUP(Tabla22[[#This Row],[Product]],$R$18:$R$23,$S$18:$S$23))*Tabla22[[#This Row],[Req.]],0)</f>
        <v>8518</v>
      </c>
      <c r="N78" s="71">
        <f>IF(Tabla22[[#This Row],[Req.2]]&gt;0,(Tabla22[[#This Row],[Base price2]]-LOOKUP(Tabla22[[#This Row],[Product2]],$R$18:$R$23,$S$18:$S$23))*Tabla22[[#This Row],[Req.2]],0)</f>
        <v>19938</v>
      </c>
      <c r="O78" s="74">
        <f>SUM(Tabla22[[#This Row],[Bonus1]:[p2]])</f>
        <v>51629.164600000004</v>
      </c>
      <c r="P78" s="73">
        <f>IF(Tabla22[[#This Row],[QualityBonus]]&gt;0,Tabla22[[#This Row],[No wages]]-$C$4,"")</f>
        <v>13053.319644047624</v>
      </c>
    </row>
    <row r="79" spans="1:16" x14ac:dyDescent="0.25">
      <c r="A79" s="13">
        <v>63</v>
      </c>
      <c r="B79" s="13" t="s">
        <v>13</v>
      </c>
      <c r="C79" s="66">
        <v>2.75E-2</v>
      </c>
      <c r="D79" s="2" t="s">
        <v>53</v>
      </c>
      <c r="E79" s="73">
        <v>40932</v>
      </c>
      <c r="F79" s="5">
        <v>2</v>
      </c>
      <c r="G79" s="2" t="s">
        <v>54</v>
      </c>
      <c r="H79" s="73">
        <v>59663</v>
      </c>
      <c r="I79" s="5">
        <v>4</v>
      </c>
      <c r="J79" s="74">
        <f>Tabla22[[#This Row],[Base price1]]*Tabla22[[#This Row],[Req.]]+Tabla22[[#This Row],[Base price2]]*Tabla22[[#This Row],[Req.2]]</f>
        <v>320516</v>
      </c>
      <c r="K79" s="71">
        <f>IFERROR(LOOKUP(Tabla22[[#This Row],[Product]],$R$18:$R$23,$T$18:$T$23)*Tabla22[[#This Row],[QualityBonus]]*Tabla22[[#This Row],[Base price1]]*Tabla22[[#This Row],[Req.]],0)</f>
        <v>9005.0400000000009</v>
      </c>
      <c r="L79" s="71">
        <f>IF(Tabla22[[#This Row],[Req.2]]&gt;0,LOOKUP(Tabla22[[#This Row],[Product2]],$R$18:$R$23,$T$18:$T$23)*Tabla22[[#This Row],[Base price2]]*Tabla22[[#This Row],[Req.2]]*Tabla22[[#This Row],[QualityBonus]],0)</f>
        <v>32814.65</v>
      </c>
      <c r="M79" s="74">
        <f>IFERROR((Tabla22[[#This Row],[Base price1]]-LOOKUP(Tabla22[[#This Row],[Product]],$R$18:$R$23,$S$18:$S$23))*Tabla22[[#This Row],[Req.]],0)</f>
        <v>14264</v>
      </c>
      <c r="N79" s="71">
        <f>IF(Tabla22[[#This Row],[Req.2]]&gt;0,(Tabla22[[#This Row],[Base price2]]-LOOKUP(Tabla22[[#This Row],[Product2]],$R$18:$R$23,$S$18:$S$23))*Tabla22[[#This Row],[Req.2]],0)</f>
        <v>30652</v>
      </c>
      <c r="O79" s="74">
        <f>SUM(Tabla22[[#This Row],[Bonus1]:[p2]])</f>
        <v>86735.69</v>
      </c>
      <c r="P79" s="73">
        <f>IF(Tabla22[[#This Row],[QualityBonus]]&gt;0,Tabla22[[#This Row],[No wages]]-$C$4,"")</f>
        <v>48159.845044047623</v>
      </c>
    </row>
    <row r="80" spans="1:16" x14ac:dyDescent="0.25">
      <c r="A80" s="13">
        <v>64</v>
      </c>
      <c r="B80" s="13" t="s">
        <v>13</v>
      </c>
      <c r="C80" s="66">
        <v>2.0400000000000001E-2</v>
      </c>
      <c r="D80" s="2" t="s">
        <v>53</v>
      </c>
      <c r="E80" s="73">
        <v>40605</v>
      </c>
      <c r="F80" s="5">
        <v>3</v>
      </c>
      <c r="G80" s="2" t="s">
        <v>54</v>
      </c>
      <c r="H80" s="73">
        <v>62919</v>
      </c>
      <c r="I80" s="5">
        <v>1</v>
      </c>
      <c r="J80" s="74">
        <f>Tabla22[[#This Row],[Base price1]]*Tabla22[[#This Row],[Req.]]+Tabla22[[#This Row],[Base price2]]*Tabla22[[#This Row],[Req.2]]</f>
        <v>184734</v>
      </c>
      <c r="K80" s="71">
        <f>IFERROR(LOOKUP(Tabla22[[#This Row],[Product]],$R$18:$R$23,$T$18:$T$23)*Tabla22[[#This Row],[QualityBonus]]*Tabla22[[#This Row],[Base price1]]*Tabla22[[#This Row],[Req.]],0)</f>
        <v>9940.1040000000012</v>
      </c>
      <c r="L80" s="71">
        <f>IF(Tabla22[[#This Row],[Req.2]]&gt;0,LOOKUP(Tabla22[[#This Row],[Product2]],$R$18:$R$23,$T$18:$T$23)*Tabla22[[#This Row],[Base price2]]*Tabla22[[#This Row],[Req.2]]*Tabla22[[#This Row],[QualityBonus]],0)</f>
        <v>6417.7380000000003</v>
      </c>
      <c r="M80" s="74">
        <f>IFERROR((Tabla22[[#This Row],[Base price1]]-LOOKUP(Tabla22[[#This Row],[Product]],$R$18:$R$23,$S$18:$S$23))*Tabla22[[#This Row],[Req.]],0)</f>
        <v>20415</v>
      </c>
      <c r="N80" s="71">
        <f>IF(Tabla22[[#This Row],[Req.2]]&gt;0,(Tabla22[[#This Row],[Base price2]]-LOOKUP(Tabla22[[#This Row],[Product2]],$R$18:$R$23,$S$18:$S$23))*Tabla22[[#This Row],[Req.2]],0)</f>
        <v>10919</v>
      </c>
      <c r="O80" s="74">
        <f>SUM(Tabla22[[#This Row],[Bonus1]:[p2]])</f>
        <v>47691.842000000004</v>
      </c>
      <c r="P80" s="73">
        <f>IF(Tabla22[[#This Row],[QualityBonus]]&gt;0,Tabla22[[#This Row],[No wages]]-$C$4,"")</f>
        <v>9115.9970440476245</v>
      </c>
    </row>
    <row r="81" spans="1:16" x14ac:dyDescent="0.25">
      <c r="A81" s="13">
        <v>65</v>
      </c>
      <c r="B81" s="13" t="s">
        <v>13</v>
      </c>
      <c r="C81" s="66">
        <v>1.9699999999999999E-2</v>
      </c>
      <c r="D81" s="2" t="s">
        <v>53</v>
      </c>
      <c r="E81" s="73">
        <v>41913</v>
      </c>
      <c r="F81" s="5">
        <v>2</v>
      </c>
      <c r="G81" s="2" t="s">
        <v>54</v>
      </c>
      <c r="H81" s="73">
        <v>59770</v>
      </c>
      <c r="I81" s="5">
        <v>1</v>
      </c>
      <c r="J81" s="74">
        <f>Tabla22[[#This Row],[Base price1]]*Tabla22[[#This Row],[Req.]]+Tabla22[[#This Row],[Base price2]]*Tabla22[[#This Row],[Req.2]]</f>
        <v>143596</v>
      </c>
      <c r="K81" s="71">
        <f>IFERROR(LOOKUP(Tabla22[[#This Row],[Product]],$R$18:$R$23,$T$18:$T$23)*Tabla22[[#This Row],[QualityBonus]]*Tabla22[[#This Row],[Base price1]]*Tabla22[[#This Row],[Req.]],0)</f>
        <v>6605.4887999999992</v>
      </c>
      <c r="L81" s="71">
        <f>IF(Tabla22[[#This Row],[Req.2]]&gt;0,LOOKUP(Tabla22[[#This Row],[Product2]],$R$18:$R$23,$T$18:$T$23)*Tabla22[[#This Row],[Base price2]]*Tabla22[[#This Row],[Req.2]]*Tabla22[[#This Row],[QualityBonus]],0)</f>
        <v>5887.3449999999993</v>
      </c>
      <c r="M81" s="74">
        <f>IFERROR((Tabla22[[#This Row],[Base price1]]-LOOKUP(Tabla22[[#This Row],[Product]],$R$18:$R$23,$S$18:$S$23))*Tabla22[[#This Row],[Req.]],0)</f>
        <v>16226</v>
      </c>
      <c r="N81" s="71">
        <f>IF(Tabla22[[#This Row],[Req.2]]&gt;0,(Tabla22[[#This Row],[Base price2]]-LOOKUP(Tabla22[[#This Row],[Product2]],$R$18:$R$23,$S$18:$S$23))*Tabla22[[#This Row],[Req.2]],0)</f>
        <v>7770</v>
      </c>
      <c r="O81" s="74">
        <f>SUM(Tabla22[[#This Row],[Bonus1]:[p2]])</f>
        <v>36488.8338</v>
      </c>
      <c r="P81" s="73">
        <f>IF(Tabla22[[#This Row],[QualityBonus]]&gt;0,Tabla22[[#This Row],[No wages]]-$C$4,"")</f>
        <v>-2087.0111559523793</v>
      </c>
    </row>
    <row r="82" spans="1:16" x14ac:dyDescent="0.25">
      <c r="A82" s="13">
        <v>66</v>
      </c>
      <c r="B82" s="13" t="s">
        <v>13</v>
      </c>
      <c r="C82" s="66">
        <v>2.5700000000000001E-2</v>
      </c>
      <c r="D82" s="2" t="s">
        <v>54</v>
      </c>
      <c r="E82" s="73">
        <v>59654</v>
      </c>
      <c r="F82" s="5">
        <v>4</v>
      </c>
      <c r="G82" s="2" t="s">
        <v>53</v>
      </c>
      <c r="H82" s="73">
        <v>42145</v>
      </c>
      <c r="I82" s="5">
        <v>3</v>
      </c>
      <c r="J82" s="74">
        <f>Tabla22[[#This Row],[Base price1]]*Tabla22[[#This Row],[Req.]]+Tabla22[[#This Row],[Base price2]]*Tabla22[[#This Row],[Req.2]]</f>
        <v>365051</v>
      </c>
      <c r="K82" s="73">
        <f>IFERROR(LOOKUP(Tabla22[[#This Row],[Product]],$R$18:$R$23,$T$18:$T$23)*Tabla22[[#This Row],[QualityBonus]]*Tabla22[[#This Row],[Base price1]]*Tabla22[[#This Row],[Req.]],0)</f>
        <v>30662.155999999999</v>
      </c>
      <c r="L82" s="71">
        <f>IF(Tabla22[[#This Row],[Req.2]]&gt;0,LOOKUP(Tabla22[[#This Row],[Product2]],$R$18:$R$23,$T$18:$T$23)*Tabla22[[#This Row],[Base price2]]*Tabla22[[#This Row],[Req.2]]*Tabla22[[#This Row],[QualityBonus]],0)</f>
        <v>12997.518</v>
      </c>
      <c r="M82" s="74">
        <f>IFERROR((Tabla22[[#This Row],[Base price1]]-LOOKUP(Tabla22[[#This Row],[Product]],$R$18:$R$23,$S$18:$S$23))*Tabla22[[#This Row],[Req.]],0)</f>
        <v>30616</v>
      </c>
      <c r="N82" s="71">
        <f>IF(Tabla22[[#This Row],[Req.2]]&gt;0,(Tabla22[[#This Row],[Base price2]]-LOOKUP(Tabla22[[#This Row],[Product2]],$R$18:$R$23,$S$18:$S$23))*Tabla22[[#This Row],[Req.2]],0)</f>
        <v>25035</v>
      </c>
      <c r="O82" s="74">
        <f>SUM(Tabla22[[#This Row],[Bonus1]:[p2]])</f>
        <v>99310.673999999999</v>
      </c>
      <c r="P82" s="73">
        <f>IF(Tabla22[[#This Row],[QualityBonus]]&gt;0,Tabla22[[#This Row],[No wages]]-$C$4,"")</f>
        <v>60734.829044047619</v>
      </c>
    </row>
    <row r="83" spans="1:16" x14ac:dyDescent="0.25">
      <c r="A83" s="13">
        <v>67</v>
      </c>
      <c r="B83" s="13" t="s">
        <v>13</v>
      </c>
      <c r="C83" s="66">
        <v>2.3199999999999998E-2</v>
      </c>
      <c r="D83" s="2" t="s">
        <v>53</v>
      </c>
      <c r="E83" s="73">
        <v>42232</v>
      </c>
      <c r="F83" s="5">
        <v>3</v>
      </c>
      <c r="G83" s="2" t="s">
        <v>54</v>
      </c>
      <c r="H83" s="73">
        <v>61628</v>
      </c>
      <c r="I83" s="5">
        <v>4</v>
      </c>
      <c r="J83" s="74">
        <f>Tabla22[[#This Row],[Base price1]]*Tabla22[[#This Row],[Req.]]+Tabla22[[#This Row],[Base price2]]*Tabla22[[#This Row],[Req.2]]</f>
        <v>373208</v>
      </c>
      <c r="K83" s="73">
        <f>IFERROR(LOOKUP(Tabla22[[#This Row],[Product]],$R$18:$R$23,$T$18:$T$23)*Tabla22[[#This Row],[QualityBonus]]*Tabla22[[#This Row],[Base price1]]*Tabla22[[#This Row],[Req.]],0)</f>
        <v>11757.388799999999</v>
      </c>
      <c r="L83" s="71">
        <f>IF(Tabla22[[#This Row],[Req.2]]&gt;0,LOOKUP(Tabla22[[#This Row],[Product2]],$R$18:$R$23,$T$18:$T$23)*Tabla22[[#This Row],[Base price2]]*Tabla22[[#This Row],[Req.2]]*Tabla22[[#This Row],[QualityBonus]],0)</f>
        <v>28595.392</v>
      </c>
      <c r="M83" s="74">
        <f>IFERROR((Tabla22[[#This Row],[Base price1]]-LOOKUP(Tabla22[[#This Row],[Product]],$R$18:$R$23,$S$18:$S$23))*Tabla22[[#This Row],[Req.]],0)</f>
        <v>25296</v>
      </c>
      <c r="N83" s="71">
        <f>IF(Tabla22[[#This Row],[Req.2]]&gt;0,(Tabla22[[#This Row],[Base price2]]-LOOKUP(Tabla22[[#This Row],[Product2]],$R$18:$R$23,$S$18:$S$23))*Tabla22[[#This Row],[Req.2]],0)</f>
        <v>38512</v>
      </c>
      <c r="O83" s="74">
        <f>SUM(Tabla22[[#This Row],[Bonus1]:[p2]])</f>
        <v>104160.78080000001</v>
      </c>
      <c r="P83" s="73">
        <f>IF(Tabla22[[#This Row],[QualityBonus]]&gt;0,Tabla22[[#This Row],[No wages]]-$C$4,"")</f>
        <v>65584.935844047635</v>
      </c>
    </row>
    <row r="84" spans="1:16" x14ac:dyDescent="0.25">
      <c r="A84" s="13">
        <v>68</v>
      </c>
      <c r="B84" s="13" t="s">
        <v>13</v>
      </c>
      <c r="C84" s="66">
        <v>2.8000000000000001E-2</v>
      </c>
      <c r="D84" s="2" t="s">
        <v>54</v>
      </c>
      <c r="E84" s="73">
        <v>61156</v>
      </c>
      <c r="F84" s="5">
        <v>2</v>
      </c>
      <c r="G84" s="2"/>
      <c r="H84" s="73"/>
      <c r="I84" s="5"/>
      <c r="J84" s="74">
        <f>Tabla22[[#This Row],[Base price1]]*Tabla22[[#This Row],[Req.]]+Tabla22[[#This Row],[Base price2]]*Tabla22[[#This Row],[Req.2]]</f>
        <v>122312</v>
      </c>
      <c r="K84" s="73">
        <f>IFERROR(LOOKUP(Tabla22[[#This Row],[Product]],$R$18:$R$23,$T$18:$T$23)*Tabla22[[#This Row],[QualityBonus]]*Tabla22[[#This Row],[Base price1]]*Tabla22[[#This Row],[Req.]],0)</f>
        <v>17123.68</v>
      </c>
      <c r="L84" s="71">
        <f>IF(Tabla22[[#This Row],[Req.2]]&gt;0,LOOKUP(Tabla22[[#This Row],[Product2]],$R$18:$R$23,$T$18:$T$23)*Tabla22[[#This Row],[Base price2]]*Tabla22[[#This Row],[Req.2]]*Tabla22[[#This Row],[QualityBonus]],0)</f>
        <v>0</v>
      </c>
      <c r="M84" s="74">
        <f>IFERROR((Tabla22[[#This Row],[Base price1]]-LOOKUP(Tabla22[[#This Row],[Product]],$R$18:$R$23,$S$18:$S$23))*Tabla22[[#This Row],[Req.]],0)</f>
        <v>18312</v>
      </c>
      <c r="N84" s="71">
        <f>IF(Tabla22[[#This Row],[Req.2]]&gt;0,(Tabla22[[#This Row],[Base price2]]-LOOKUP(Tabla22[[#This Row],[Product2]],$R$18:$R$23,$S$18:$S$23))*Tabla22[[#This Row],[Req.2]],0)</f>
        <v>0</v>
      </c>
      <c r="O84" s="74">
        <f>SUM(Tabla22[[#This Row],[Bonus1]:[p2]])</f>
        <v>35435.68</v>
      </c>
      <c r="P84" s="73">
        <f>IF(Tabla22[[#This Row],[QualityBonus]]&gt;0,Tabla22[[#This Row],[No wages]]-$C$4,"")</f>
        <v>-3140.1649559523794</v>
      </c>
    </row>
    <row r="85" spans="1:16" x14ac:dyDescent="0.25">
      <c r="A85" s="13">
        <v>69</v>
      </c>
      <c r="B85" s="13" t="s">
        <v>13</v>
      </c>
      <c r="C85" s="66">
        <v>2.7799999999999998E-2</v>
      </c>
      <c r="D85" s="2" t="s">
        <v>55</v>
      </c>
      <c r="E85" s="73">
        <v>85384</v>
      </c>
      <c r="F85" s="5">
        <v>3</v>
      </c>
      <c r="G85" s="2" t="s">
        <v>54</v>
      </c>
      <c r="H85" s="73">
        <v>61275</v>
      </c>
      <c r="I85" s="5">
        <v>2</v>
      </c>
      <c r="J85" s="74">
        <f>Tabla22[[#This Row],[Base price1]]*Tabla22[[#This Row],[Req.]]+Tabla22[[#This Row],[Base price2]]*Tabla22[[#This Row],[Req.2]]</f>
        <v>378702</v>
      </c>
      <c r="K85" s="73">
        <f>IFERROR(LOOKUP(Tabla22[[#This Row],[Product]],$R$18:$R$23,$T$18:$T$23)*Tabla22[[#This Row],[QualityBonus]]*Tabla22[[#This Row],[Base price1]]*Tabla22[[#This Row],[Req.]],0)</f>
        <v>28484.102399999996</v>
      </c>
      <c r="L85" s="71">
        <f>IF(Tabla22[[#This Row],[Req.2]]&gt;0,LOOKUP(Tabla22[[#This Row],[Product2]],$R$18:$R$23,$T$18:$T$23)*Tabla22[[#This Row],[Base price2]]*Tabla22[[#This Row],[Req.2]]*Tabla22[[#This Row],[QualityBonus]],0)</f>
        <v>17034.45</v>
      </c>
      <c r="M85" s="74">
        <f>IFERROR((Tabla22[[#This Row],[Base price1]]-LOOKUP(Tabla22[[#This Row],[Product]],$R$18:$R$23,$S$18:$S$23))*Tabla22[[#This Row],[Req.]],0)</f>
        <v>20652</v>
      </c>
      <c r="N85" s="71">
        <f>IF(Tabla22[[#This Row],[Req.2]]&gt;0,(Tabla22[[#This Row],[Base price2]]-LOOKUP(Tabla22[[#This Row],[Product2]],$R$18:$R$23,$S$18:$S$23))*Tabla22[[#This Row],[Req.2]],0)</f>
        <v>18550</v>
      </c>
      <c r="O85" s="74">
        <f>SUM(Tabla22[[#This Row],[Bonus1]:[p2]])</f>
        <v>84720.5524</v>
      </c>
      <c r="P85" s="73">
        <f>IF(Tabla22[[#This Row],[QualityBonus]]&gt;0,Tabla22[[#This Row],[No wages]]-$C$4,"")</f>
        <v>46144.707444047621</v>
      </c>
    </row>
    <row r="86" spans="1:16" x14ac:dyDescent="0.25">
      <c r="A86" s="13">
        <v>70</v>
      </c>
      <c r="B86" s="13" t="s">
        <v>13</v>
      </c>
      <c r="C86" s="66">
        <v>2.98E-2</v>
      </c>
      <c r="D86" s="2" t="s">
        <v>53</v>
      </c>
      <c r="E86" s="73">
        <v>42066</v>
      </c>
      <c r="F86" s="5">
        <v>5</v>
      </c>
      <c r="G86" s="2"/>
      <c r="H86" s="73"/>
      <c r="I86" s="5"/>
      <c r="J86" s="74">
        <f>Tabla22[[#This Row],[Base price1]]*Tabla22[[#This Row],[Req.]]+Tabla22[[#This Row],[Base price2]]*Tabla22[[#This Row],[Req.2]]</f>
        <v>210330</v>
      </c>
      <c r="K86" s="73">
        <f>IFERROR(LOOKUP(Tabla22[[#This Row],[Product]],$R$18:$R$23,$T$18:$T$23)*Tabla22[[#This Row],[QualityBonus]]*Tabla22[[#This Row],[Base price1]]*Tabla22[[#This Row],[Req.]],0)</f>
        <v>25071.336000000003</v>
      </c>
      <c r="L86" s="71">
        <f>IF(Tabla22[[#This Row],[Req.2]]&gt;0,LOOKUP(Tabla22[[#This Row],[Product2]],$R$18:$R$23,$T$18:$T$23)*Tabla22[[#This Row],[Base price2]]*Tabla22[[#This Row],[Req.2]]*Tabla22[[#This Row],[QualityBonus]],0)</f>
        <v>0</v>
      </c>
      <c r="M86" s="74">
        <f>IFERROR((Tabla22[[#This Row],[Base price1]]-LOOKUP(Tabla22[[#This Row],[Product]],$R$18:$R$23,$S$18:$S$23))*Tabla22[[#This Row],[Req.]],0)</f>
        <v>41330</v>
      </c>
      <c r="N86" s="71">
        <f>IF(Tabla22[[#This Row],[Req.2]]&gt;0,(Tabla22[[#This Row],[Base price2]]-LOOKUP(Tabla22[[#This Row],[Product2]],$R$18:$R$23,$S$18:$S$23))*Tabla22[[#This Row],[Req.2]],0)</f>
        <v>0</v>
      </c>
      <c r="O86" s="74">
        <f>SUM(Tabla22[[#This Row],[Bonus1]:[p2]])</f>
        <v>66401.33600000001</v>
      </c>
      <c r="P86" s="73">
        <f>IF(Tabla22[[#This Row],[QualityBonus]]&gt;0,Tabla22[[#This Row],[No wages]]-$C$4,"")</f>
        <v>27825.491044047631</v>
      </c>
    </row>
    <row r="87" spans="1:16" x14ac:dyDescent="0.25">
      <c r="A87" s="13">
        <v>71</v>
      </c>
      <c r="B87" s="13" t="s">
        <v>13</v>
      </c>
      <c r="C87" s="66">
        <v>2.3400000000000001E-2</v>
      </c>
      <c r="D87" s="2" t="s">
        <v>53</v>
      </c>
      <c r="E87" s="73">
        <v>42670</v>
      </c>
      <c r="F87" s="5">
        <v>5</v>
      </c>
      <c r="G87" s="2" t="s">
        <v>54</v>
      </c>
      <c r="H87" s="73">
        <v>59386</v>
      </c>
      <c r="I87" s="5">
        <v>3</v>
      </c>
      <c r="J87" s="74">
        <f>Tabla22[[#This Row],[Base price1]]*Tabla22[[#This Row],[Req.]]+Tabla22[[#This Row],[Base price2]]*Tabla22[[#This Row],[Req.2]]</f>
        <v>391508</v>
      </c>
      <c r="K87" s="73">
        <f>IFERROR(LOOKUP(Tabla22[[#This Row],[Product]],$R$18:$R$23,$T$18:$T$23)*Tabla22[[#This Row],[QualityBonus]]*Tabla22[[#This Row],[Base price1]]*Tabla22[[#This Row],[Req.]],0)</f>
        <v>19969.560000000001</v>
      </c>
      <c r="L87" s="71">
        <f>IF(Tabla22[[#This Row],[Req.2]]&gt;0,LOOKUP(Tabla22[[#This Row],[Product2]],$R$18:$R$23,$T$18:$T$23)*Tabla22[[#This Row],[Base price2]]*Tabla22[[#This Row],[Req.2]]*Tabla22[[#This Row],[QualityBonus]],0)</f>
        <v>20844.486000000001</v>
      </c>
      <c r="M87" s="74">
        <f>IFERROR((Tabla22[[#This Row],[Base price1]]-LOOKUP(Tabla22[[#This Row],[Product]],$R$18:$R$23,$S$18:$S$23))*Tabla22[[#This Row],[Req.]],0)</f>
        <v>44350</v>
      </c>
      <c r="N87" s="71">
        <f>IF(Tabla22[[#This Row],[Req.2]]&gt;0,(Tabla22[[#This Row],[Base price2]]-LOOKUP(Tabla22[[#This Row],[Product2]],$R$18:$R$23,$S$18:$S$23))*Tabla22[[#This Row],[Req.2]],0)</f>
        <v>22158</v>
      </c>
      <c r="O87" s="74">
        <f>SUM(Tabla22[[#This Row],[Bonus1]:[p2]])</f>
        <v>107322.046</v>
      </c>
      <c r="P87" s="73">
        <f>IF(Tabla22[[#This Row],[QualityBonus]]&gt;0,Tabla22[[#This Row],[No wages]]-$C$4,"")</f>
        <v>68746.20104404763</v>
      </c>
    </row>
    <row r="88" spans="1:16" x14ac:dyDescent="0.25">
      <c r="A88" s="13">
        <v>72</v>
      </c>
      <c r="B88" s="13" t="s">
        <v>13</v>
      </c>
      <c r="C88" s="66">
        <v>1.7100000000000001E-2</v>
      </c>
      <c r="D88" s="2" t="s">
        <v>52</v>
      </c>
      <c r="E88" s="73">
        <v>121779</v>
      </c>
      <c r="F88" s="5">
        <v>2</v>
      </c>
      <c r="G88" s="2"/>
      <c r="H88" s="73"/>
      <c r="I88" s="5"/>
      <c r="J88" s="74">
        <f>Tabla22[[#This Row],[Base price1]]*Tabla22[[#This Row],[Req.]]+Tabla22[[#This Row],[Base price2]]*Tabla22[[#This Row],[Req.2]]</f>
        <v>243558</v>
      </c>
      <c r="K88" s="73">
        <f>IFERROR(LOOKUP(Tabla22[[#This Row],[Product]],$R$18:$R$23,$T$18:$T$23)*Tabla22[[#This Row],[QualityBonus]]*Tabla22[[#This Row],[Base price1]]*Tabla22[[#This Row],[Req.]],0)</f>
        <v>20824.209000000003</v>
      </c>
      <c r="L88" s="71">
        <f>IF(Tabla22[[#This Row],[Req.2]]&gt;0,LOOKUP(Tabla22[[#This Row],[Product2]],$R$18:$R$23,$T$18:$T$23)*Tabla22[[#This Row],[Base price2]]*Tabla22[[#This Row],[Req.2]]*Tabla22[[#This Row],[QualityBonus]],0)</f>
        <v>0</v>
      </c>
      <c r="M88" s="74">
        <f>IFERROR((Tabla22[[#This Row],[Base price1]]-LOOKUP(Tabla22[[#This Row],[Product]],$R$18:$R$23,$S$18:$S$23))*Tabla22[[#This Row],[Req.]],0)</f>
        <v>19558</v>
      </c>
      <c r="N88" s="71">
        <f>IF(Tabla22[[#This Row],[Req.2]]&gt;0,(Tabla22[[#This Row],[Base price2]]-LOOKUP(Tabla22[[#This Row],[Product2]],$R$18:$R$23,$S$18:$S$23))*Tabla22[[#This Row],[Req.2]],0)</f>
        <v>0</v>
      </c>
      <c r="O88" s="74">
        <f>SUM(Tabla22[[#This Row],[Bonus1]:[p2]])</f>
        <v>40382.209000000003</v>
      </c>
      <c r="P88" s="73">
        <f>IF(Tabla22[[#This Row],[QualityBonus]]&gt;0,Tabla22[[#This Row],[No wages]]-$C$4,"")</f>
        <v>1806.3640440476229</v>
      </c>
    </row>
    <row r="89" spans="1:16" x14ac:dyDescent="0.25">
      <c r="A89" s="13">
        <v>73</v>
      </c>
      <c r="B89" s="13" t="s">
        <v>13</v>
      </c>
      <c r="C89" s="66">
        <v>1.7899999999999999E-2</v>
      </c>
      <c r="D89" s="2" t="s">
        <v>56</v>
      </c>
      <c r="E89" s="73">
        <v>228495</v>
      </c>
      <c r="F89" s="5">
        <v>3</v>
      </c>
      <c r="G89" s="2" t="s">
        <v>54</v>
      </c>
      <c r="H89" s="73">
        <v>62131</v>
      </c>
      <c r="I89" s="5">
        <v>3</v>
      </c>
      <c r="J89" s="74">
        <f>Tabla22[[#This Row],[Base price1]]*Tabla22[[#This Row],[Req.]]+Tabla22[[#This Row],[Base price2]]*Tabla22[[#This Row],[Req.2]]</f>
        <v>871878</v>
      </c>
      <c r="K89" s="73">
        <f>IFERROR(LOOKUP(Tabla22[[#This Row],[Product]],$R$18:$R$23,$T$18:$T$23)*Tabla22[[#This Row],[QualityBonus]]*Tabla22[[#This Row],[Base price1]]*Tabla22[[#This Row],[Req.]],0)</f>
        <v>49080.726000000002</v>
      </c>
      <c r="L89" s="71">
        <f>IF(Tabla22[[#This Row],[Req.2]]&gt;0,LOOKUP(Tabla22[[#This Row],[Product2]],$R$18:$R$23,$T$18:$T$23)*Tabla22[[#This Row],[Base price2]]*Tabla22[[#This Row],[Req.2]]*Tabla22[[#This Row],[QualityBonus]],0)</f>
        <v>16682.173500000001</v>
      </c>
      <c r="M89" s="74">
        <f>IFERROR((Tabla22[[#This Row],[Base price1]]-LOOKUP(Tabla22[[#This Row],[Product]],$R$18:$R$23,$S$18:$S$23))*Tabla22[[#This Row],[Req.]],0)</f>
        <v>22485</v>
      </c>
      <c r="N89" s="71">
        <f>IF(Tabla22[[#This Row],[Req.2]]&gt;0,(Tabla22[[#This Row],[Base price2]]-LOOKUP(Tabla22[[#This Row],[Product2]],$R$18:$R$23,$S$18:$S$23))*Tabla22[[#This Row],[Req.2]],0)</f>
        <v>30393</v>
      </c>
      <c r="O89" s="74">
        <f>SUM(Tabla22[[#This Row],[Bonus1]:[p2]])</f>
        <v>118640.8995</v>
      </c>
      <c r="P89" s="73">
        <f>IF(Tabla22[[#This Row],[QualityBonus]]&gt;0,Tabla22[[#This Row],[No wages]]-$C$4,"")</f>
        <v>80065.054544047627</v>
      </c>
    </row>
    <row r="90" spans="1:16" x14ac:dyDescent="0.25">
      <c r="A90" s="13">
        <v>74</v>
      </c>
      <c r="B90" s="13" t="s">
        <v>13</v>
      </c>
      <c r="C90" s="66">
        <v>1.7999999999999999E-2</v>
      </c>
      <c r="D90" s="2" t="s">
        <v>53</v>
      </c>
      <c r="E90" s="73">
        <v>40769</v>
      </c>
      <c r="F90" s="5">
        <v>4</v>
      </c>
      <c r="G90" s="2" t="s">
        <v>27</v>
      </c>
      <c r="H90" s="73">
        <v>844341</v>
      </c>
      <c r="I90" s="5">
        <v>1</v>
      </c>
      <c r="J90" s="74">
        <f>Tabla22[[#This Row],[Base price1]]*Tabla22[[#This Row],[Req.]]+Tabla22[[#This Row],[Base price2]]*Tabla22[[#This Row],[Req.2]]</f>
        <v>1007417</v>
      </c>
      <c r="K90" s="73">
        <f>IFERROR(LOOKUP(Tabla22[[#This Row],[Product]],$R$18:$R$23,$T$18:$T$23)*Tabla22[[#This Row],[QualityBonus]]*Tabla22[[#This Row],[Base price1]]*Tabla22[[#This Row],[Req.]],0)</f>
        <v>11741.472</v>
      </c>
      <c r="L90" s="71">
        <f>IF(Tabla22[[#This Row],[Req.2]]&gt;0,LOOKUP(Tabla22[[#This Row],[Product2]],$R$18:$R$23,$T$18:$T$23)*Tabla22[[#This Row],[Base price2]]*Tabla22[[#This Row],[Req.2]]*Tabla22[[#This Row],[QualityBonus]],0)</f>
        <v>60792.551999999996</v>
      </c>
      <c r="M90" s="74">
        <f>IFERROR((Tabla22[[#This Row],[Base price1]]-LOOKUP(Tabla22[[#This Row],[Product]],$R$18:$R$23,$S$18:$S$23))*Tabla22[[#This Row],[Req.]],0)</f>
        <v>27876</v>
      </c>
      <c r="N90" s="71">
        <f>IF(Tabla22[[#This Row],[Req.2]]&gt;0,(Tabla22[[#This Row],[Base price2]]-LOOKUP(Tabla22[[#This Row],[Product2]],$R$18:$R$23,$S$18:$S$23))*Tabla22[[#This Row],[Req.2]],0)</f>
        <v>-13659</v>
      </c>
      <c r="O90" s="74">
        <f>SUM(Tabla22[[#This Row],[Bonus1]:[p2]])</f>
        <v>86751.02399999999</v>
      </c>
      <c r="P90" s="73">
        <f>IF(Tabla22[[#This Row],[QualityBonus]]&gt;0,Tabla22[[#This Row],[No wages]]-$C$4,"")</f>
        <v>48175.179044047611</v>
      </c>
    </row>
    <row r="91" spans="1:16" x14ac:dyDescent="0.25">
      <c r="A91" s="13">
        <v>75</v>
      </c>
      <c r="B91" s="13" t="s">
        <v>13</v>
      </c>
      <c r="C91" s="36">
        <v>1.6400000000000001E-2</v>
      </c>
      <c r="D91" s="2" t="s">
        <v>54</v>
      </c>
      <c r="E91" s="71">
        <v>62189</v>
      </c>
      <c r="F91" s="4">
        <v>3</v>
      </c>
      <c r="G91" s="2" t="s">
        <v>56</v>
      </c>
      <c r="H91" s="71">
        <v>227496</v>
      </c>
      <c r="I91" s="4">
        <v>3</v>
      </c>
      <c r="J91" s="74">
        <f>Tabla22[[#This Row],[Base price1]]*Tabla22[[#This Row],[Req.]]+Tabla22[[#This Row],[Base price2]]*Tabla22[[#This Row],[Req.2]]</f>
        <v>869055</v>
      </c>
      <c r="K91" s="71">
        <f>IFERROR(LOOKUP(Tabla22[[#This Row],[Product]],$R$18:$R$23,$T$18:$T$23)*Tabla22[[#This Row],[QualityBonus]]*Tabla22[[#This Row],[Base price1]]*Tabla22[[#This Row],[Req.]],0)</f>
        <v>15298.494000000002</v>
      </c>
      <c r="L91" s="71">
        <f>IF(Tabla22[[#This Row],[Req.2]]&gt;0,LOOKUP(Tabla22[[#This Row],[Product2]],$R$18:$R$23,$T$18:$T$23)*Tabla22[[#This Row],[Base price2]]*Tabla22[[#This Row],[Req.2]]*Tabla22[[#This Row],[QualityBonus]],0)</f>
        <v>44771.212800000001</v>
      </c>
      <c r="M91" s="74">
        <f>IFERROR((Tabla22[[#This Row],[Base price1]]-LOOKUP(Tabla22[[#This Row],[Product]],$R$18:$R$23,$S$18:$S$23))*Tabla22[[#This Row],[Req.]],0)</f>
        <v>30567</v>
      </c>
      <c r="N91" s="71">
        <f>IF(Tabla22[[#This Row],[Req.2]]&gt;0,(Tabla22[[#This Row],[Base price2]]-LOOKUP(Tabla22[[#This Row],[Product2]],$R$18:$R$23,$S$18:$S$23))*Tabla22[[#This Row],[Req.2]],0)</f>
        <v>19488</v>
      </c>
      <c r="O91" s="74">
        <f>SUM(Tabla22[[#This Row],[Bonus1]:[p2]])</f>
        <v>110124.7068</v>
      </c>
      <c r="P91" s="71">
        <f>IF(Tabla22[[#This Row],[QualityBonus]]&gt;0,Tabla22[[#This Row],[No wages]]-$C$4,"")</f>
        <v>71548.861844047613</v>
      </c>
    </row>
    <row r="92" spans="1:16" x14ac:dyDescent="0.25">
      <c r="A92" s="24">
        <v>76</v>
      </c>
      <c r="B92" s="24" t="s">
        <v>13</v>
      </c>
      <c r="C92" s="44">
        <v>1.52E-2</v>
      </c>
      <c r="D92" s="37" t="s">
        <v>54</v>
      </c>
      <c r="E92" s="72">
        <v>62398</v>
      </c>
      <c r="F92" s="39">
        <v>1</v>
      </c>
      <c r="G92" s="37" t="s">
        <v>57</v>
      </c>
      <c r="H92" s="72">
        <v>83725</v>
      </c>
      <c r="I92" s="39">
        <v>3</v>
      </c>
      <c r="J92" s="75">
        <f>Tabla22[[#This Row],[Base price1]]*Tabla22[[#This Row],[Req.]]+Tabla22[[#This Row],[Base price2]]*Tabla22[[#This Row],[Req.2]]</f>
        <v>313573</v>
      </c>
      <c r="K92" s="72">
        <f>IFERROR(LOOKUP(Tabla22[[#This Row],[Product]],$R$18:$R$23,$T$18:$T$23)*Tabla22[[#This Row],[QualityBonus]]*Tabla22[[#This Row],[Base price1]]*Tabla22[[#This Row],[Req.]],0)</f>
        <v>4742.2479999999996</v>
      </c>
      <c r="L92" s="72">
        <f>IF(Tabla22[[#This Row],[Req.2]]&gt;0,LOOKUP(Tabla22[[#This Row],[Product2]],$R$18:$R$23,$T$18:$T$23)*Tabla22[[#This Row],[Base price2]]*Tabla22[[#This Row],[Req.2]]*Tabla22[[#This Row],[QualityBonus]],0)</f>
        <v>15271.44</v>
      </c>
      <c r="M92" s="75">
        <f>IFERROR((Tabla22[[#This Row],[Base price1]]-LOOKUP(Tabla22[[#This Row],[Product]],$R$18:$R$23,$S$18:$S$23))*Tabla22[[#This Row],[Req.]],0)</f>
        <v>10398</v>
      </c>
      <c r="N92" s="72">
        <f>IF(Tabla22[[#This Row],[Req.2]]&gt;0,(Tabla22[[#This Row],[Base price2]]-LOOKUP(Tabla22[[#This Row],[Product2]],$R$18:$R$23,$S$18:$S$23))*Tabla22[[#This Row],[Req.2]],0)</f>
        <v>15675</v>
      </c>
      <c r="O92" s="75">
        <f>SUM(Tabla22[[#This Row],[Bonus1]:[p2]])</f>
        <v>46086.688000000002</v>
      </c>
      <c r="P92" s="72">
        <f>IF(Tabla22[[#This Row],[QualityBonus]]&gt;0,Tabla22[[#This Row],[No wages]]-$C$4,"")</f>
        <v>7510.8430440476222</v>
      </c>
    </row>
    <row r="93" spans="1:16" x14ac:dyDescent="0.25">
      <c r="A93" s="13">
        <v>77</v>
      </c>
      <c r="B93" s="13" t="s">
        <v>13</v>
      </c>
      <c r="C93" s="36">
        <v>1.4800000000000001E-2</v>
      </c>
      <c r="D93" s="2" t="s">
        <v>54</v>
      </c>
      <c r="E93" s="71">
        <v>62496</v>
      </c>
      <c r="F93" s="4">
        <v>1</v>
      </c>
      <c r="G93" s="2" t="s">
        <v>53</v>
      </c>
      <c r="H93" s="71">
        <v>40795</v>
      </c>
      <c r="I93" s="4">
        <v>2</v>
      </c>
      <c r="J93" s="74">
        <f>Tabla22[[#This Row],[Base price1]]*Tabla22[[#This Row],[Req.]]+Tabla22[[#This Row],[Base price2]]*Tabla22[[#This Row],[Req.2]]</f>
        <v>144086</v>
      </c>
      <c r="K93" s="71">
        <f>IFERROR(LOOKUP(Tabla22[[#This Row],[Product]],$R$18:$R$23,$T$18:$T$23)*Tabla22[[#This Row],[QualityBonus]]*Tabla22[[#This Row],[Base price1]]*Tabla22[[#This Row],[Req.]],0)</f>
        <v>4624.7040000000006</v>
      </c>
      <c r="L93" s="71">
        <f>IF(Tabla22[[#This Row],[Req.2]]&gt;0,LOOKUP(Tabla22[[#This Row],[Product2]],$R$18:$R$23,$T$18:$T$23)*Tabla22[[#This Row],[Base price2]]*Tabla22[[#This Row],[Req.2]]*Tabla22[[#This Row],[QualityBonus]],0)</f>
        <v>4830.1280000000006</v>
      </c>
      <c r="M93" s="74">
        <f>IFERROR((Tabla22[[#This Row],[Base price1]]-LOOKUP(Tabla22[[#This Row],[Product]],$R$18:$R$23,$S$18:$S$23))*Tabla22[[#This Row],[Req.]],0)</f>
        <v>10496</v>
      </c>
      <c r="N93" s="71">
        <f>IF(Tabla22[[#This Row],[Req.2]]&gt;0,(Tabla22[[#This Row],[Base price2]]-LOOKUP(Tabla22[[#This Row],[Product2]],$R$18:$R$23,$S$18:$S$23))*Tabla22[[#This Row],[Req.2]],0)</f>
        <v>13990</v>
      </c>
      <c r="O93" s="74">
        <f>SUM(Tabla22[[#This Row],[Bonus1]:[p2]])</f>
        <v>33940.832000000002</v>
      </c>
      <c r="P93" s="71">
        <f>IF(Tabla22[[#This Row],[QualityBonus]]&gt;0,Tabla22[[#This Row],[No wages]]-$C$4,"")</f>
        <v>-4635.0129559523775</v>
      </c>
    </row>
    <row r="94" spans="1:16" x14ac:dyDescent="0.25">
      <c r="A94" s="13">
        <v>78</v>
      </c>
      <c r="B94" s="13" t="s">
        <v>13</v>
      </c>
      <c r="C94" s="66">
        <v>1.89E-2</v>
      </c>
      <c r="D94" s="2" t="s">
        <v>53</v>
      </c>
      <c r="E94" s="73">
        <v>41529</v>
      </c>
      <c r="F94" s="5">
        <v>5</v>
      </c>
      <c r="G94" s="2" t="s">
        <v>54</v>
      </c>
      <c r="H94" s="73">
        <v>59468</v>
      </c>
      <c r="I94" s="5">
        <v>1</v>
      </c>
      <c r="J94" s="74">
        <f>Tabla22[[#This Row],[Base price1]]*Tabla22[[#This Row],[Req.]]+Tabla22[[#This Row],[Base price2]]*Tabla22[[#This Row],[Req.2]]</f>
        <v>267113</v>
      </c>
      <c r="K94" s="71">
        <f>IFERROR(LOOKUP(Tabla22[[#This Row],[Product]],$R$18:$R$23,$T$18:$T$23)*Tabla22[[#This Row],[QualityBonus]]*Tabla22[[#This Row],[Base price1]]*Tabla22[[#This Row],[Req.]],0)</f>
        <v>15697.962</v>
      </c>
      <c r="L94" s="71">
        <f>IF(Tabla22[[#This Row],[Req.2]]&gt;0,LOOKUP(Tabla22[[#This Row],[Product2]],$R$18:$R$23,$T$18:$T$23)*Tabla22[[#This Row],[Base price2]]*Tabla22[[#This Row],[Req.2]]*Tabla22[[#This Row],[QualityBonus]],0)</f>
        <v>5619.7259999999997</v>
      </c>
      <c r="M94" s="76">
        <f>IFERROR((Tabla22[[#This Row],[Base price1]]-LOOKUP(Tabla22[[#This Row],[Product]],$R$18:$R$23,$S$18:$S$23))*Tabla22[[#This Row],[Req.]],0)</f>
        <v>38645</v>
      </c>
      <c r="N94" s="71">
        <f>IF(Tabla22[[#This Row],[Req.2]]&gt;0,(Tabla22[[#This Row],[Base price2]]-LOOKUP(Tabla22[[#This Row],[Product2]],$R$18:$R$23,$S$18:$S$23))*Tabla22[[#This Row],[Req.2]],0)</f>
        <v>7468</v>
      </c>
      <c r="O94" s="74">
        <f>SUM(Tabla22[[#This Row],[Bonus1]:[p2]])</f>
        <v>67430.687999999995</v>
      </c>
      <c r="P94" s="71">
        <f>IF(Tabla22[[#This Row],[QualityBonus]]&gt;0,Tabla22[[#This Row],[No wages]]-$C$4,"")</f>
        <v>28854.843044047615</v>
      </c>
    </row>
    <row r="95" spans="1:16" x14ac:dyDescent="0.25">
      <c r="A95" s="13">
        <v>79</v>
      </c>
      <c r="B95" s="13" t="s">
        <v>13</v>
      </c>
      <c r="C95" s="66">
        <v>1.89E-2</v>
      </c>
      <c r="D95" s="2" t="s">
        <v>54</v>
      </c>
      <c r="E95" s="73">
        <v>59740</v>
      </c>
      <c r="F95" s="5">
        <v>1</v>
      </c>
      <c r="G95" s="2" t="s">
        <v>52</v>
      </c>
      <c r="H95" s="73">
        <v>120772</v>
      </c>
      <c r="I95" s="5">
        <v>1</v>
      </c>
      <c r="J95" s="74">
        <f>Tabla22[[#This Row],[Base price1]]*Tabla22[[#This Row],[Req.]]+Tabla22[[#This Row],[Base price2]]*Tabla22[[#This Row],[Req.2]]</f>
        <v>180512</v>
      </c>
      <c r="K95" s="71">
        <f>IFERROR(LOOKUP(Tabla22[[#This Row],[Product]],$R$18:$R$23,$T$18:$T$23)*Tabla22[[#This Row],[QualityBonus]]*Tabla22[[#This Row],[Base price1]]*Tabla22[[#This Row],[Req.]],0)</f>
        <v>5645.43</v>
      </c>
      <c r="L95" s="71">
        <f>IF(Tabla22[[#This Row],[Req.2]]&gt;0,LOOKUP(Tabla22[[#This Row],[Product2]],$R$18:$R$23,$T$18:$T$23)*Tabla22[[#This Row],[Base price2]]*Tabla22[[#This Row],[Req.2]]*Tabla22[[#This Row],[QualityBonus]],0)</f>
        <v>11412.954</v>
      </c>
      <c r="M95" s="74">
        <f>IFERROR((Tabla22[[#This Row],[Base price1]]-LOOKUP(Tabla22[[#This Row],[Product]],$R$18:$R$23,$S$18:$S$23))*Tabla22[[#This Row],[Req.]],0)</f>
        <v>7740</v>
      </c>
      <c r="N95" s="71">
        <f>IF(Tabla22[[#This Row],[Req.2]]&gt;0,(Tabla22[[#This Row],[Base price2]]-LOOKUP(Tabla22[[#This Row],[Product2]],$R$18:$R$23,$S$18:$S$23))*Tabla22[[#This Row],[Req.2]],0)</f>
        <v>8772</v>
      </c>
      <c r="O95" s="74">
        <f>SUM(Tabla22[[#This Row],[Bonus1]:[p2]])</f>
        <v>33570.383999999998</v>
      </c>
      <c r="P95" s="71">
        <f>IF(Tabla22[[#This Row],[QualityBonus]]&gt;0,Tabla22[[#This Row],[No wages]]-$C$4,"")</f>
        <v>-5005.4609559523815</v>
      </c>
    </row>
    <row r="96" spans="1:16" x14ac:dyDescent="0.25">
      <c r="A96" s="13">
        <v>80</v>
      </c>
      <c r="B96" s="13" t="s">
        <v>13</v>
      </c>
      <c r="C96" s="66">
        <v>1.2699999999999999E-2</v>
      </c>
      <c r="D96" s="2" t="s">
        <v>55</v>
      </c>
      <c r="E96" s="73">
        <v>85997</v>
      </c>
      <c r="F96" s="5">
        <v>1</v>
      </c>
      <c r="G96" s="2" t="s">
        <v>53</v>
      </c>
      <c r="H96" s="73">
        <v>41336</v>
      </c>
      <c r="I96" s="5">
        <v>3</v>
      </c>
      <c r="J96" s="74">
        <f>Tabla22[[#This Row],[Base price1]]*Tabla22[[#This Row],[Req.]]+Tabla22[[#This Row],[Base price2]]*Tabla22[[#This Row],[Req.2]]</f>
        <v>210005</v>
      </c>
      <c r="K96" s="71">
        <f>IFERROR(LOOKUP(Tabla22[[#This Row],[Product]],$R$18:$R$23,$T$18:$T$23)*Tabla22[[#This Row],[QualityBonus]]*Tabla22[[#This Row],[Base price1]]*Tabla22[[#This Row],[Req.]],0)</f>
        <v>4368.6476000000002</v>
      </c>
      <c r="L96" s="71">
        <f>IF(Tabla22[[#This Row],[Req.2]]&gt;0,LOOKUP(Tabla22[[#This Row],[Product2]],$R$18:$R$23,$T$18:$T$23)*Tabla22[[#This Row],[Base price2]]*Tabla22[[#This Row],[Req.2]]*Tabla22[[#This Row],[QualityBonus]],0)</f>
        <v>6299.6063999999997</v>
      </c>
      <c r="M96" s="74">
        <f>IFERROR((Tabla22[[#This Row],[Base price1]]-LOOKUP(Tabla22[[#This Row],[Product]],$R$18:$R$23,$S$18:$S$23))*Tabla22[[#This Row],[Req.]],0)</f>
        <v>7497</v>
      </c>
      <c r="N96" s="71">
        <f>IF(Tabla22[[#This Row],[Req.2]]&gt;0,(Tabla22[[#This Row],[Base price2]]-LOOKUP(Tabla22[[#This Row],[Product2]],$R$18:$R$23,$S$18:$S$23))*Tabla22[[#This Row],[Req.2]],0)</f>
        <v>22608</v>
      </c>
      <c r="O96" s="74">
        <f>SUM(Tabla22[[#This Row],[Bonus1]:[p2]])</f>
        <v>40773.254000000001</v>
      </c>
      <c r="P96" s="71">
        <f>IF(Tabla22[[#This Row],[QualityBonus]]&gt;0,Tabla22[[#This Row],[No wages]]-$C$4,"")</f>
        <v>2197.4090440476211</v>
      </c>
    </row>
    <row r="97" spans="1:16" x14ac:dyDescent="0.25">
      <c r="A97" s="13">
        <v>81</v>
      </c>
      <c r="B97" s="13" t="s">
        <v>13</v>
      </c>
      <c r="C97" s="66">
        <v>1.9699999999999999E-2</v>
      </c>
      <c r="D97" s="2" t="s">
        <v>54</v>
      </c>
      <c r="E97" s="73">
        <v>61857</v>
      </c>
      <c r="F97" s="5">
        <v>1</v>
      </c>
      <c r="G97" s="2" t="s">
        <v>56</v>
      </c>
      <c r="H97" s="73">
        <v>227814</v>
      </c>
      <c r="I97" s="5">
        <v>3</v>
      </c>
      <c r="J97" s="74">
        <f>Tabla22[[#This Row],[Base price1]]*Tabla22[[#This Row],[Req.]]+Tabla22[[#This Row],[Base price2]]*Tabla22[[#This Row],[Req.2]]</f>
        <v>745299</v>
      </c>
      <c r="K97" s="71">
        <f>IFERROR(LOOKUP(Tabla22[[#This Row],[Product]],$R$18:$R$23,$T$18:$T$23)*Tabla22[[#This Row],[QualityBonus]]*Tabla22[[#This Row],[Base price1]]*Tabla22[[#This Row],[Req.]],0)</f>
        <v>6092.914499999999</v>
      </c>
      <c r="L97" s="71">
        <f>IF(Tabla22[[#This Row],[Req.2]]&gt;0,LOOKUP(Tabla22[[#This Row],[Product2]],$R$18:$R$23,$T$18:$T$23)*Tabla22[[#This Row],[Base price2]]*Tabla22[[#This Row],[Req.2]]*Tabla22[[#This Row],[QualityBonus]],0)</f>
        <v>53855.229599999999</v>
      </c>
      <c r="M97" s="74">
        <f>IFERROR((Tabla22[[#This Row],[Base price1]]-LOOKUP(Tabla22[[#This Row],[Product]],$R$18:$R$23,$S$18:$S$23))*Tabla22[[#This Row],[Req.]],0)</f>
        <v>9857</v>
      </c>
      <c r="N97" s="71">
        <f>IF(Tabla22[[#This Row],[Req.2]]&gt;0,(Tabla22[[#This Row],[Base price2]]-LOOKUP(Tabla22[[#This Row],[Product2]],$R$18:$R$23,$S$18:$S$23))*Tabla22[[#This Row],[Req.2]],0)</f>
        <v>20442</v>
      </c>
      <c r="O97" s="74">
        <f>SUM(Tabla22[[#This Row],[Bonus1]:[p2]])</f>
        <v>90247.144100000005</v>
      </c>
      <c r="P97" s="71">
        <f>IF(Tabla22[[#This Row],[QualityBonus]]&gt;0,Tabla22[[#This Row],[No wages]]-$C$4,"")</f>
        <v>51671.299144047625</v>
      </c>
    </row>
    <row r="98" spans="1:16" x14ac:dyDescent="0.25">
      <c r="A98" s="13">
        <v>82</v>
      </c>
      <c r="B98" s="13" t="s">
        <v>13</v>
      </c>
      <c r="C98" s="66">
        <v>2.63E-2</v>
      </c>
      <c r="D98" s="2" t="s">
        <v>55</v>
      </c>
      <c r="E98" s="73">
        <v>81840</v>
      </c>
      <c r="F98" s="5">
        <v>1</v>
      </c>
      <c r="G98" s="2" t="s">
        <v>52</v>
      </c>
      <c r="H98" s="73">
        <v>123423</v>
      </c>
      <c r="I98" s="5">
        <v>3</v>
      </c>
      <c r="J98" s="74">
        <f>Tabla22[[#This Row],[Base price1]]*Tabla22[[#This Row],[Req.]]+Tabla22[[#This Row],[Base price2]]*Tabla22[[#This Row],[Req.2]]</f>
        <v>452109</v>
      </c>
      <c r="K98" s="71">
        <f>IFERROR(LOOKUP(Tabla22[[#This Row],[Product]],$R$18:$R$23,$T$18:$T$23)*Tabla22[[#This Row],[QualityBonus]]*Tabla22[[#This Row],[Base price1]]*Tabla22[[#This Row],[Req.]],0)</f>
        <v>8609.5679999999993</v>
      </c>
      <c r="L98" s="71">
        <f>IF(Tabla22[[#This Row],[Req.2]]&gt;0,LOOKUP(Tabla22[[#This Row],[Product2]],$R$18:$R$23,$T$18:$T$23)*Tabla22[[#This Row],[Base price2]]*Tabla22[[#This Row],[Req.2]]*Tabla22[[#This Row],[QualityBonus]],0)</f>
        <v>48690.373500000002</v>
      </c>
      <c r="M98" s="74">
        <f>IFERROR((Tabla22[[#This Row],[Base price1]]-LOOKUP(Tabla22[[#This Row],[Product]],$R$18:$R$23,$S$18:$S$23))*Tabla22[[#This Row],[Req.]],0)</f>
        <v>3340</v>
      </c>
      <c r="N98" s="71">
        <f>IF(Tabla22[[#This Row],[Req.2]]&gt;0,(Tabla22[[#This Row],[Base price2]]-LOOKUP(Tabla22[[#This Row],[Product2]],$R$18:$R$23,$S$18:$S$23))*Tabla22[[#This Row],[Req.2]],0)</f>
        <v>34269</v>
      </c>
      <c r="O98" s="74">
        <f>SUM(Tabla22[[#This Row],[Bonus1]:[p2]])</f>
        <v>94908.941500000001</v>
      </c>
      <c r="P98" s="71">
        <f>IF(Tabla22[[#This Row],[QualityBonus]]&gt;0,Tabla22[[#This Row],[No wages]]-$C$4,"")</f>
        <v>56333.096544047621</v>
      </c>
    </row>
    <row r="99" spans="1:16" x14ac:dyDescent="0.25">
      <c r="A99" s="13">
        <v>83</v>
      </c>
      <c r="B99" s="13" t="s">
        <v>13</v>
      </c>
      <c r="C99" s="66">
        <v>1.89E-2</v>
      </c>
      <c r="D99" s="2" t="s">
        <v>53</v>
      </c>
      <c r="E99" s="73">
        <v>41850</v>
      </c>
      <c r="F99" s="5">
        <v>2</v>
      </c>
      <c r="G99" s="2" t="s">
        <v>57</v>
      </c>
      <c r="H99" s="73">
        <v>86551</v>
      </c>
      <c r="I99" s="5">
        <v>2</v>
      </c>
      <c r="J99" s="74">
        <f>Tabla22[[#This Row],[Base price1]]*Tabla22[[#This Row],[Req.]]+Tabla22[[#This Row],[Base price2]]*Tabla22[[#This Row],[Req.2]]</f>
        <v>256802</v>
      </c>
      <c r="K99" s="71">
        <f>IFERROR(LOOKUP(Tabla22[[#This Row],[Product]],$R$18:$R$23,$T$18:$T$23)*Tabla22[[#This Row],[QualityBonus]]*Tabla22[[#This Row],[Base price1]]*Tabla22[[#This Row],[Req.]],0)</f>
        <v>6327.72</v>
      </c>
      <c r="L99" s="71">
        <f>IF(Tabla22[[#This Row],[Req.2]]&gt;0,LOOKUP(Tabla22[[#This Row],[Product2]],$R$18:$R$23,$T$18:$T$23)*Tabla22[[#This Row],[Base price2]]*Tabla22[[#This Row],[Req.2]]*Tabla22[[#This Row],[QualityBonus]],0)</f>
        <v>13086.511200000001</v>
      </c>
      <c r="M99" s="74">
        <f>IFERROR((Tabla22[[#This Row],[Base price1]]-LOOKUP(Tabla22[[#This Row],[Product]],$R$18:$R$23,$S$18:$S$23))*Tabla22[[#This Row],[Req.]],0)</f>
        <v>16100</v>
      </c>
      <c r="N99" s="71">
        <f>IF(Tabla22[[#This Row],[Req.2]]&gt;0,(Tabla22[[#This Row],[Base price2]]-LOOKUP(Tabla22[[#This Row],[Product2]],$R$18:$R$23,$S$18:$S$23))*Tabla22[[#This Row],[Req.2]],0)</f>
        <v>16102</v>
      </c>
      <c r="O99" s="74">
        <f>SUM(Tabla22[[#This Row],[Bonus1]:[p2]])</f>
        <v>51616.231200000002</v>
      </c>
      <c r="P99" s="71">
        <f>IF(Tabla22[[#This Row],[QualityBonus]]&gt;0,Tabla22[[#This Row],[No wages]]-$C$4,"")</f>
        <v>13040.386244047622</v>
      </c>
    </row>
    <row r="100" spans="1:16" x14ac:dyDescent="0.25">
      <c r="A100" s="13">
        <v>84</v>
      </c>
      <c r="B100" s="13" t="s">
        <v>13</v>
      </c>
      <c r="C100" s="66">
        <v>1.24E-2</v>
      </c>
      <c r="D100" s="2" t="s">
        <v>53</v>
      </c>
      <c r="E100" s="73">
        <v>40715</v>
      </c>
      <c r="F100" s="5">
        <v>4</v>
      </c>
      <c r="G100" s="2" t="s">
        <v>52</v>
      </c>
      <c r="H100" s="73">
        <v>116281</v>
      </c>
      <c r="I100" s="5">
        <v>1</v>
      </c>
      <c r="J100" s="74">
        <f>Tabla22[[#This Row],[Base price1]]*Tabla22[[#This Row],[Req.]]+Tabla22[[#This Row],[Base price2]]*Tabla22[[#This Row],[Req.2]]</f>
        <v>279141</v>
      </c>
      <c r="K100" s="71">
        <f>IFERROR(LOOKUP(Tabla22[[#This Row],[Product]],$R$18:$R$23,$T$18:$T$23)*Tabla22[[#This Row],[QualityBonus]]*Tabla22[[#This Row],[Base price1]]*Tabla22[[#This Row],[Req.]],0)</f>
        <v>8077.8559999999998</v>
      </c>
      <c r="L100" s="71">
        <f>IF(Tabla22[[#This Row],[Req.2]]&gt;0,LOOKUP(Tabla22[[#This Row],[Product2]],$R$18:$R$23,$T$18:$T$23)*Tabla22[[#This Row],[Base price2]]*Tabla22[[#This Row],[Req.2]]*Tabla22[[#This Row],[QualityBonus]],0)</f>
        <v>7209.4219999999996</v>
      </c>
      <c r="M100" s="74">
        <f>IFERROR((Tabla22[[#This Row],[Base price1]]-LOOKUP(Tabla22[[#This Row],[Product]],$R$18:$R$23,$S$18:$S$23))*Tabla22[[#This Row],[Req.]],0)</f>
        <v>27660</v>
      </c>
      <c r="N100" s="71">
        <f>IF(Tabla22[[#This Row],[Req.2]]&gt;0,(Tabla22[[#This Row],[Base price2]]-LOOKUP(Tabla22[[#This Row],[Product2]],$R$18:$R$23,$S$18:$S$23))*Tabla22[[#This Row],[Req.2]],0)</f>
        <v>4281</v>
      </c>
      <c r="O100" s="74">
        <f>SUM(Tabla22[[#This Row],[Bonus1]:[p2]])</f>
        <v>47228.277999999998</v>
      </c>
      <c r="P100" s="71">
        <f>IF(Tabla22[[#This Row],[QualityBonus]]&gt;0,Tabla22[[#This Row],[No wages]]-$C$4,"")</f>
        <v>8652.4330440476188</v>
      </c>
    </row>
    <row r="101" spans="1:16" x14ac:dyDescent="0.25">
      <c r="A101" s="13">
        <v>85</v>
      </c>
      <c r="B101" s="13" t="s">
        <v>13</v>
      </c>
      <c r="C101" s="66">
        <v>1.6400000000000001E-2</v>
      </c>
      <c r="D101" s="2" t="s">
        <v>54</v>
      </c>
      <c r="E101" s="73">
        <v>59784</v>
      </c>
      <c r="F101" s="5">
        <v>2</v>
      </c>
      <c r="G101" s="2"/>
      <c r="H101" s="73"/>
      <c r="I101" s="5"/>
      <c r="J101" s="74">
        <f>Tabla22[[#This Row],[Base price1]]*Tabla22[[#This Row],[Req.]]+Tabla22[[#This Row],[Base price2]]*Tabla22[[#This Row],[Req.2]]</f>
        <v>119568</v>
      </c>
      <c r="K101" s="71">
        <f>IFERROR(LOOKUP(Tabla22[[#This Row],[Product]],$R$18:$R$23,$T$18:$T$23)*Tabla22[[#This Row],[QualityBonus]]*Tabla22[[#This Row],[Base price1]]*Tabla22[[#This Row],[Req.]],0)</f>
        <v>9804.5760000000009</v>
      </c>
      <c r="L101" s="71">
        <f>IF(Tabla22[[#This Row],[Req.2]]&gt;0,LOOKUP(Tabla22[[#This Row],[Product2]],$R$18:$R$23,$T$18:$T$23)*Tabla22[[#This Row],[Base price2]]*Tabla22[[#This Row],[Req.2]]*Tabla22[[#This Row],[QualityBonus]],0)</f>
        <v>0</v>
      </c>
      <c r="M101" s="74">
        <f>IFERROR((Tabla22[[#This Row],[Base price1]]-LOOKUP(Tabla22[[#This Row],[Product]],$R$18:$R$23,$S$18:$S$23))*Tabla22[[#This Row],[Req.]],0)</f>
        <v>15568</v>
      </c>
      <c r="N101" s="71">
        <f>IF(Tabla22[[#This Row],[Req.2]]&gt;0,(Tabla22[[#This Row],[Base price2]]-LOOKUP(Tabla22[[#This Row],[Product2]],$R$18:$R$23,$S$18:$S$23))*Tabla22[[#This Row],[Req.2]],0)</f>
        <v>0</v>
      </c>
      <c r="O101" s="74">
        <f>SUM(Tabla22[[#This Row],[Bonus1]:[p2]])</f>
        <v>25372.576000000001</v>
      </c>
      <c r="P101" s="71">
        <f>IF(Tabla22[[#This Row],[QualityBonus]]&gt;0,Tabla22[[#This Row],[No wages]]-$C$4,"")</f>
        <v>-13203.268955952379</v>
      </c>
    </row>
    <row r="102" spans="1:16" x14ac:dyDescent="0.25">
      <c r="A102" s="13">
        <v>86</v>
      </c>
      <c r="B102" s="13" t="s">
        <v>13</v>
      </c>
      <c r="C102" s="66">
        <v>2.8899999999999999E-2</v>
      </c>
      <c r="D102" s="2" t="s">
        <v>53</v>
      </c>
      <c r="E102" s="73">
        <v>40520</v>
      </c>
      <c r="F102" s="5">
        <v>2</v>
      </c>
      <c r="G102" s="2"/>
      <c r="H102" s="73"/>
      <c r="I102" s="5"/>
      <c r="J102" s="74">
        <f>Tabla22[[#This Row],[Base price1]]*Tabla22[[#This Row],[Req.]]+Tabla22[[#This Row],[Base price2]]*Tabla22[[#This Row],[Req.2]]</f>
        <v>81040</v>
      </c>
      <c r="K102" s="71">
        <f>IFERROR(LOOKUP(Tabla22[[#This Row],[Product]],$R$18:$R$23,$T$18:$T$23)*Tabla22[[#This Row],[QualityBonus]]*Tabla22[[#This Row],[Base price1]]*Tabla22[[#This Row],[Req.]],0)</f>
        <v>9368.2240000000002</v>
      </c>
      <c r="L102" s="71">
        <f>IF(Tabla22[[#This Row],[Req.2]]&gt;0,LOOKUP(Tabla22[[#This Row],[Product2]],$R$18:$R$23,$T$18:$T$23)*Tabla22[[#This Row],[Base price2]]*Tabla22[[#This Row],[Req.2]]*Tabla22[[#This Row],[QualityBonus]],0)</f>
        <v>0</v>
      </c>
      <c r="M102" s="74">
        <f>IFERROR((Tabla22[[#This Row],[Base price1]]-LOOKUP(Tabla22[[#This Row],[Product]],$R$18:$R$23,$S$18:$S$23))*Tabla22[[#This Row],[Req.]],0)</f>
        <v>13440</v>
      </c>
      <c r="N102" s="71">
        <f>IF(Tabla22[[#This Row],[Req.2]]&gt;0,(Tabla22[[#This Row],[Base price2]]-LOOKUP(Tabla22[[#This Row],[Product2]],$R$18:$R$23,$S$18:$S$23))*Tabla22[[#This Row],[Req.2]],0)</f>
        <v>0</v>
      </c>
      <c r="O102" s="74">
        <f>SUM(Tabla22[[#This Row],[Bonus1]:[p2]])</f>
        <v>22808.224000000002</v>
      </c>
      <c r="P102" s="71">
        <f>IF(Tabla22[[#This Row],[QualityBonus]]&gt;0,Tabla22[[#This Row],[No wages]]-$C$4,"")</f>
        <v>-15767.620955952378</v>
      </c>
    </row>
    <row r="103" spans="1:16" x14ac:dyDescent="0.25">
      <c r="A103" s="13">
        <v>87</v>
      </c>
      <c r="B103" s="13" t="s">
        <v>13</v>
      </c>
      <c r="C103" s="66">
        <v>1.66E-2</v>
      </c>
      <c r="D103" s="2" t="s">
        <v>55</v>
      </c>
      <c r="E103" s="73">
        <v>84835</v>
      </c>
      <c r="F103" s="5">
        <v>1</v>
      </c>
      <c r="G103" s="2" t="s">
        <v>54</v>
      </c>
      <c r="H103" s="73">
        <v>60176</v>
      </c>
      <c r="I103" s="5">
        <v>2</v>
      </c>
      <c r="J103" s="74">
        <f>Tabla22[[#This Row],[Base price1]]*Tabla22[[#This Row],[Req.]]+Tabla22[[#This Row],[Base price2]]*Tabla22[[#This Row],[Req.2]]</f>
        <v>205187</v>
      </c>
      <c r="K103" s="73">
        <f>IFERROR(LOOKUP(Tabla22[[#This Row],[Product]],$R$18:$R$23,$T$18:$T$23)*Tabla22[[#This Row],[QualityBonus]]*Tabla22[[#This Row],[Base price1]]*Tabla22[[#This Row],[Req.]],0)</f>
        <v>5633.0439999999999</v>
      </c>
      <c r="L103" s="73">
        <f>IF(Tabla22[[#This Row],[Req.2]]&gt;0,LOOKUP(Tabla22[[#This Row],[Product2]],$R$18:$R$23,$T$18:$T$23)*Tabla22[[#This Row],[Base price2]]*Tabla22[[#This Row],[Req.2]]*Tabla22[[#This Row],[QualityBonus]],0)</f>
        <v>9989.2160000000003</v>
      </c>
      <c r="M103" s="74">
        <f>IFERROR((Tabla22[[#This Row],[Base price1]]-LOOKUP(Tabla22[[#This Row],[Product]],$R$18:$R$23,$S$18:$S$23))*Tabla22[[#This Row],[Req.]],0)</f>
        <v>6335</v>
      </c>
      <c r="N103" s="73">
        <f>IF(Tabla22[[#This Row],[Req.2]]&gt;0,(Tabla22[[#This Row],[Base price2]]-LOOKUP(Tabla22[[#This Row],[Product2]],$R$18:$R$23,$S$18:$S$23))*Tabla22[[#This Row],[Req.2]],0)</f>
        <v>16352</v>
      </c>
      <c r="O103" s="74">
        <f>SUM(Tabla22[[#This Row],[Bonus1]:[p2]])</f>
        <v>38309.26</v>
      </c>
      <c r="P103" s="73">
        <f>IF(Tabla22[[#This Row],[QualityBonus]]&gt;0,Tabla22[[#This Row],[No wages]]-$C$4,"")</f>
        <v>-266.58495595237764</v>
      </c>
    </row>
    <row r="104" spans="1:16" x14ac:dyDescent="0.25">
      <c r="A104" s="13">
        <v>88</v>
      </c>
      <c r="B104" s="13" t="s">
        <v>13</v>
      </c>
      <c r="C104" s="66">
        <v>2.41E-2</v>
      </c>
      <c r="D104" s="2" t="s">
        <v>52</v>
      </c>
      <c r="E104" s="73">
        <v>120859</v>
      </c>
      <c r="F104" s="5">
        <v>4</v>
      </c>
      <c r="G104" s="2" t="s">
        <v>54</v>
      </c>
      <c r="H104" s="73">
        <v>59175</v>
      </c>
      <c r="I104" s="5">
        <v>2</v>
      </c>
      <c r="J104" s="74">
        <f>Tabla22[[#This Row],[Base price1]]*Tabla22[[#This Row],[Req.]]+Tabla22[[#This Row],[Base price2]]*Tabla22[[#This Row],[Req.2]]</f>
        <v>601786</v>
      </c>
      <c r="K104" s="73">
        <f>IFERROR(LOOKUP(Tabla22[[#This Row],[Product]],$R$18:$R$23,$T$18:$T$23)*Tabla22[[#This Row],[QualityBonus]]*Tabla22[[#This Row],[Base price1]]*Tabla22[[#This Row],[Req.]],0)</f>
        <v>58254.038</v>
      </c>
      <c r="L104" s="73">
        <f>IF(Tabla22[[#This Row],[Req.2]]&gt;0,LOOKUP(Tabla22[[#This Row],[Product2]],$R$18:$R$23,$T$18:$T$23)*Tabla22[[#This Row],[Base price2]]*Tabla22[[#This Row],[Req.2]]*Tabla22[[#This Row],[QualityBonus]],0)</f>
        <v>14261.174999999999</v>
      </c>
      <c r="M104" s="74">
        <f>IFERROR((Tabla22[[#This Row],[Base price1]]-LOOKUP(Tabla22[[#This Row],[Product]],$R$18:$R$23,$S$18:$S$23))*Tabla22[[#This Row],[Req.]],0)</f>
        <v>35436</v>
      </c>
      <c r="N104" s="73">
        <f>IF(Tabla22[[#This Row],[Req.2]]&gt;0,(Tabla22[[#This Row],[Base price2]]-LOOKUP(Tabla22[[#This Row],[Product2]],$R$18:$R$23,$S$18:$S$23))*Tabla22[[#This Row],[Req.2]],0)</f>
        <v>14350</v>
      </c>
      <c r="O104" s="74">
        <f>SUM(Tabla22[[#This Row],[Bonus1]:[p2]])</f>
        <v>122301.213</v>
      </c>
      <c r="P104" s="73">
        <f>IF(Tabla22[[#This Row],[QualityBonus]]&gt;0,Tabla22[[#This Row],[No wages]]-$C$4,"")</f>
        <v>83725.368044047616</v>
      </c>
    </row>
    <row r="105" spans="1:16" x14ac:dyDescent="0.25">
      <c r="A105" s="13">
        <v>89</v>
      </c>
      <c r="B105" s="13" t="s">
        <v>13</v>
      </c>
      <c r="C105" s="66">
        <v>1.3899999999999999E-2</v>
      </c>
      <c r="D105" s="2" t="s">
        <v>57</v>
      </c>
      <c r="E105" s="73">
        <v>82491</v>
      </c>
      <c r="F105" s="5">
        <v>1</v>
      </c>
      <c r="G105" s="2" t="s">
        <v>53</v>
      </c>
      <c r="H105" s="73">
        <v>42647</v>
      </c>
      <c r="I105" s="5">
        <v>4</v>
      </c>
      <c r="J105" s="74">
        <f>Tabla22[[#This Row],[Base price1]]*Tabla22[[#This Row],[Req.]]+Tabla22[[#This Row],[Base price2]]*Tabla22[[#This Row],[Req.2]]</f>
        <v>253079</v>
      </c>
      <c r="K105" s="73">
        <f>IFERROR(LOOKUP(Tabla22[[#This Row],[Product]],$R$18:$R$23,$T$18:$T$23)*Tabla22[[#This Row],[QualityBonus]]*Tabla22[[#This Row],[Base price1]]*Tabla22[[#This Row],[Req.]],0)</f>
        <v>4586.4996000000001</v>
      </c>
      <c r="L105" s="73">
        <f>IF(Tabla22[[#This Row],[Req.2]]&gt;0,LOOKUP(Tabla22[[#This Row],[Product2]],$R$18:$R$23,$T$18:$T$23)*Tabla22[[#This Row],[Base price2]]*Tabla22[[#This Row],[Req.2]]*Tabla22[[#This Row],[QualityBonus]],0)</f>
        <v>9484.6927999999989</v>
      </c>
      <c r="M105" s="74">
        <f>IFERROR((Tabla22[[#This Row],[Base price1]]-LOOKUP(Tabla22[[#This Row],[Product]],$R$18:$R$23,$S$18:$S$23))*Tabla22[[#This Row],[Req.]],0)</f>
        <v>3991</v>
      </c>
      <c r="N105" s="73">
        <f>IF(Tabla22[[#This Row],[Req.2]]&gt;0,(Tabla22[[#This Row],[Base price2]]-LOOKUP(Tabla22[[#This Row],[Product2]],$R$18:$R$23,$S$18:$S$23))*Tabla22[[#This Row],[Req.2]],0)</f>
        <v>35388</v>
      </c>
      <c r="O105" s="74">
        <f>SUM(Tabla22[[#This Row],[Bonus1]:[p2]])</f>
        <v>53450.1924</v>
      </c>
      <c r="P105" s="73">
        <f>IF(Tabla22[[#This Row],[QualityBonus]]&gt;0,Tabla22[[#This Row],[No wages]]-$C$4,"")</f>
        <v>14874.34744404762</v>
      </c>
    </row>
    <row r="106" spans="1:16" x14ac:dyDescent="0.25">
      <c r="A106" s="13">
        <v>90</v>
      </c>
      <c r="B106" s="13" t="s">
        <v>13</v>
      </c>
      <c r="C106" s="66">
        <v>2.0299999999999999E-2</v>
      </c>
      <c r="D106" s="2" t="s">
        <v>57</v>
      </c>
      <c r="E106" s="73">
        <v>84532</v>
      </c>
      <c r="F106" s="5">
        <v>4</v>
      </c>
      <c r="G106" s="2" t="s">
        <v>53</v>
      </c>
      <c r="H106" s="73">
        <v>41135</v>
      </c>
      <c r="I106" s="5">
        <v>2</v>
      </c>
      <c r="J106" s="74">
        <f>Tabla22[[#This Row],[Base price1]]*Tabla22[[#This Row],[Req.]]+Tabla22[[#This Row],[Base price2]]*Tabla22[[#This Row],[Req.2]]</f>
        <v>420398</v>
      </c>
      <c r="K106" s="73">
        <f>IFERROR(LOOKUP(Tabla22[[#This Row],[Product]],$R$18:$R$23,$T$18:$T$23)*Tabla22[[#This Row],[QualityBonus]]*Tabla22[[#This Row],[Base price1]]*Tabla22[[#This Row],[Req.]],0)</f>
        <v>27455.993599999998</v>
      </c>
      <c r="L106" s="73">
        <f>IF(Tabla22[[#This Row],[Req.2]]&gt;0,LOOKUP(Tabla22[[#This Row],[Product2]],$R$18:$R$23,$T$18:$T$23)*Tabla22[[#This Row],[Base price2]]*Tabla22[[#This Row],[Req.2]]*Tabla22[[#This Row],[QualityBonus]],0)</f>
        <v>6680.3239999999996</v>
      </c>
      <c r="M106" s="74">
        <f>IFERROR((Tabla22[[#This Row],[Base price1]]-LOOKUP(Tabla22[[#This Row],[Product]],$R$18:$R$23,$S$18:$S$23))*Tabla22[[#This Row],[Req.]],0)</f>
        <v>24128</v>
      </c>
      <c r="N106" s="73">
        <f>IF(Tabla22[[#This Row],[Req.2]]&gt;0,(Tabla22[[#This Row],[Base price2]]-LOOKUP(Tabla22[[#This Row],[Product2]],$R$18:$R$23,$S$18:$S$23))*Tabla22[[#This Row],[Req.2]],0)</f>
        <v>14670</v>
      </c>
      <c r="O106" s="74">
        <f>SUM(Tabla22[[#This Row],[Bonus1]:[p2]])</f>
        <v>72934.317599999995</v>
      </c>
      <c r="P106" s="73">
        <f>IF(Tabla22[[#This Row],[QualityBonus]]&gt;0,Tabla22[[#This Row],[No wages]]-$C$4,"")</f>
        <v>34358.472644047615</v>
      </c>
    </row>
    <row r="107" spans="1:16" x14ac:dyDescent="0.25">
      <c r="A107" s="13">
        <v>91</v>
      </c>
      <c r="B107" s="13" t="s">
        <v>13</v>
      </c>
      <c r="C107" s="66">
        <v>2.5600000000000001E-2</v>
      </c>
      <c r="D107" s="2" t="s">
        <v>53</v>
      </c>
      <c r="E107" s="73">
        <v>42019</v>
      </c>
      <c r="F107" s="5">
        <v>2</v>
      </c>
      <c r="G107" s="2" t="s">
        <v>57</v>
      </c>
      <c r="H107" s="73">
        <v>83026</v>
      </c>
      <c r="I107" s="5">
        <v>4</v>
      </c>
      <c r="J107" s="74">
        <f>Tabla22[[#This Row],[Base price1]]*Tabla22[[#This Row],[Req.]]+Tabla22[[#This Row],[Base price2]]*Tabla22[[#This Row],[Req.2]]</f>
        <v>416142</v>
      </c>
      <c r="K107" s="73">
        <f>IFERROR(LOOKUP(Tabla22[[#This Row],[Product]],$R$18:$R$23,$T$18:$T$23)*Tabla22[[#This Row],[QualityBonus]]*Tabla22[[#This Row],[Base price1]]*Tabla22[[#This Row],[Req.]],0)</f>
        <v>8605.4912000000004</v>
      </c>
      <c r="L107" s="73">
        <f>IF(Tabla22[[#This Row],[Req.2]]&gt;0,LOOKUP(Tabla22[[#This Row],[Product2]],$R$18:$R$23,$T$18:$T$23)*Tabla22[[#This Row],[Base price2]]*Tabla22[[#This Row],[Req.2]]*Tabla22[[#This Row],[QualityBonus]],0)</f>
        <v>34007.4496</v>
      </c>
      <c r="M107" s="74">
        <f>IFERROR((Tabla22[[#This Row],[Base price1]]-LOOKUP(Tabla22[[#This Row],[Product]],$R$18:$R$23,$S$18:$S$23))*Tabla22[[#This Row],[Req.]],0)</f>
        <v>16438</v>
      </c>
      <c r="N107" s="73">
        <f>IF(Tabla22[[#This Row],[Req.2]]&gt;0,(Tabla22[[#This Row],[Base price2]]-LOOKUP(Tabla22[[#This Row],[Product2]],$R$18:$R$23,$S$18:$S$23))*Tabla22[[#This Row],[Req.2]],0)</f>
        <v>18104</v>
      </c>
      <c r="O107" s="74">
        <f>SUM(Tabla22[[#This Row],[Bonus1]:[p2]])</f>
        <v>77154.940799999997</v>
      </c>
      <c r="P107" s="73">
        <f>IF(Tabla22[[#This Row],[QualityBonus]]&gt;0,Tabla22[[#This Row],[No wages]]-$C$4,"")</f>
        <v>38579.095844047617</v>
      </c>
    </row>
    <row r="108" spans="1:16" x14ac:dyDescent="0.25">
      <c r="A108" s="13">
        <v>92</v>
      </c>
      <c r="B108" s="13" t="s">
        <v>13</v>
      </c>
      <c r="C108" s="66">
        <v>1.18E-2</v>
      </c>
      <c r="D108" s="2" t="s">
        <v>53</v>
      </c>
      <c r="E108" s="73">
        <v>41823</v>
      </c>
      <c r="F108" s="5">
        <v>3</v>
      </c>
      <c r="G108" s="2"/>
      <c r="H108" s="73"/>
      <c r="I108" s="5"/>
      <c r="J108" s="74">
        <f>Tabla22[[#This Row],[Base price1]]*Tabla22[[#This Row],[Req.]]+Tabla22[[#This Row],[Base price2]]*Tabla22[[#This Row],[Req.2]]</f>
        <v>125469</v>
      </c>
      <c r="K108" s="73">
        <f>IFERROR(LOOKUP(Tabla22[[#This Row],[Product]],$R$18:$R$23,$T$18:$T$23)*Tabla22[[#This Row],[QualityBonus]]*Tabla22[[#This Row],[Base price1]]*Tabla22[[#This Row],[Req.]],0)</f>
        <v>5922.1368000000002</v>
      </c>
      <c r="L108" s="73">
        <f>IF(Tabla22[[#This Row],[Req.2]]&gt;0,LOOKUP(Tabla22[[#This Row],[Product2]],$R$18:$R$23,$T$18:$T$23)*Tabla22[[#This Row],[Base price2]]*Tabla22[[#This Row],[Req.2]]*Tabla22[[#This Row],[QualityBonus]],0)</f>
        <v>0</v>
      </c>
      <c r="M108" s="74">
        <f>IFERROR((Tabla22[[#This Row],[Base price1]]-LOOKUP(Tabla22[[#This Row],[Product]],$R$18:$R$23,$S$18:$S$23))*Tabla22[[#This Row],[Req.]],0)</f>
        <v>24069</v>
      </c>
      <c r="N108" s="73">
        <f>IF(Tabla22[[#This Row],[Req.2]]&gt;0,(Tabla22[[#This Row],[Base price2]]-LOOKUP(Tabla22[[#This Row],[Product2]],$R$18:$R$23,$S$18:$S$23))*Tabla22[[#This Row],[Req.2]],0)</f>
        <v>0</v>
      </c>
      <c r="O108" s="74">
        <f>SUM(Tabla22[[#This Row],[Bonus1]:[p2]])</f>
        <v>29991.1368</v>
      </c>
      <c r="P108" s="73">
        <f>IF(Tabla22[[#This Row],[QualityBonus]]&gt;0,Tabla22[[#This Row],[No wages]]-$C$4,"")</f>
        <v>-8584.7081559523795</v>
      </c>
    </row>
    <row r="109" spans="1:16" x14ac:dyDescent="0.25">
      <c r="A109" s="13">
        <v>93</v>
      </c>
      <c r="B109" s="13" t="s">
        <v>13</v>
      </c>
      <c r="C109" s="66">
        <v>1.3299999999999999E-2</v>
      </c>
      <c r="D109" s="2" t="s">
        <v>54</v>
      </c>
      <c r="E109" s="73">
        <v>59933</v>
      </c>
      <c r="F109" s="5">
        <v>1</v>
      </c>
      <c r="G109" s="2" t="s">
        <v>53</v>
      </c>
      <c r="H109" s="73">
        <v>40710</v>
      </c>
      <c r="I109" s="5">
        <v>3</v>
      </c>
      <c r="J109" s="74">
        <f>Tabla22[[#This Row],[Base price1]]*Tabla22[[#This Row],[Req.]]+Tabla22[[#This Row],[Base price2]]*Tabla22[[#This Row],[Req.2]]</f>
        <v>182063</v>
      </c>
      <c r="K109" s="73">
        <f>IFERROR(LOOKUP(Tabla22[[#This Row],[Product]],$R$18:$R$23,$T$18:$T$23)*Tabla22[[#This Row],[QualityBonus]]*Tabla22[[#This Row],[Base price1]]*Tabla22[[#This Row],[Req.]],0)</f>
        <v>3985.5445000000004</v>
      </c>
      <c r="L109" s="73">
        <f>IF(Tabla22[[#This Row],[Req.2]]&gt;0,LOOKUP(Tabla22[[#This Row],[Product2]],$R$18:$R$23,$T$18:$T$23)*Tabla22[[#This Row],[Base price2]]*Tabla22[[#This Row],[Req.2]]*Tabla22[[#This Row],[QualityBonus]],0)</f>
        <v>6497.3159999999998</v>
      </c>
      <c r="M109" s="74">
        <f>IFERROR((Tabla22[[#This Row],[Base price1]]-LOOKUP(Tabla22[[#This Row],[Product]],$R$18:$R$23,$S$18:$S$23))*Tabla22[[#This Row],[Req.]],0)</f>
        <v>7933</v>
      </c>
      <c r="N109" s="73">
        <f>IF(Tabla22[[#This Row],[Req.2]]&gt;0,(Tabla22[[#This Row],[Base price2]]-LOOKUP(Tabla22[[#This Row],[Product2]],$R$18:$R$23,$S$18:$S$23))*Tabla22[[#This Row],[Req.2]],0)</f>
        <v>20730</v>
      </c>
      <c r="O109" s="74">
        <f>SUM(Tabla22[[#This Row],[Bonus1]:[p2]])</f>
        <v>39145.860500000003</v>
      </c>
      <c r="P109" s="73">
        <f>IF(Tabla22[[#This Row],[QualityBonus]]&gt;0,Tabla22[[#This Row],[No wages]]-$C$4,"")</f>
        <v>570.01554404762283</v>
      </c>
    </row>
    <row r="110" spans="1:16" x14ac:dyDescent="0.25">
      <c r="A110" s="13">
        <v>94</v>
      </c>
      <c r="B110" s="13" t="s">
        <v>13</v>
      </c>
      <c r="C110" s="66">
        <v>1.7100000000000001E-2</v>
      </c>
      <c r="D110" s="2" t="s">
        <v>56</v>
      </c>
      <c r="E110" s="73">
        <v>227734</v>
      </c>
      <c r="F110" s="5">
        <v>4</v>
      </c>
      <c r="G110" s="2" t="s">
        <v>54</v>
      </c>
      <c r="H110" s="73">
        <v>61060</v>
      </c>
      <c r="I110" s="5">
        <v>3</v>
      </c>
      <c r="J110" s="74">
        <f>Tabla22[[#This Row],[Base price1]]*Tabla22[[#This Row],[Req.]]+Tabla22[[#This Row],[Base price2]]*Tabla22[[#This Row],[Req.2]]</f>
        <v>1094116</v>
      </c>
      <c r="K110" s="73">
        <f>IFERROR(LOOKUP(Tabla22[[#This Row],[Product]],$R$18:$R$23,$T$18:$T$23)*Tabla22[[#This Row],[QualityBonus]]*Tabla22[[#This Row],[Base price1]]*Tabla22[[#This Row],[Req.]],0)</f>
        <v>62308.022400000002</v>
      </c>
      <c r="L110" s="73">
        <f>IF(Tabla22[[#This Row],[Req.2]]&gt;0,LOOKUP(Tabla22[[#This Row],[Product2]],$R$18:$R$23,$T$18:$T$23)*Tabla22[[#This Row],[Base price2]]*Tabla22[[#This Row],[Req.2]]*Tabla22[[#This Row],[QualityBonus]],0)</f>
        <v>15661.890000000001</v>
      </c>
      <c r="M110" s="74">
        <f>IFERROR((Tabla22[[#This Row],[Base price1]]-LOOKUP(Tabla22[[#This Row],[Product]],$R$18:$R$23,$S$18:$S$23))*Tabla22[[#This Row],[Req.]],0)</f>
        <v>26936</v>
      </c>
      <c r="N110" s="73">
        <f>IF(Tabla22[[#This Row],[Req.2]]&gt;0,(Tabla22[[#This Row],[Base price2]]-LOOKUP(Tabla22[[#This Row],[Product2]],$R$18:$R$23,$S$18:$S$23))*Tabla22[[#This Row],[Req.2]],0)</f>
        <v>27180</v>
      </c>
      <c r="O110" s="74">
        <f>SUM(Tabla22[[#This Row],[Bonus1]:[p2]])</f>
        <v>132085.9124</v>
      </c>
      <c r="P110" s="73">
        <f>IF(Tabla22[[#This Row],[QualityBonus]]&gt;0,Tabla22[[#This Row],[No wages]]-$C$4,"")</f>
        <v>93510.067444047629</v>
      </c>
    </row>
    <row r="111" spans="1:16" x14ac:dyDescent="0.25">
      <c r="A111" s="13">
        <v>95</v>
      </c>
      <c r="B111" s="13" t="s">
        <v>13</v>
      </c>
      <c r="C111" s="36">
        <v>1.29E-2</v>
      </c>
      <c r="D111" s="2" t="s">
        <v>52</v>
      </c>
      <c r="E111" s="71">
        <v>116994</v>
      </c>
      <c r="F111" s="4">
        <v>2</v>
      </c>
      <c r="G111" s="2" t="s">
        <v>54</v>
      </c>
      <c r="H111" s="71">
        <v>62623</v>
      </c>
      <c r="I111" s="4">
        <v>3</v>
      </c>
      <c r="J111" s="74">
        <f>Tabla22[[#This Row],[Base price1]]*Tabla22[[#This Row],[Req.]]+Tabla22[[#This Row],[Base price2]]*Tabla22[[#This Row],[Req.2]]</f>
        <v>421857</v>
      </c>
      <c r="K111" s="71">
        <f>IFERROR(LOOKUP(Tabla22[[#This Row],[Product]],$R$18:$R$23,$T$18:$T$23)*Tabla22[[#This Row],[QualityBonus]]*Tabla22[[#This Row],[Base price1]]*Tabla22[[#This Row],[Req.]],0)</f>
        <v>15092.226000000001</v>
      </c>
      <c r="L111" s="71">
        <f>IF(Tabla22[[#This Row],[Req.2]]&gt;0,LOOKUP(Tabla22[[#This Row],[Product2]],$R$18:$R$23,$T$18:$T$23)*Tabla22[[#This Row],[Base price2]]*Tabla22[[#This Row],[Req.2]]*Tabla22[[#This Row],[QualityBonus]],0)</f>
        <v>12117.550499999999</v>
      </c>
      <c r="M111" s="74">
        <f>IFERROR((Tabla22[[#This Row],[Base price1]]-LOOKUP(Tabla22[[#This Row],[Product]],$R$18:$R$23,$S$18:$S$23))*Tabla22[[#This Row],[Req.]],0)</f>
        <v>9988</v>
      </c>
      <c r="N111" s="71">
        <f>IF(Tabla22[[#This Row],[Req.2]]&gt;0,(Tabla22[[#This Row],[Base price2]]-LOOKUP(Tabla22[[#This Row],[Product2]],$R$18:$R$23,$S$18:$S$23))*Tabla22[[#This Row],[Req.2]],0)</f>
        <v>31869</v>
      </c>
      <c r="O111" s="74">
        <f>SUM(Tabla22[[#This Row],[Bonus1]:[p2]])</f>
        <v>69066.776500000007</v>
      </c>
      <c r="P111" s="71">
        <f>IF(Tabla22[[#This Row],[QualityBonus]]&gt;0,Tabla22[[#This Row],[No wages]]-$C$4,"")</f>
        <v>30490.931544047628</v>
      </c>
    </row>
    <row r="112" spans="1:16" x14ac:dyDescent="0.25">
      <c r="A112" s="24">
        <v>96</v>
      </c>
      <c r="B112" s="24" t="s">
        <v>13</v>
      </c>
      <c r="C112" s="44">
        <v>2.63E-2</v>
      </c>
      <c r="D112" s="37" t="s">
        <v>27</v>
      </c>
      <c r="E112" s="72">
        <v>856479</v>
      </c>
      <c r="F112" s="39">
        <v>1</v>
      </c>
      <c r="G112" s="37" t="s">
        <v>56</v>
      </c>
      <c r="H112" s="72">
        <v>225150</v>
      </c>
      <c r="I112" s="39">
        <v>1</v>
      </c>
      <c r="J112" s="75">
        <f>Tabla22[[#This Row],[Base price1]]*Tabla22[[#This Row],[Req.]]+Tabla22[[#This Row],[Base price2]]*Tabla22[[#This Row],[Req.2]]</f>
        <v>1081629</v>
      </c>
      <c r="K112" s="72">
        <f>IFERROR(LOOKUP(Tabla22[[#This Row],[Product]],$R$18:$R$23,$T$18:$T$23)*Tabla22[[#This Row],[QualityBonus]]*Tabla22[[#This Row],[Base price1]]*Tabla22[[#This Row],[Req.]],0)</f>
        <v>90101.590800000005</v>
      </c>
      <c r="L112" s="72">
        <f>IF(Tabla22[[#This Row],[Req.2]]&gt;0,LOOKUP(Tabla22[[#This Row],[Product2]],$R$18:$R$23,$T$18:$T$23)*Tabla22[[#This Row],[Base price2]]*Tabla22[[#This Row],[Req.2]]*Tabla22[[#This Row],[QualityBonus]],0)</f>
        <v>23685.78</v>
      </c>
      <c r="M112" s="75">
        <f>IFERROR((Tabla22[[#This Row],[Base price1]]-LOOKUP(Tabla22[[#This Row],[Product]],$R$18:$R$23,$S$18:$S$23))*Tabla22[[#This Row],[Req.]],0)</f>
        <v>-1521</v>
      </c>
      <c r="N112" s="72">
        <f>IF(Tabla22[[#This Row],[Req.2]]&gt;0,(Tabla22[[#This Row],[Base price2]]-LOOKUP(Tabla22[[#This Row],[Product2]],$R$18:$R$23,$S$18:$S$23))*Tabla22[[#This Row],[Req.2]],0)</f>
        <v>4150</v>
      </c>
      <c r="O112" s="75">
        <f>SUM(Tabla22[[#This Row],[Bonus1]:[p2]])</f>
        <v>116416.3708</v>
      </c>
      <c r="P112" s="72">
        <f>IF(Tabla22[[#This Row],[QualityBonus]]&gt;0,Tabla22[[#This Row],[No wages]]-$C$4,"")</f>
        <v>77840.525844047632</v>
      </c>
    </row>
    <row r="113" spans="1:16" x14ac:dyDescent="0.25">
      <c r="A113" s="13">
        <v>97</v>
      </c>
      <c r="B113" s="13" t="s">
        <v>66</v>
      </c>
      <c r="C113" s="66">
        <v>2.5999999999999999E-2</v>
      </c>
      <c r="D113" s="2" t="s">
        <v>57</v>
      </c>
      <c r="E113" s="73">
        <v>81535</v>
      </c>
      <c r="F113" s="5">
        <v>2</v>
      </c>
      <c r="G113" s="2"/>
      <c r="H113" s="73"/>
      <c r="I113" s="5"/>
      <c r="J113" s="74">
        <f>Tabla22[[#This Row],[Base price1]]*Tabla22[[#This Row],[Req.]]+Tabla22[[#This Row],[Base price2]]*Tabla22[[#This Row],[Req.2]]</f>
        <v>163070</v>
      </c>
      <c r="K113" s="73">
        <f>IFERROR(LOOKUP(Tabla22[[#This Row],[Product]],$R$18:$R$23,$T$18:$T$23)*Tabla22[[#This Row],[QualityBonus]]*Tabla22[[#This Row],[Base price1]]*Tabla22[[#This Row],[Req.]],0)</f>
        <v>16959.28</v>
      </c>
      <c r="L113" s="73">
        <f>IF(Tabla22[[#This Row],[Req.2]]&gt;0,LOOKUP(Tabla22[[#This Row],[Product2]],$R$18:$R$23,$T$18:$T$23)*Tabla22[[#This Row],[Base price2]]*Tabla22[[#This Row],[Req.2]]*Tabla22[[#This Row],[QualityBonus]],0)</f>
        <v>0</v>
      </c>
      <c r="M113" s="74">
        <f>IFERROR((Tabla22[[#This Row],[Base price1]]-LOOKUP(Tabla22[[#This Row],[Product]],$R$18:$R$23,$S$18:$S$23))*Tabla22[[#This Row],[Req.]],0)</f>
        <v>6070</v>
      </c>
      <c r="N113" s="73">
        <f>IF(Tabla22[[#This Row],[Req.2]]&gt;0,(Tabla22[[#This Row],[Base price2]]-LOOKUP(Tabla22[[#This Row],[Product2]],$R$18:$R$23,$S$18:$S$23))*Tabla22[[#This Row],[Req.2]],0)</f>
        <v>0</v>
      </c>
      <c r="O113" s="74">
        <f>SUM(Tabla22[[#This Row],[Bonus1]:[p2]])</f>
        <v>23029.279999999999</v>
      </c>
      <c r="P113" s="73">
        <f>IF(Tabla22[[#This Row],[QualityBonus]]&gt;0,Tabla22[[#This Row],[No wages]]-$C$4,"")</f>
        <v>-15546.564955952381</v>
      </c>
    </row>
    <row r="114" spans="1:16" x14ac:dyDescent="0.25">
      <c r="A114" s="13">
        <v>98</v>
      </c>
      <c r="B114" s="13" t="s">
        <v>66</v>
      </c>
      <c r="C114" s="66">
        <v>2.7799999999999998E-2</v>
      </c>
      <c r="D114" s="2" t="s">
        <v>57</v>
      </c>
      <c r="E114" s="73">
        <v>82628</v>
      </c>
      <c r="F114" s="5">
        <v>2</v>
      </c>
      <c r="G114" s="2"/>
      <c r="H114" s="73"/>
      <c r="I114" s="5"/>
      <c r="J114" s="74">
        <f>Tabla22[[#This Row],[Base price1]]*Tabla22[[#This Row],[Req.]]+Tabla22[[#This Row],[Base price2]]*Tabla22[[#This Row],[Req.2]]</f>
        <v>165256</v>
      </c>
      <c r="K114" s="73">
        <f>IFERROR(LOOKUP(Tabla22[[#This Row],[Product]],$R$18:$R$23,$T$18:$T$23)*Tabla22[[#This Row],[QualityBonus]]*Tabla22[[#This Row],[Base price1]]*Tabla22[[#This Row],[Req.]],0)</f>
        <v>18376.467199999999</v>
      </c>
      <c r="L114" s="73">
        <f>IF(Tabla22[[#This Row],[Req.2]]&gt;0,LOOKUP(Tabla22[[#This Row],[Product2]],$R$18:$R$23,$T$18:$T$23)*Tabla22[[#This Row],[Base price2]]*Tabla22[[#This Row],[Req.2]]*Tabla22[[#This Row],[QualityBonus]],0)</f>
        <v>0</v>
      </c>
      <c r="M114" s="74">
        <f>IFERROR((Tabla22[[#This Row],[Base price1]]-LOOKUP(Tabla22[[#This Row],[Product]],$R$18:$R$23,$S$18:$S$23))*Tabla22[[#This Row],[Req.]],0)</f>
        <v>8256</v>
      </c>
      <c r="N114" s="73">
        <f>IF(Tabla22[[#This Row],[Req.2]]&gt;0,(Tabla22[[#This Row],[Base price2]]-LOOKUP(Tabla22[[#This Row],[Product2]],$R$18:$R$23,$S$18:$S$23))*Tabla22[[#This Row],[Req.2]],0)</f>
        <v>0</v>
      </c>
      <c r="O114" s="74">
        <f>SUM(Tabla22[[#This Row],[Bonus1]:[p2]])</f>
        <v>26632.467199999999</v>
      </c>
      <c r="P114" s="73">
        <f>IF(Tabla22[[#This Row],[QualityBonus]]&gt;0,Tabla22[[#This Row],[No wages]]-$C$4,"")</f>
        <v>-11943.377755952381</v>
      </c>
    </row>
    <row r="115" spans="1:16" x14ac:dyDescent="0.25">
      <c r="A115" s="13">
        <v>99</v>
      </c>
      <c r="B115" s="13" t="s">
        <v>66</v>
      </c>
      <c r="C115" s="66">
        <v>2.6100000000000002E-2</v>
      </c>
      <c r="D115" s="2" t="s">
        <v>57</v>
      </c>
      <c r="E115" s="73">
        <v>79637</v>
      </c>
      <c r="F115" s="5">
        <v>1</v>
      </c>
      <c r="G115" s="2" t="s">
        <v>53</v>
      </c>
      <c r="H115" s="73">
        <v>40746</v>
      </c>
      <c r="I115" s="5">
        <v>3</v>
      </c>
      <c r="J115" s="74">
        <f>Tabla22[[#This Row],[Base price1]]*Tabla22[[#This Row],[Req.]]+Tabla22[[#This Row],[Base price2]]*Tabla22[[#This Row],[Req.2]]</f>
        <v>201875</v>
      </c>
      <c r="K115" s="73">
        <f>IFERROR(LOOKUP(Tabla22[[#This Row],[Product]],$R$18:$R$23,$T$18:$T$23)*Tabla22[[#This Row],[QualityBonus]]*Tabla22[[#This Row],[Base price1]]*Tabla22[[#This Row],[Req.]],0)</f>
        <v>8314.1028000000006</v>
      </c>
      <c r="L115" s="73">
        <f>IF(Tabla22[[#This Row],[Req.2]]&gt;0,LOOKUP(Tabla22[[#This Row],[Product2]],$R$18:$R$23,$T$18:$T$23)*Tabla22[[#This Row],[Base price2]]*Tabla22[[#This Row],[Req.2]]*Tabla22[[#This Row],[QualityBonus]],0)</f>
        <v>12761.647200000001</v>
      </c>
      <c r="M115" s="74">
        <f>IFERROR((Tabla22[[#This Row],[Base price1]]-LOOKUP(Tabla22[[#This Row],[Product]],$R$18:$R$23,$S$18:$S$23))*Tabla22[[#This Row],[Req.]],0)</f>
        <v>1137</v>
      </c>
      <c r="N115" s="73">
        <f>IF(Tabla22[[#This Row],[Req.2]]&gt;0,(Tabla22[[#This Row],[Base price2]]-LOOKUP(Tabla22[[#This Row],[Product2]],$R$18:$R$23,$S$18:$S$23))*Tabla22[[#This Row],[Req.2]],0)</f>
        <v>20838</v>
      </c>
      <c r="O115" s="74">
        <f>SUM(Tabla22[[#This Row],[Bonus1]:[p2]])</f>
        <v>43050.75</v>
      </c>
      <c r="P115" s="73">
        <f>IF(Tabla22[[#This Row],[QualityBonus]]&gt;0,Tabla22[[#This Row],[No wages]]-$C$4,"")</f>
        <v>4474.9050440476203</v>
      </c>
    </row>
    <row r="116" spans="1:16" x14ac:dyDescent="0.25">
      <c r="A116" s="13">
        <v>100</v>
      </c>
      <c r="B116" s="13" t="s">
        <v>66</v>
      </c>
      <c r="C116" s="66">
        <v>1.84E-2</v>
      </c>
      <c r="D116" s="2" t="s">
        <v>53</v>
      </c>
      <c r="E116" s="73">
        <v>38220</v>
      </c>
      <c r="F116" s="5">
        <v>5</v>
      </c>
      <c r="G116" s="2" t="s">
        <v>54</v>
      </c>
      <c r="H116" s="73">
        <v>56317</v>
      </c>
      <c r="I116" s="5">
        <v>2</v>
      </c>
      <c r="J116" s="74">
        <f>Tabla22[[#This Row],[Base price1]]*Tabla22[[#This Row],[Req.]]+Tabla22[[#This Row],[Base price2]]*Tabla22[[#This Row],[Req.2]]</f>
        <v>303734</v>
      </c>
      <c r="K116" s="73">
        <f>IFERROR(LOOKUP(Tabla22[[#This Row],[Product]],$R$18:$R$23,$T$18:$T$23)*Tabla22[[#This Row],[QualityBonus]]*Tabla22[[#This Row],[Base price1]]*Tabla22[[#This Row],[Req.]],0)</f>
        <v>14064.96</v>
      </c>
      <c r="L116" s="73">
        <f>IF(Tabla22[[#This Row],[Req.2]]&gt;0,LOOKUP(Tabla22[[#This Row],[Product2]],$R$18:$R$23,$T$18:$T$23)*Tabla22[[#This Row],[Base price2]]*Tabla22[[#This Row],[Req.2]]*Tabla22[[#This Row],[QualityBonus]],0)</f>
        <v>10362.328</v>
      </c>
      <c r="M116" s="74">
        <f>IFERROR((Tabla22[[#This Row],[Base price1]]-LOOKUP(Tabla22[[#This Row],[Product]],$R$18:$R$23,$S$18:$S$23))*Tabla22[[#This Row],[Req.]],0)</f>
        <v>22100</v>
      </c>
      <c r="N116" s="73">
        <f>IF(Tabla22[[#This Row],[Req.2]]&gt;0,(Tabla22[[#This Row],[Base price2]]-LOOKUP(Tabla22[[#This Row],[Product2]],$R$18:$R$23,$S$18:$S$23))*Tabla22[[#This Row],[Req.2]],0)</f>
        <v>8634</v>
      </c>
      <c r="O116" s="74">
        <f>SUM(Tabla22[[#This Row],[Bonus1]:[p2]])</f>
        <v>55161.288</v>
      </c>
      <c r="P116" s="73">
        <f>IF(Tabla22[[#This Row],[QualityBonus]]&gt;0,Tabla22[[#This Row],[No wages]]-$C$4,"")</f>
        <v>16585.443044047621</v>
      </c>
    </row>
    <row r="117" spans="1:16" x14ac:dyDescent="0.25">
      <c r="A117" s="13">
        <v>101</v>
      </c>
      <c r="B117" s="13" t="s">
        <v>66</v>
      </c>
      <c r="C117" s="66">
        <v>1.37E-2</v>
      </c>
      <c r="D117" s="2" t="s">
        <v>57</v>
      </c>
      <c r="E117" s="73">
        <v>78049</v>
      </c>
      <c r="F117" s="5">
        <v>4</v>
      </c>
      <c r="G117" s="2" t="s">
        <v>53</v>
      </c>
      <c r="H117" s="73">
        <v>39312</v>
      </c>
      <c r="I117" s="5">
        <v>3</v>
      </c>
      <c r="J117" s="74">
        <f>Tabla22[[#This Row],[Base price1]]*Tabla22[[#This Row],[Req.]]+Tabla22[[#This Row],[Base price2]]*Tabla22[[#This Row],[Req.2]]</f>
        <v>430132</v>
      </c>
      <c r="K117" s="73">
        <f>IFERROR(LOOKUP(Tabla22[[#This Row],[Product]],$R$18:$R$23,$T$18:$T$23)*Tabla22[[#This Row],[QualityBonus]]*Tabla22[[#This Row],[Base price1]]*Tabla22[[#This Row],[Req.]],0)</f>
        <v>17108.340800000002</v>
      </c>
      <c r="L117" s="73">
        <f>IF(Tabla22[[#This Row],[Req.2]]&gt;0,LOOKUP(Tabla22[[#This Row],[Product2]],$R$18:$R$23,$T$18:$T$23)*Tabla22[[#This Row],[Base price2]]*Tabla22[[#This Row],[Req.2]]*Tabla22[[#This Row],[QualityBonus]],0)</f>
        <v>6462.8928000000005</v>
      </c>
      <c r="M117" s="74">
        <f>IFERROR((Tabla22[[#This Row],[Base price1]]-LOOKUP(Tabla22[[#This Row],[Product]],$R$18:$R$23,$S$18:$S$23))*Tabla22[[#This Row],[Req.]],0)</f>
        <v>-1804</v>
      </c>
      <c r="N117" s="73">
        <f>IF(Tabla22[[#This Row],[Req.2]]&gt;0,(Tabla22[[#This Row],[Base price2]]-LOOKUP(Tabla22[[#This Row],[Product2]],$R$18:$R$23,$S$18:$S$23))*Tabla22[[#This Row],[Req.2]],0)</f>
        <v>16536</v>
      </c>
      <c r="O117" s="74">
        <f>SUM(Tabla22[[#This Row],[Bonus1]:[p2]])</f>
        <v>38303.233600000007</v>
      </c>
      <c r="P117" s="73">
        <f>IF(Tabla22[[#This Row],[QualityBonus]]&gt;0,Tabla22[[#This Row],[No wages]]-$C$4,"")</f>
        <v>-272.61135595237283</v>
      </c>
    </row>
    <row r="118" spans="1:16" x14ac:dyDescent="0.25">
      <c r="A118" s="13">
        <v>102</v>
      </c>
      <c r="B118" s="13" t="s">
        <v>66</v>
      </c>
      <c r="C118" s="66">
        <v>1.38E-2</v>
      </c>
      <c r="D118" s="2" t="s">
        <v>52</v>
      </c>
      <c r="E118" s="73">
        <v>110700</v>
      </c>
      <c r="F118" s="5">
        <v>4</v>
      </c>
      <c r="G118" s="2" t="s">
        <v>53</v>
      </c>
      <c r="H118" s="73">
        <v>40356</v>
      </c>
      <c r="I118" s="5">
        <v>4</v>
      </c>
      <c r="J118" s="74">
        <f>Tabla22[[#This Row],[Base price1]]*Tabla22[[#This Row],[Req.]]+Tabla22[[#This Row],[Base price2]]*Tabla22[[#This Row],[Req.2]]</f>
        <v>604224</v>
      </c>
      <c r="K118" s="73">
        <f>IFERROR(LOOKUP(Tabla22[[#This Row],[Product]],$R$18:$R$23,$T$18:$T$23)*Tabla22[[#This Row],[QualityBonus]]*Tabla22[[#This Row],[Base price1]]*Tabla22[[#This Row],[Req.]],0)</f>
        <v>30553.200000000004</v>
      </c>
      <c r="L118" s="73">
        <f>IF(Tabla22[[#This Row],[Req.2]]&gt;0,LOOKUP(Tabla22[[#This Row],[Product2]],$R$18:$R$23,$T$18:$T$23)*Tabla22[[#This Row],[Base price2]]*Tabla22[[#This Row],[Req.2]]*Tabla22[[#This Row],[QualityBonus]],0)</f>
        <v>8910.6047999999992</v>
      </c>
      <c r="M118" s="74">
        <f>IFERROR((Tabla22[[#This Row],[Base price1]]-LOOKUP(Tabla22[[#This Row],[Product]],$R$18:$R$23,$S$18:$S$23))*Tabla22[[#This Row],[Req.]],0)</f>
        <v>-5200</v>
      </c>
      <c r="N118" s="73">
        <f>IF(Tabla22[[#This Row],[Req.2]]&gt;0,(Tabla22[[#This Row],[Base price2]]-LOOKUP(Tabla22[[#This Row],[Product2]],$R$18:$R$23,$S$18:$S$23))*Tabla22[[#This Row],[Req.2]],0)</f>
        <v>26224</v>
      </c>
      <c r="O118" s="74">
        <f>SUM(Tabla22[[#This Row],[Bonus1]:[p2]])</f>
        <v>60487.804800000005</v>
      </c>
      <c r="P118" s="73">
        <f>IF(Tabla22[[#This Row],[QualityBonus]]&gt;0,Tabla22[[#This Row],[No wages]]-$C$4,"")</f>
        <v>21911.959844047626</v>
      </c>
    </row>
    <row r="119" spans="1:16" x14ac:dyDescent="0.25">
      <c r="A119" s="13">
        <v>103</v>
      </c>
      <c r="B119" s="13" t="s">
        <v>66</v>
      </c>
      <c r="C119" s="66">
        <v>2.92E-2</v>
      </c>
      <c r="D119" s="2" t="s">
        <v>56</v>
      </c>
      <c r="E119" s="73">
        <v>206873</v>
      </c>
      <c r="F119" s="5">
        <v>2</v>
      </c>
      <c r="G119" s="2" t="s">
        <v>57</v>
      </c>
      <c r="H119" s="73">
        <v>80699</v>
      </c>
      <c r="I119" s="5">
        <v>1</v>
      </c>
      <c r="J119" s="74">
        <f>Tabla22[[#This Row],[Base price1]]*Tabla22[[#This Row],[Req.]]+Tabla22[[#This Row],[Base price2]]*Tabla22[[#This Row],[Req.2]]</f>
        <v>494445</v>
      </c>
      <c r="K119" s="73">
        <f>IFERROR(LOOKUP(Tabla22[[#This Row],[Product]],$R$18:$R$23,$T$18:$T$23)*Tabla22[[#This Row],[QualityBonus]]*Tabla22[[#This Row],[Base price1]]*Tabla22[[#This Row],[Req.]],0)</f>
        <v>48325.532800000001</v>
      </c>
      <c r="L119" s="73">
        <f>IF(Tabla22[[#This Row],[Req.2]]&gt;0,LOOKUP(Tabla22[[#This Row],[Product2]],$R$18:$R$23,$T$18:$T$23)*Tabla22[[#This Row],[Base price2]]*Tabla22[[#This Row],[Req.2]]*Tabla22[[#This Row],[QualityBonus]],0)</f>
        <v>9425.6432000000004</v>
      </c>
      <c r="M119" s="74">
        <f>IFERROR((Tabla22[[#This Row],[Base price1]]-LOOKUP(Tabla22[[#This Row],[Product]],$R$18:$R$23,$S$18:$S$23))*Tabla22[[#This Row],[Req.]],0)</f>
        <v>-28254</v>
      </c>
      <c r="N119" s="73">
        <f>IF(Tabla22[[#This Row],[Req.2]]&gt;0,(Tabla22[[#This Row],[Base price2]]-LOOKUP(Tabla22[[#This Row],[Product2]],$R$18:$R$23,$S$18:$S$23))*Tabla22[[#This Row],[Req.2]],0)</f>
        <v>2199</v>
      </c>
      <c r="O119" s="74">
        <f>SUM(Tabla22[[#This Row],[Bonus1]:[p2]])</f>
        <v>31696.175999999999</v>
      </c>
      <c r="P119" s="73">
        <f>IF(Tabla22[[#This Row],[QualityBonus]]&gt;0,Tabla22[[#This Row],[No wages]]-$C$4,"")</f>
        <v>-6879.6689559523802</v>
      </c>
    </row>
    <row r="120" spans="1:16" x14ac:dyDescent="0.25">
      <c r="A120" s="13">
        <v>104</v>
      </c>
      <c r="B120" s="13" t="s">
        <v>66</v>
      </c>
      <c r="C120" s="66">
        <v>1.66E-2</v>
      </c>
      <c r="D120" s="2" t="s">
        <v>56</v>
      </c>
      <c r="E120" s="73">
        <v>218026</v>
      </c>
      <c r="F120" s="5">
        <v>2</v>
      </c>
      <c r="G120" s="2" t="s">
        <v>53</v>
      </c>
      <c r="H120" s="73">
        <v>39271</v>
      </c>
      <c r="I120" s="5">
        <v>5</v>
      </c>
      <c r="J120" s="74">
        <f>Tabla22[[#This Row],[Base price1]]*Tabla22[[#This Row],[Req.]]+Tabla22[[#This Row],[Base price2]]*Tabla22[[#This Row],[Req.2]]</f>
        <v>632407</v>
      </c>
      <c r="K120" s="73">
        <f>IFERROR(LOOKUP(Tabla22[[#This Row],[Product]],$R$18:$R$23,$T$18:$T$23)*Tabla22[[#This Row],[QualityBonus]]*Tabla22[[#This Row],[Base price1]]*Tabla22[[#This Row],[Req.]],0)</f>
        <v>28953.852800000001</v>
      </c>
      <c r="L120" s="73">
        <f>IF(Tabla22[[#This Row],[Req.2]]&gt;0,LOOKUP(Tabla22[[#This Row],[Product2]],$R$18:$R$23,$T$18:$T$23)*Tabla22[[#This Row],[Base price2]]*Tabla22[[#This Row],[Req.2]]*Tabla22[[#This Row],[QualityBonus]],0)</f>
        <v>13037.972</v>
      </c>
      <c r="M120" s="74">
        <f>IFERROR((Tabla22[[#This Row],[Base price1]]-LOOKUP(Tabla22[[#This Row],[Product]],$R$18:$R$23,$S$18:$S$23))*Tabla22[[#This Row],[Req.]],0)</f>
        <v>-5948</v>
      </c>
      <c r="N120" s="73">
        <f>IF(Tabla22[[#This Row],[Req.2]]&gt;0,(Tabla22[[#This Row],[Base price2]]-LOOKUP(Tabla22[[#This Row],[Product2]],$R$18:$R$23,$S$18:$S$23))*Tabla22[[#This Row],[Req.2]],0)</f>
        <v>27355</v>
      </c>
      <c r="O120" s="74">
        <f>SUM(Tabla22[[#This Row],[Bonus1]:[p2]])</f>
        <v>63398.824800000002</v>
      </c>
      <c r="P120" s="73">
        <f>IF(Tabla22[[#This Row],[QualityBonus]]&gt;0,Tabla22[[#This Row],[No wages]]-$C$4,"")</f>
        <v>24822.979844047622</v>
      </c>
    </row>
    <row r="121" spans="1:16" x14ac:dyDescent="0.25">
      <c r="A121" s="13">
        <v>105</v>
      </c>
      <c r="B121" s="13" t="s">
        <v>66</v>
      </c>
      <c r="C121" s="66">
        <v>1.04E-2</v>
      </c>
      <c r="D121" s="2" t="s">
        <v>53</v>
      </c>
      <c r="E121" s="73">
        <v>38755</v>
      </c>
      <c r="F121" s="5">
        <v>5</v>
      </c>
      <c r="G121" s="2" t="s">
        <v>57</v>
      </c>
      <c r="H121" s="73">
        <v>81718</v>
      </c>
      <c r="I121" s="5">
        <v>4</v>
      </c>
      <c r="J121" s="74">
        <f>Tabla22[[#This Row],[Base price1]]*Tabla22[[#This Row],[Req.]]+Tabla22[[#This Row],[Base price2]]*Tabla22[[#This Row],[Req.2]]</f>
        <v>520647</v>
      </c>
      <c r="K121" s="73">
        <f>IFERROR(LOOKUP(Tabla22[[#This Row],[Product]],$R$18:$R$23,$T$18:$T$23)*Tabla22[[#This Row],[QualityBonus]]*Tabla22[[#This Row],[Base price1]]*Tabla22[[#This Row],[Req.]],0)</f>
        <v>8061.0399999999991</v>
      </c>
      <c r="L121" s="73">
        <f>IF(Tabla22[[#This Row],[Req.2]]&gt;0,LOOKUP(Tabla22[[#This Row],[Product2]],$R$18:$R$23,$T$18:$T$23)*Tabla22[[#This Row],[Base price2]]*Tabla22[[#This Row],[Req.2]]*Tabla22[[#This Row],[QualityBonus]],0)</f>
        <v>13597.875199999999</v>
      </c>
      <c r="M121" s="74">
        <f>IFERROR((Tabla22[[#This Row],[Base price1]]-LOOKUP(Tabla22[[#This Row],[Product]],$R$18:$R$23,$S$18:$S$23))*Tabla22[[#This Row],[Req.]],0)</f>
        <v>24775</v>
      </c>
      <c r="N121" s="73">
        <f>IF(Tabla22[[#This Row],[Req.2]]&gt;0,(Tabla22[[#This Row],[Base price2]]-LOOKUP(Tabla22[[#This Row],[Product2]],$R$18:$R$23,$S$18:$S$23))*Tabla22[[#This Row],[Req.2]],0)</f>
        <v>12872</v>
      </c>
      <c r="O121" s="74">
        <f>SUM(Tabla22[[#This Row],[Bonus1]:[p2]])</f>
        <v>59305.915199999996</v>
      </c>
      <c r="P121" s="73">
        <f>IF(Tabla22[[#This Row],[QualityBonus]]&gt;0,Tabla22[[#This Row],[No wages]]-$C$4,"")</f>
        <v>20730.070244047616</v>
      </c>
    </row>
    <row r="122" spans="1:16" x14ac:dyDescent="0.25">
      <c r="A122" s="13">
        <v>106</v>
      </c>
      <c r="B122" s="13" t="s">
        <v>66</v>
      </c>
      <c r="C122" s="66">
        <v>1.9800000000000002E-2</v>
      </c>
      <c r="D122" s="2" t="s">
        <v>53</v>
      </c>
      <c r="E122" s="73">
        <v>38293</v>
      </c>
      <c r="F122" s="5">
        <v>4</v>
      </c>
      <c r="G122" s="2"/>
      <c r="H122" s="73"/>
      <c r="I122" s="5"/>
      <c r="J122" s="74">
        <f>Tabla22[[#This Row],[Base price1]]*Tabla22[[#This Row],[Req.]]+Tabla22[[#This Row],[Base price2]]*Tabla22[[#This Row],[Req.2]]</f>
        <v>153172</v>
      </c>
      <c r="K122" s="73">
        <f>IFERROR(LOOKUP(Tabla22[[#This Row],[Product]],$R$18:$R$23,$T$18:$T$23)*Tabla22[[#This Row],[QualityBonus]]*Tabla22[[#This Row],[Base price1]]*Tabla22[[#This Row],[Req.]],0)</f>
        <v>12131.222400000001</v>
      </c>
      <c r="L122" s="73">
        <f>IF(Tabla22[[#This Row],[Req.2]]&gt;0,LOOKUP(Tabla22[[#This Row],[Product2]],$R$18:$R$23,$T$18:$T$23)*Tabla22[[#This Row],[Base price2]]*Tabla22[[#This Row],[Req.2]]*Tabla22[[#This Row],[QualityBonus]],0)</f>
        <v>0</v>
      </c>
      <c r="M122" s="74">
        <f>IFERROR((Tabla22[[#This Row],[Base price1]]-LOOKUP(Tabla22[[#This Row],[Product]],$R$18:$R$23,$S$18:$S$23))*Tabla22[[#This Row],[Req.]],0)</f>
        <v>17972</v>
      </c>
      <c r="N122" s="73">
        <f>IF(Tabla22[[#This Row],[Req.2]]&gt;0,(Tabla22[[#This Row],[Base price2]]-LOOKUP(Tabla22[[#This Row],[Product2]],$R$18:$R$23,$S$18:$S$23))*Tabla22[[#This Row],[Req.2]],0)</f>
        <v>0</v>
      </c>
      <c r="O122" s="74">
        <f>SUM(Tabla22[[#This Row],[Bonus1]:[p2]])</f>
        <v>30103.222399999999</v>
      </c>
      <c r="P122" s="73">
        <f>IF(Tabla22[[#This Row],[QualityBonus]]&gt;0,Tabla22[[#This Row],[No wages]]-$C$4,"")</f>
        <v>-8472.6225559523809</v>
      </c>
    </row>
    <row r="123" spans="1:16" x14ac:dyDescent="0.25">
      <c r="A123" s="13">
        <v>107</v>
      </c>
      <c r="B123" s="13" t="s">
        <v>66</v>
      </c>
      <c r="C123" s="66">
        <v>2.5399999999999999E-2</v>
      </c>
      <c r="D123" s="2" t="s">
        <v>54</v>
      </c>
      <c r="E123" s="73">
        <v>56663</v>
      </c>
      <c r="F123" s="5">
        <v>1</v>
      </c>
      <c r="G123" s="2" t="s">
        <v>53</v>
      </c>
      <c r="H123" s="73">
        <v>38841</v>
      </c>
      <c r="I123" s="5">
        <v>2</v>
      </c>
      <c r="J123" s="74">
        <f>Tabla22[[#This Row],[Base price1]]*Tabla22[[#This Row],[Req.]]+Tabla22[[#This Row],[Base price2]]*Tabla22[[#This Row],[Req.2]]</f>
        <v>134345</v>
      </c>
      <c r="K123" s="73">
        <f>IFERROR(LOOKUP(Tabla22[[#This Row],[Product]],$R$18:$R$23,$T$18:$T$23)*Tabla22[[#This Row],[QualityBonus]]*Tabla22[[#This Row],[Base price1]]*Tabla22[[#This Row],[Req.]],0)</f>
        <v>7196.201</v>
      </c>
      <c r="L123" s="73">
        <f>IF(Tabla22[[#This Row],[Req.2]]&gt;0,LOOKUP(Tabla22[[#This Row],[Product2]],$R$18:$R$23,$T$18:$T$23)*Tabla22[[#This Row],[Base price2]]*Tabla22[[#This Row],[Req.2]]*Tabla22[[#This Row],[QualityBonus]],0)</f>
        <v>7892.4911999999995</v>
      </c>
      <c r="M123" s="74">
        <f>IFERROR((Tabla22[[#This Row],[Base price1]]-LOOKUP(Tabla22[[#This Row],[Product]],$R$18:$R$23,$S$18:$S$23))*Tabla22[[#This Row],[Req.]],0)</f>
        <v>4663</v>
      </c>
      <c r="N123" s="73">
        <f>IF(Tabla22[[#This Row],[Req.2]]&gt;0,(Tabla22[[#This Row],[Base price2]]-LOOKUP(Tabla22[[#This Row],[Product2]],$R$18:$R$23,$S$18:$S$23))*Tabla22[[#This Row],[Req.2]],0)</f>
        <v>10082</v>
      </c>
      <c r="O123" s="74">
        <f>SUM(Tabla22[[#This Row],[Bonus1]:[p2]])</f>
        <v>29833.692199999998</v>
      </c>
      <c r="P123" s="73">
        <f>IF(Tabla22[[#This Row],[QualityBonus]]&gt;0,Tabla22[[#This Row],[No wages]]-$C$4,"")</f>
        <v>-8742.152755952382</v>
      </c>
    </row>
    <row r="124" spans="1:16" x14ac:dyDescent="0.25">
      <c r="A124" s="13">
        <v>108</v>
      </c>
      <c r="B124" s="13" t="s">
        <v>66</v>
      </c>
      <c r="C124" s="66">
        <v>2.23E-2</v>
      </c>
      <c r="D124" s="2" t="s">
        <v>54</v>
      </c>
      <c r="E124" s="73">
        <v>59037</v>
      </c>
      <c r="F124" s="5">
        <v>2</v>
      </c>
      <c r="G124" s="2"/>
      <c r="H124" s="73"/>
      <c r="I124" s="5"/>
      <c r="J124" s="74">
        <f>Tabla22[[#This Row],[Base price1]]*Tabla22[[#This Row],[Req.]]+Tabla22[[#This Row],[Base price2]]*Tabla22[[#This Row],[Req.2]]</f>
        <v>118074</v>
      </c>
      <c r="K124" s="73">
        <f>IFERROR(LOOKUP(Tabla22[[#This Row],[Product]],$R$18:$R$23,$T$18:$T$23)*Tabla22[[#This Row],[QualityBonus]]*Tabla22[[#This Row],[Base price1]]*Tabla22[[#This Row],[Req.]],0)</f>
        <v>13165.251</v>
      </c>
      <c r="L124" s="73">
        <f>IF(Tabla22[[#This Row],[Req.2]]&gt;0,LOOKUP(Tabla22[[#This Row],[Product2]],$R$18:$R$23,$T$18:$T$23)*Tabla22[[#This Row],[Base price2]]*Tabla22[[#This Row],[Req.2]]*Tabla22[[#This Row],[QualityBonus]],0)</f>
        <v>0</v>
      </c>
      <c r="M124" s="74">
        <f>IFERROR((Tabla22[[#This Row],[Base price1]]-LOOKUP(Tabla22[[#This Row],[Product]],$R$18:$R$23,$S$18:$S$23))*Tabla22[[#This Row],[Req.]],0)</f>
        <v>14074</v>
      </c>
      <c r="N124" s="73">
        <f>IF(Tabla22[[#This Row],[Req.2]]&gt;0,(Tabla22[[#This Row],[Base price2]]-LOOKUP(Tabla22[[#This Row],[Product2]],$R$18:$R$23,$S$18:$S$23))*Tabla22[[#This Row],[Req.2]],0)</f>
        <v>0</v>
      </c>
      <c r="O124" s="74">
        <f>SUM(Tabla22[[#This Row],[Bonus1]:[p2]])</f>
        <v>27239.251</v>
      </c>
      <c r="P124" s="73">
        <f>IF(Tabla22[[#This Row],[QualityBonus]]&gt;0,Tabla22[[#This Row],[No wages]]-$C$4,"")</f>
        <v>-11336.593955952379</v>
      </c>
    </row>
    <row r="125" spans="1:16" x14ac:dyDescent="0.25">
      <c r="A125" s="13">
        <v>109</v>
      </c>
      <c r="B125" s="13" t="s">
        <v>66</v>
      </c>
      <c r="C125" s="66">
        <v>1.26E-2</v>
      </c>
      <c r="D125" s="2" t="s">
        <v>54</v>
      </c>
      <c r="E125" s="73">
        <v>59421</v>
      </c>
      <c r="F125" s="5">
        <v>1</v>
      </c>
      <c r="G125" s="2"/>
      <c r="H125" s="73"/>
      <c r="I125" s="5"/>
      <c r="J125" s="74">
        <f>Tabla22[[#This Row],[Base price1]]*Tabla22[[#This Row],[Req.]]+Tabla22[[#This Row],[Base price2]]*Tabla22[[#This Row],[Req.2]]</f>
        <v>59421</v>
      </c>
      <c r="K125" s="73">
        <f>IFERROR(LOOKUP(Tabla22[[#This Row],[Product]],$R$18:$R$23,$T$18:$T$23)*Tabla22[[#This Row],[QualityBonus]]*Tabla22[[#This Row],[Base price1]]*Tabla22[[#This Row],[Req.]],0)</f>
        <v>3743.5230000000001</v>
      </c>
      <c r="L125" s="73">
        <f>IF(Tabla22[[#This Row],[Req.2]]&gt;0,LOOKUP(Tabla22[[#This Row],[Product2]],$R$18:$R$23,$T$18:$T$23)*Tabla22[[#This Row],[Base price2]]*Tabla22[[#This Row],[Req.2]]*Tabla22[[#This Row],[QualityBonus]],0)</f>
        <v>0</v>
      </c>
      <c r="M125" s="74">
        <f>IFERROR((Tabla22[[#This Row],[Base price1]]-LOOKUP(Tabla22[[#This Row],[Product]],$R$18:$R$23,$S$18:$S$23))*Tabla22[[#This Row],[Req.]],0)</f>
        <v>7421</v>
      </c>
      <c r="N125" s="73">
        <f>IF(Tabla22[[#This Row],[Req.2]]&gt;0,(Tabla22[[#This Row],[Base price2]]-LOOKUP(Tabla22[[#This Row],[Product2]],$R$18:$R$23,$S$18:$S$23))*Tabla22[[#This Row],[Req.2]],0)</f>
        <v>0</v>
      </c>
      <c r="O125" s="74">
        <f>SUM(Tabla22[[#This Row],[Bonus1]:[p2]])</f>
        <v>11164.523000000001</v>
      </c>
      <c r="P125" s="73">
        <f>IF(Tabla22[[#This Row],[QualityBonus]]&gt;0,Tabla22[[#This Row],[No wages]]-$C$4,"")</f>
        <v>-27411.321955952379</v>
      </c>
    </row>
    <row r="126" spans="1:16" x14ac:dyDescent="0.25">
      <c r="A126" s="13">
        <v>110</v>
      </c>
      <c r="B126" s="13" t="s">
        <v>66</v>
      </c>
      <c r="C126" s="66">
        <v>1.18E-2</v>
      </c>
      <c r="D126" s="2" t="s">
        <v>53</v>
      </c>
      <c r="E126" s="73">
        <v>39086</v>
      </c>
      <c r="F126" s="5">
        <v>4</v>
      </c>
      <c r="G126" s="2" t="s">
        <v>56</v>
      </c>
      <c r="H126" s="73">
        <v>217973</v>
      </c>
      <c r="I126" s="5">
        <v>4</v>
      </c>
      <c r="J126" s="74">
        <f>Tabla22[[#This Row],[Base price1]]*Tabla22[[#This Row],[Req.]]+Tabla22[[#This Row],[Base price2]]*Tabla22[[#This Row],[Req.2]]</f>
        <v>1028236</v>
      </c>
      <c r="K126" s="73">
        <f>IFERROR(LOOKUP(Tabla22[[#This Row],[Product]],$R$18:$R$23,$T$18:$T$23)*Tabla22[[#This Row],[QualityBonus]]*Tabla22[[#This Row],[Base price1]]*Tabla22[[#This Row],[Req.]],0)</f>
        <v>7379.4367999999995</v>
      </c>
      <c r="L126" s="73">
        <f>IF(Tabla22[[#This Row],[Req.2]]&gt;0,LOOKUP(Tabla22[[#This Row],[Product2]],$R$18:$R$23,$T$18:$T$23)*Tabla22[[#This Row],[Base price2]]*Tabla22[[#This Row],[Req.2]]*Tabla22[[#This Row],[QualityBonus]],0)</f>
        <v>41153.3024</v>
      </c>
      <c r="M126" s="74">
        <f>IFERROR((Tabla22[[#This Row],[Base price1]]-LOOKUP(Tabla22[[#This Row],[Product]],$R$18:$R$23,$S$18:$S$23))*Tabla22[[#This Row],[Req.]],0)</f>
        <v>21144</v>
      </c>
      <c r="N126" s="73">
        <f>IF(Tabla22[[#This Row],[Req.2]]&gt;0,(Tabla22[[#This Row],[Base price2]]-LOOKUP(Tabla22[[#This Row],[Product2]],$R$18:$R$23,$S$18:$S$23))*Tabla22[[#This Row],[Req.2]],0)</f>
        <v>-12108</v>
      </c>
      <c r="O126" s="74">
        <f>SUM(Tabla22[[#This Row],[Bonus1]:[p2]])</f>
        <v>57568.739199999996</v>
      </c>
      <c r="P126" s="73">
        <f>IF(Tabla22[[#This Row],[QualityBonus]]&gt;0,Tabla22[[#This Row],[No wages]]-$C$4,"")</f>
        <v>18992.894244047617</v>
      </c>
    </row>
    <row r="127" spans="1:16" x14ac:dyDescent="0.25">
      <c r="A127" s="13">
        <v>111</v>
      </c>
      <c r="B127" s="13" t="s">
        <v>66</v>
      </c>
      <c r="C127" s="66">
        <v>1.2800000000000001E-2</v>
      </c>
      <c r="D127" s="2" t="s">
        <v>55</v>
      </c>
      <c r="E127" s="73">
        <v>77812</v>
      </c>
      <c r="F127" s="5">
        <v>1</v>
      </c>
      <c r="G127" s="2" t="s">
        <v>53</v>
      </c>
      <c r="H127" s="73">
        <v>38973</v>
      </c>
      <c r="I127" s="5">
        <v>3</v>
      </c>
      <c r="J127" s="74">
        <f>Tabla22[[#This Row],[Base price1]]*Tabla22[[#This Row],[Req.]]+Tabla22[[#This Row],[Base price2]]*Tabla22[[#This Row],[Req.2]]</f>
        <v>194731</v>
      </c>
      <c r="K127" s="73">
        <f>IFERROR(LOOKUP(Tabla22[[#This Row],[Product]],$R$18:$R$23,$T$18:$T$23)*Tabla22[[#This Row],[QualityBonus]]*Tabla22[[#This Row],[Base price1]]*Tabla22[[#This Row],[Req.]],0)</f>
        <v>3983.9744000000001</v>
      </c>
      <c r="L127" s="73">
        <f>IF(Tabla22[[#This Row],[Req.2]]&gt;0,LOOKUP(Tabla22[[#This Row],[Product2]],$R$18:$R$23,$T$18:$T$23)*Tabla22[[#This Row],[Base price2]]*Tabla22[[#This Row],[Req.2]]*Tabla22[[#This Row],[QualityBonus]],0)</f>
        <v>5986.2528000000002</v>
      </c>
      <c r="M127" s="74">
        <f>IFERROR((Tabla22[[#This Row],[Base price1]]-LOOKUP(Tabla22[[#This Row],[Product]],$R$18:$R$23,$S$18:$S$23))*Tabla22[[#This Row],[Req.]],0)</f>
        <v>-688</v>
      </c>
      <c r="N127" s="73">
        <f>IF(Tabla22[[#This Row],[Req.2]]&gt;0,(Tabla22[[#This Row],[Base price2]]-LOOKUP(Tabla22[[#This Row],[Product2]],$R$18:$R$23,$S$18:$S$23))*Tabla22[[#This Row],[Req.2]],0)</f>
        <v>15519</v>
      </c>
      <c r="O127" s="74">
        <f>SUM(Tabla22[[#This Row],[Bonus1]:[p2]])</f>
        <v>24801.227200000001</v>
      </c>
      <c r="P127" s="73">
        <f>IF(Tabla22[[#This Row],[QualityBonus]]&gt;0,Tabla22[[#This Row],[No wages]]-$C$4,"")</f>
        <v>-13774.617755952379</v>
      </c>
    </row>
    <row r="128" spans="1:16" x14ac:dyDescent="0.25">
      <c r="A128" s="13">
        <v>112</v>
      </c>
      <c r="B128" s="13" t="s">
        <v>66</v>
      </c>
      <c r="C128" s="66">
        <v>2.29E-2</v>
      </c>
      <c r="D128" s="2" t="s">
        <v>56</v>
      </c>
      <c r="E128" s="73">
        <v>208692</v>
      </c>
      <c r="F128" s="5">
        <v>1</v>
      </c>
      <c r="G128" s="2" t="s">
        <v>53</v>
      </c>
      <c r="H128" s="73">
        <v>38524</v>
      </c>
      <c r="I128" s="5">
        <v>2</v>
      </c>
      <c r="J128" s="74">
        <f>Tabla22[[#This Row],[Base price1]]*Tabla22[[#This Row],[Req.]]+Tabla22[[#This Row],[Base price2]]*Tabla22[[#This Row],[Req.2]]</f>
        <v>285740</v>
      </c>
      <c r="K128" s="73">
        <f>IFERROR(LOOKUP(Tabla22[[#This Row],[Product]],$R$18:$R$23,$T$18:$T$23)*Tabla22[[#This Row],[QualityBonus]]*Tabla22[[#This Row],[Base price1]]*Tabla22[[#This Row],[Req.]],0)</f>
        <v>19116.1872</v>
      </c>
      <c r="L128" s="73">
        <f>IF(Tabla22[[#This Row],[Req.2]]&gt;0,LOOKUP(Tabla22[[#This Row],[Product2]],$R$18:$R$23,$T$18:$T$23)*Tabla22[[#This Row],[Base price2]]*Tabla22[[#This Row],[Req.2]]*Tabla22[[#This Row],[QualityBonus]],0)</f>
        <v>7057.5968000000003</v>
      </c>
      <c r="M128" s="74">
        <f>IFERROR((Tabla22[[#This Row],[Base price1]]-LOOKUP(Tabla22[[#This Row],[Product]],$R$18:$R$23,$S$18:$S$23))*Tabla22[[#This Row],[Req.]],0)</f>
        <v>-12308</v>
      </c>
      <c r="N128" s="73">
        <f>IF(Tabla22[[#This Row],[Req.2]]&gt;0,(Tabla22[[#This Row],[Base price2]]-LOOKUP(Tabla22[[#This Row],[Product2]],$R$18:$R$23,$S$18:$S$23))*Tabla22[[#This Row],[Req.2]],0)</f>
        <v>9448</v>
      </c>
      <c r="O128" s="74">
        <f>SUM(Tabla22[[#This Row],[Bonus1]:[p2]])</f>
        <v>23313.784</v>
      </c>
      <c r="P128" s="73">
        <f>IF(Tabla22[[#This Row],[QualityBonus]]&gt;0,Tabla22[[#This Row],[No wages]]-$C$4,"")</f>
        <v>-15262.06095595238</v>
      </c>
    </row>
    <row r="129" spans="1:16" x14ac:dyDescent="0.25">
      <c r="A129" s="13">
        <v>113</v>
      </c>
      <c r="B129" s="13" t="s">
        <v>66</v>
      </c>
      <c r="C129" s="66">
        <v>1.5800000000000002E-2</v>
      </c>
      <c r="D129" s="2" t="s">
        <v>53</v>
      </c>
      <c r="E129" s="73">
        <v>38513</v>
      </c>
      <c r="F129" s="5">
        <v>5</v>
      </c>
      <c r="G129" s="2" t="s">
        <v>54</v>
      </c>
      <c r="H129" s="73">
        <v>56929</v>
      </c>
      <c r="I129" s="5">
        <v>2</v>
      </c>
      <c r="J129" s="74">
        <f>Tabla22[[#This Row],[Base price1]]*Tabla22[[#This Row],[Req.]]+Tabla22[[#This Row],[Base price2]]*Tabla22[[#This Row],[Req.2]]</f>
        <v>306423</v>
      </c>
      <c r="K129" s="73">
        <f>IFERROR(LOOKUP(Tabla22[[#This Row],[Product]],$R$18:$R$23,$T$18:$T$23)*Tabla22[[#This Row],[QualityBonus]]*Tabla22[[#This Row],[Base price1]]*Tabla22[[#This Row],[Req.]],0)</f>
        <v>12170.108</v>
      </c>
      <c r="L129" s="73">
        <f>IF(Tabla22[[#This Row],[Req.2]]&gt;0,LOOKUP(Tabla22[[#This Row],[Product2]],$R$18:$R$23,$T$18:$T$23)*Tabla22[[#This Row],[Base price2]]*Tabla22[[#This Row],[Req.2]]*Tabla22[[#This Row],[QualityBonus]],0)</f>
        <v>8994.7820000000011</v>
      </c>
      <c r="M129" s="74">
        <f>IFERROR((Tabla22[[#This Row],[Base price1]]-LOOKUP(Tabla22[[#This Row],[Product]],$R$18:$R$23,$S$18:$S$23))*Tabla22[[#This Row],[Req.]],0)</f>
        <v>23565</v>
      </c>
      <c r="N129" s="73">
        <f>IF(Tabla22[[#This Row],[Req.2]]&gt;0,(Tabla22[[#This Row],[Base price2]]-LOOKUP(Tabla22[[#This Row],[Product2]],$R$18:$R$23,$S$18:$S$23))*Tabla22[[#This Row],[Req.2]],0)</f>
        <v>9858</v>
      </c>
      <c r="O129" s="74">
        <f>SUM(Tabla22[[#This Row],[Bonus1]:[p2]])</f>
        <v>54587.89</v>
      </c>
      <c r="P129" s="73">
        <f>IF(Tabla22[[#This Row],[QualityBonus]]&gt;0,Tabla22[[#This Row],[No wages]]-$C$4,"")</f>
        <v>16012.04504404762</v>
      </c>
    </row>
    <row r="130" spans="1:16" x14ac:dyDescent="0.25">
      <c r="A130" s="13">
        <v>114</v>
      </c>
      <c r="B130" s="13" t="s">
        <v>66</v>
      </c>
      <c r="C130" s="66">
        <v>1.8800000000000001E-2</v>
      </c>
      <c r="D130" s="2" t="s">
        <v>53</v>
      </c>
      <c r="E130" s="73">
        <v>39192</v>
      </c>
      <c r="F130" s="5">
        <v>2</v>
      </c>
      <c r="G130" s="2"/>
      <c r="H130" s="73"/>
      <c r="I130" s="5"/>
      <c r="J130" s="74">
        <f>Tabla22[[#This Row],[Base price1]]*Tabla22[[#This Row],[Req.]]+Tabla22[[#This Row],[Base price2]]*Tabla22[[#This Row],[Req.2]]</f>
        <v>78384</v>
      </c>
      <c r="K130" s="73">
        <f>IFERROR(LOOKUP(Tabla22[[#This Row],[Product]],$R$18:$R$23,$T$18:$T$23)*Tabla22[[#This Row],[QualityBonus]]*Tabla22[[#This Row],[Base price1]]*Tabla22[[#This Row],[Req.]],0)</f>
        <v>5894.4768000000004</v>
      </c>
      <c r="L130" s="73">
        <f>IF(Tabla22[[#This Row],[Req.2]]&gt;0,LOOKUP(Tabla22[[#This Row],[Product2]],$R$18:$R$23,$T$18:$T$23)*Tabla22[[#This Row],[Base price2]]*Tabla22[[#This Row],[Req.2]]*Tabla22[[#This Row],[QualityBonus]],0)</f>
        <v>0</v>
      </c>
      <c r="M130" s="74">
        <f>IFERROR((Tabla22[[#This Row],[Base price1]]-LOOKUP(Tabla22[[#This Row],[Product]],$R$18:$R$23,$S$18:$S$23))*Tabla22[[#This Row],[Req.]],0)</f>
        <v>10784</v>
      </c>
      <c r="N130" s="73">
        <f>IF(Tabla22[[#This Row],[Req.2]]&gt;0,(Tabla22[[#This Row],[Base price2]]-LOOKUP(Tabla22[[#This Row],[Product2]],$R$18:$R$23,$S$18:$S$23))*Tabla22[[#This Row],[Req.2]],0)</f>
        <v>0</v>
      </c>
      <c r="O130" s="74">
        <f>SUM(Tabla22[[#This Row],[Bonus1]:[p2]])</f>
        <v>16678.4768</v>
      </c>
      <c r="P130" s="73">
        <f>IF(Tabla22[[#This Row],[QualityBonus]]&gt;0,Tabla22[[#This Row],[No wages]]-$C$4,"")</f>
        <v>-21897.368155952379</v>
      </c>
    </row>
    <row r="131" spans="1:16" x14ac:dyDescent="0.25">
      <c r="A131" s="13">
        <v>115</v>
      </c>
      <c r="B131" s="13" t="s">
        <v>66</v>
      </c>
      <c r="C131" s="66">
        <v>1.18E-2</v>
      </c>
      <c r="D131" s="2" t="s">
        <v>53</v>
      </c>
      <c r="E131" s="73">
        <v>40502</v>
      </c>
      <c r="F131" s="5">
        <v>4</v>
      </c>
      <c r="G131" s="2" t="s">
        <v>57</v>
      </c>
      <c r="H131" s="73">
        <v>79763</v>
      </c>
      <c r="I131" s="5">
        <v>2</v>
      </c>
      <c r="J131" s="74">
        <f>Tabla22[[#This Row],[Base price1]]*Tabla22[[#This Row],[Req.]]+Tabla22[[#This Row],[Base price2]]*Tabla22[[#This Row],[Req.2]]</f>
        <v>321534</v>
      </c>
      <c r="K131" s="73">
        <f>IFERROR(LOOKUP(Tabla22[[#This Row],[Product]],$R$18:$R$23,$T$18:$T$23)*Tabla22[[#This Row],[QualityBonus]]*Tabla22[[#This Row],[Base price1]]*Tabla22[[#This Row],[Req.]],0)</f>
        <v>7646.7775999999994</v>
      </c>
      <c r="L131" s="73">
        <f>IF(Tabla22[[#This Row],[Req.2]]&gt;0,LOOKUP(Tabla22[[#This Row],[Product2]],$R$18:$R$23,$T$18:$T$23)*Tabla22[[#This Row],[Base price2]]*Tabla22[[#This Row],[Req.2]]*Tabla22[[#This Row],[QualityBonus]],0)</f>
        <v>7529.6271999999999</v>
      </c>
      <c r="M131" s="74">
        <f>IFERROR((Tabla22[[#This Row],[Base price1]]-LOOKUP(Tabla22[[#This Row],[Product]],$R$18:$R$23,$S$18:$S$23))*Tabla22[[#This Row],[Req.]],0)</f>
        <v>26808</v>
      </c>
      <c r="N131" s="73">
        <f>IF(Tabla22[[#This Row],[Req.2]]&gt;0,(Tabla22[[#This Row],[Base price2]]-LOOKUP(Tabla22[[#This Row],[Product2]],$R$18:$R$23,$S$18:$S$23))*Tabla22[[#This Row],[Req.2]],0)</f>
        <v>2526</v>
      </c>
      <c r="O131" s="74">
        <f>SUM(Tabla22[[#This Row],[Bonus1]:[p2]])</f>
        <v>44510.404800000004</v>
      </c>
      <c r="P131" s="73">
        <f>IF(Tabla22[[#This Row],[QualityBonus]]&gt;0,Tabla22[[#This Row],[No wages]]-$C$4,"")</f>
        <v>5934.5598440476242</v>
      </c>
    </row>
    <row r="132" spans="1:16" x14ac:dyDescent="0.25">
      <c r="A132" s="13">
        <v>116</v>
      </c>
      <c r="B132" s="13" t="s">
        <v>66</v>
      </c>
      <c r="C132" s="66">
        <v>1.8100000000000002E-2</v>
      </c>
      <c r="D132" s="2" t="s">
        <v>53</v>
      </c>
      <c r="E132" s="73">
        <v>38359</v>
      </c>
      <c r="F132" s="5">
        <v>4</v>
      </c>
      <c r="G132" s="2" t="s">
        <v>54</v>
      </c>
      <c r="H132" s="73">
        <v>56809</v>
      </c>
      <c r="I132" s="5">
        <v>2</v>
      </c>
      <c r="J132" s="74">
        <f>Tabla22[[#This Row],[Base price1]]*Tabla22[[#This Row],[Req.]]+Tabla22[[#This Row],[Base price2]]*Tabla22[[#This Row],[Req.2]]</f>
        <v>267054</v>
      </c>
      <c r="K132" s="73">
        <f>IFERROR(LOOKUP(Tabla22[[#This Row],[Product]],$R$18:$R$23,$T$18:$T$23)*Tabla22[[#This Row],[QualityBonus]]*Tabla22[[#This Row],[Base price1]]*Tabla22[[#This Row],[Req.]],0)</f>
        <v>11108.7664</v>
      </c>
      <c r="L132" s="73">
        <f>IF(Tabla22[[#This Row],[Req.2]]&gt;0,LOOKUP(Tabla22[[#This Row],[Product2]],$R$18:$R$23,$T$18:$T$23)*Tabla22[[#This Row],[Base price2]]*Tabla22[[#This Row],[Req.2]]*Tabla22[[#This Row],[QualityBonus]],0)</f>
        <v>10282.429</v>
      </c>
      <c r="M132" s="74">
        <f>IFERROR((Tabla22[[#This Row],[Base price1]]-LOOKUP(Tabla22[[#This Row],[Product]],$R$18:$R$23,$S$18:$S$23))*Tabla22[[#This Row],[Req.]],0)</f>
        <v>18236</v>
      </c>
      <c r="N132" s="73">
        <f>IF(Tabla22[[#This Row],[Req.2]]&gt;0,(Tabla22[[#This Row],[Base price2]]-LOOKUP(Tabla22[[#This Row],[Product2]],$R$18:$R$23,$S$18:$S$23))*Tabla22[[#This Row],[Req.2]],0)</f>
        <v>9618</v>
      </c>
      <c r="O132" s="74">
        <f>SUM(Tabla22[[#This Row],[Bonus1]:[p2]])</f>
        <v>49245.195399999997</v>
      </c>
      <c r="P132" s="73">
        <f>IF(Tabla22[[#This Row],[QualityBonus]]&gt;0,Tabla22[[#This Row],[No wages]]-$C$4,"")</f>
        <v>10669.350444047617</v>
      </c>
    </row>
    <row r="133" spans="1:16" x14ac:dyDescent="0.25">
      <c r="A133" s="24">
        <v>117</v>
      </c>
      <c r="B133" s="24" t="s">
        <v>66</v>
      </c>
      <c r="C133" s="44">
        <v>2.46E-2</v>
      </c>
      <c r="D133" s="37" t="s">
        <v>54</v>
      </c>
      <c r="E133" s="72">
        <v>59728</v>
      </c>
      <c r="F133" s="39">
        <v>1</v>
      </c>
      <c r="G133" s="37" t="s">
        <v>53</v>
      </c>
      <c r="H133" s="72">
        <v>39975</v>
      </c>
      <c r="I133" s="39">
        <v>2</v>
      </c>
      <c r="J133" s="75">
        <f>Tabla22[[#This Row],[Base price1]]*Tabla22[[#This Row],[Req.]]+Tabla22[[#This Row],[Base price2]]*Tabla22[[#This Row],[Req.2]]</f>
        <v>139678</v>
      </c>
      <c r="K133" s="72">
        <f>IFERROR(LOOKUP(Tabla22[[#This Row],[Product]],$R$18:$R$23,$T$18:$T$23)*Tabla22[[#This Row],[QualityBonus]]*Tabla22[[#This Row],[Base price1]]*Tabla22[[#This Row],[Req.]],0)</f>
        <v>7346.5439999999999</v>
      </c>
      <c r="L133" s="72">
        <f>IF(Tabla22[[#This Row],[Req.2]]&gt;0,LOOKUP(Tabla22[[#This Row],[Product2]],$R$18:$R$23,$T$18:$T$23)*Tabla22[[#This Row],[Base price2]]*Tabla22[[#This Row],[Req.2]]*Tabla22[[#This Row],[QualityBonus]],0)</f>
        <v>7867.08</v>
      </c>
      <c r="M133" s="75">
        <f>IFERROR((Tabla22[[#This Row],[Base price1]]-LOOKUP(Tabla22[[#This Row],[Product]],$R$18:$R$23,$S$18:$S$23))*Tabla22[[#This Row],[Req.]],0)</f>
        <v>7728</v>
      </c>
      <c r="N133" s="72">
        <f>IF(Tabla22[[#This Row],[Req.2]]&gt;0,(Tabla22[[#This Row],[Base price2]]-LOOKUP(Tabla22[[#This Row],[Product2]],$R$18:$R$23,$S$18:$S$23))*Tabla22[[#This Row],[Req.2]],0)</f>
        <v>12350</v>
      </c>
      <c r="O133" s="75">
        <f>SUM(Tabla22[[#This Row],[Bonus1]:[p2]])</f>
        <v>35291.623999999996</v>
      </c>
      <c r="P133" s="72">
        <f>IF(Tabla22[[#This Row],[QualityBonus]]&gt;0,Tabla22[[#This Row],[No wages]]-$C$4,"")</f>
        <v>-3284.2209559523835</v>
      </c>
    </row>
    <row r="134" spans="1:16" x14ac:dyDescent="0.25">
      <c r="A134" s="13">
        <v>118</v>
      </c>
      <c r="B134" s="13" t="s">
        <v>66</v>
      </c>
      <c r="C134" s="66">
        <v>2.9899999999999999E-2</v>
      </c>
      <c r="D134" s="2" t="s">
        <v>55</v>
      </c>
      <c r="E134" s="73">
        <v>80674</v>
      </c>
      <c r="F134" s="5">
        <v>2</v>
      </c>
      <c r="G134" s="2" t="s">
        <v>54</v>
      </c>
      <c r="H134" s="73">
        <v>58820</v>
      </c>
      <c r="I134" s="5">
        <v>2</v>
      </c>
      <c r="J134" s="74">
        <f>Tabla22[[#This Row],[Base price1]]*Tabla22[[#This Row],[Req.]]+Tabla22[[#This Row],[Base price2]]*Tabla22[[#This Row],[Req.2]]</f>
        <v>278988</v>
      </c>
      <c r="K134" s="73">
        <f>IFERROR(LOOKUP(Tabla22[[#This Row],[Product]],$R$18:$R$23,$T$18:$T$23)*Tabla22[[#This Row],[QualityBonus]]*Tabla22[[#This Row],[Base price1]]*Tabla22[[#This Row],[Req.]],0)</f>
        <v>19297.220799999999</v>
      </c>
      <c r="L134" s="73">
        <f>IF(Tabla22[[#This Row],[Req.2]]&gt;0,LOOKUP(Tabla22[[#This Row],[Product2]],$R$18:$R$23,$T$18:$T$23)*Tabla22[[#This Row],[Base price2]]*Tabla22[[#This Row],[Req.2]]*Tabla22[[#This Row],[QualityBonus]],0)</f>
        <v>17587.18</v>
      </c>
      <c r="M134" s="76">
        <f>IFERROR((Tabla22[[#This Row],[Base price1]]-LOOKUP(Tabla22[[#This Row],[Product]],$R$18:$R$23,$S$18:$S$23))*Tabla22[[#This Row],[Req.]],0)</f>
        <v>4348</v>
      </c>
      <c r="N134" s="78">
        <f>IF(Tabla22[[#This Row],[Req.2]]&gt;0,(Tabla22[[#This Row],[Base price2]]-LOOKUP(Tabla22[[#This Row],[Product2]],$R$18:$R$23,$S$18:$S$23))*Tabla22[[#This Row],[Req.2]],0)</f>
        <v>13640</v>
      </c>
      <c r="O134" s="71">
        <f>SUM(Tabla22[[#This Row],[Bonus1]:[p2]])</f>
        <v>54872.400800000003</v>
      </c>
      <c r="P134" s="73">
        <f>IF(Tabla22[[#This Row],[QualityBonus]]&gt;0,Tabla22[[#This Row],[No wages]]-$C$4,"")</f>
        <v>16296.555844047623</v>
      </c>
    </row>
    <row r="135" spans="1:16" x14ac:dyDescent="0.25">
      <c r="A135" s="13">
        <v>119</v>
      </c>
      <c r="B135" s="13" t="s">
        <v>66</v>
      </c>
      <c r="C135" s="66">
        <v>2.8400000000000002E-2</v>
      </c>
      <c r="D135" s="2" t="s">
        <v>53</v>
      </c>
      <c r="E135" s="73">
        <v>39677</v>
      </c>
      <c r="F135" s="5">
        <v>3</v>
      </c>
      <c r="G135" s="2" t="s">
        <v>57</v>
      </c>
      <c r="H135" s="73">
        <v>83266</v>
      </c>
      <c r="I135" s="5">
        <v>2</v>
      </c>
      <c r="J135" s="74">
        <f>Tabla22[[#This Row],[Base price1]]*Tabla22[[#This Row],[Req.]]+Tabla22[[#This Row],[Base price2]]*Tabla22[[#This Row],[Req.2]]</f>
        <v>285563</v>
      </c>
      <c r="K135" s="73">
        <f>IFERROR(LOOKUP(Tabla22[[#This Row],[Product]],$R$18:$R$23,$T$18:$T$23)*Tabla22[[#This Row],[QualityBonus]]*Tabla22[[#This Row],[Base price1]]*Tabla22[[#This Row],[Req.]],0)</f>
        <v>13521.921600000001</v>
      </c>
      <c r="L135" s="73">
        <f>IF(Tabla22[[#This Row],[Req.2]]&gt;0,LOOKUP(Tabla22[[#This Row],[Product2]],$R$18:$R$23,$T$18:$T$23)*Tabla22[[#This Row],[Base price2]]*Tabla22[[#This Row],[Req.2]]*Tabla22[[#This Row],[QualityBonus]],0)</f>
        <v>18918.035200000002</v>
      </c>
      <c r="M135" s="74">
        <f>IFERROR((Tabla22[[#This Row],[Base price1]]-LOOKUP(Tabla22[[#This Row],[Product]],$R$18:$R$23,$S$18:$S$23))*Tabla22[[#This Row],[Req.]],0)</f>
        <v>17631</v>
      </c>
      <c r="N135" s="79">
        <f>IF(Tabla22[[#This Row],[Req.2]]&gt;0,(Tabla22[[#This Row],[Base price2]]-LOOKUP(Tabla22[[#This Row],[Product2]],$R$18:$R$23,$S$18:$S$23))*Tabla22[[#This Row],[Req.2]],0)</f>
        <v>9532</v>
      </c>
      <c r="O135" s="71">
        <f>SUM(Tabla22[[#This Row],[Bonus1]:[p2]])</f>
        <v>59602.9568</v>
      </c>
      <c r="P135" s="73">
        <f>IF(Tabla22[[#This Row],[QualityBonus]]&gt;0,Tabla22[[#This Row],[No wages]]-$C$4,"")</f>
        <v>21027.11184404762</v>
      </c>
    </row>
    <row r="136" spans="1:16" x14ac:dyDescent="0.25">
      <c r="A136" s="13">
        <v>120</v>
      </c>
      <c r="B136" s="13" t="s">
        <v>66</v>
      </c>
      <c r="C136" s="66">
        <v>1.5900000000000001E-2</v>
      </c>
      <c r="D136" s="2" t="s">
        <v>55</v>
      </c>
      <c r="E136" s="73">
        <v>81718</v>
      </c>
      <c r="F136" s="5">
        <v>1</v>
      </c>
      <c r="G136" s="2"/>
      <c r="H136" s="73"/>
      <c r="I136" s="5"/>
      <c r="J136" s="74">
        <f>Tabla22[[#This Row],[Base price1]]*Tabla22[[#This Row],[Req.]]+Tabla22[[#This Row],[Base price2]]*Tabla22[[#This Row],[Req.2]]</f>
        <v>81718</v>
      </c>
      <c r="K136" s="73">
        <f>IFERROR(LOOKUP(Tabla22[[#This Row],[Product]],$R$18:$R$23,$T$18:$T$23)*Tabla22[[#This Row],[QualityBonus]]*Tabla22[[#This Row],[Base price1]]*Tabla22[[#This Row],[Req.]],0)</f>
        <v>5197.2647999999999</v>
      </c>
      <c r="L136" s="73">
        <f>IF(Tabla22[[#This Row],[Req.2]]&gt;0,LOOKUP(Tabla22[[#This Row],[Product2]],$R$18:$R$23,$T$18:$T$23)*Tabla22[[#This Row],[Base price2]]*Tabla22[[#This Row],[Req.2]]*Tabla22[[#This Row],[QualityBonus]],0)</f>
        <v>0</v>
      </c>
      <c r="M136" s="74">
        <f>IFERROR((Tabla22[[#This Row],[Base price1]]-LOOKUP(Tabla22[[#This Row],[Product]],$R$18:$R$23,$S$18:$S$23))*Tabla22[[#This Row],[Req.]],0)</f>
        <v>3218</v>
      </c>
      <c r="N136" s="79">
        <f>IF(Tabla22[[#This Row],[Req.2]]&gt;0,(Tabla22[[#This Row],[Base price2]]-LOOKUP(Tabla22[[#This Row],[Product2]],$R$18:$R$23,$S$18:$S$23))*Tabla22[[#This Row],[Req.2]],0)</f>
        <v>0</v>
      </c>
      <c r="O136" s="71">
        <f>SUM(Tabla22[[#This Row],[Bonus1]:[p2]])</f>
        <v>8415.2648000000008</v>
      </c>
      <c r="P136" s="73">
        <f>IF(Tabla22[[#This Row],[QualityBonus]]&gt;0,Tabla22[[#This Row],[No wages]]-$C$4,"")</f>
        <v>-30160.580155952379</v>
      </c>
    </row>
    <row r="137" spans="1:16" x14ac:dyDescent="0.25">
      <c r="A137" s="13">
        <v>121</v>
      </c>
      <c r="B137" s="13" t="s">
        <v>66</v>
      </c>
      <c r="C137" s="66">
        <v>2.1100000000000001E-2</v>
      </c>
      <c r="D137" s="2" t="s">
        <v>53</v>
      </c>
      <c r="E137" s="73">
        <v>38513</v>
      </c>
      <c r="F137" s="5">
        <v>5</v>
      </c>
      <c r="G137" s="2"/>
      <c r="H137" s="73"/>
      <c r="I137" s="5"/>
      <c r="J137" s="74">
        <f>Tabla22[[#This Row],[Base price1]]*Tabla22[[#This Row],[Req.]]+Tabla22[[#This Row],[Base price2]]*Tabla22[[#This Row],[Req.2]]</f>
        <v>192565</v>
      </c>
      <c r="K137" s="73">
        <f>IFERROR(LOOKUP(Tabla22[[#This Row],[Product]],$R$18:$R$23,$T$18:$T$23)*Tabla22[[#This Row],[QualityBonus]]*Tabla22[[#This Row],[Base price1]]*Tabla22[[#This Row],[Req.]],0)</f>
        <v>16252.486000000001</v>
      </c>
      <c r="L137" s="73">
        <f>IF(Tabla22[[#This Row],[Req.2]]&gt;0,LOOKUP(Tabla22[[#This Row],[Product2]],$R$18:$R$23,$T$18:$T$23)*Tabla22[[#This Row],[Base price2]]*Tabla22[[#This Row],[Req.2]]*Tabla22[[#This Row],[QualityBonus]],0)</f>
        <v>0</v>
      </c>
      <c r="M137" s="74">
        <f>IFERROR((Tabla22[[#This Row],[Base price1]]-LOOKUP(Tabla22[[#This Row],[Product]],$R$18:$R$23,$S$18:$S$23))*Tabla22[[#This Row],[Req.]],0)</f>
        <v>23565</v>
      </c>
      <c r="N137" s="79">
        <f>IF(Tabla22[[#This Row],[Req.2]]&gt;0,(Tabla22[[#This Row],[Base price2]]-LOOKUP(Tabla22[[#This Row],[Product2]],$R$18:$R$23,$S$18:$S$23))*Tabla22[[#This Row],[Req.2]],0)</f>
        <v>0</v>
      </c>
      <c r="O137" s="73">
        <f>SUM(Tabla22[[#This Row],[Bonus1]:[p2]])</f>
        <v>39817.486000000004</v>
      </c>
      <c r="P137" s="73">
        <f>IF(Tabla22[[#This Row],[QualityBonus]]&gt;0,Tabla22[[#This Row],[No wages]]-$C$4,"")</f>
        <v>1241.6410440476247</v>
      </c>
    </row>
    <row r="138" spans="1:16" x14ac:dyDescent="0.25">
      <c r="A138" s="13">
        <v>122</v>
      </c>
      <c r="B138" s="13" t="s">
        <v>66</v>
      </c>
      <c r="C138" s="66">
        <v>2.3800000000000002E-2</v>
      </c>
      <c r="D138" s="2" t="s">
        <v>56</v>
      </c>
      <c r="E138" s="73">
        <v>211109</v>
      </c>
      <c r="F138" s="5">
        <v>3</v>
      </c>
      <c r="G138" s="2" t="s">
        <v>52</v>
      </c>
      <c r="H138" s="73">
        <v>112907</v>
      </c>
      <c r="I138" s="5">
        <v>4</v>
      </c>
      <c r="J138" s="74">
        <f>Tabla22[[#This Row],[Base price1]]*Tabla22[[#This Row],[Req.]]+Tabla22[[#This Row],[Base price2]]*Tabla22[[#This Row],[Req.2]]</f>
        <v>1084955</v>
      </c>
      <c r="K138" s="73">
        <f>IFERROR(LOOKUP(Tabla22[[#This Row],[Product]],$R$18:$R$23,$T$18:$T$23)*Tabla22[[#This Row],[QualityBonus]]*Tabla22[[#This Row],[Base price1]]*Tabla22[[#This Row],[Req.]],0)</f>
        <v>60292.730400000008</v>
      </c>
      <c r="L138" s="73">
        <f>IF(Tabla22[[#This Row],[Req.2]]&gt;0,LOOKUP(Tabla22[[#This Row],[Product2]],$R$18:$R$23,$T$18:$T$23)*Tabla22[[#This Row],[Base price2]]*Tabla22[[#This Row],[Req.2]]*Tabla22[[#This Row],[QualityBonus]],0)</f>
        <v>53743.732000000004</v>
      </c>
      <c r="M138" s="74">
        <f>IFERROR((Tabla22[[#This Row],[Base price1]]-LOOKUP(Tabla22[[#This Row],[Product]],$R$18:$R$23,$S$18:$S$23))*Tabla22[[#This Row],[Req.]],0)</f>
        <v>-29673</v>
      </c>
      <c r="N138" s="79">
        <f>IF(Tabla22[[#This Row],[Req.2]]&gt;0,(Tabla22[[#This Row],[Base price2]]-LOOKUP(Tabla22[[#This Row],[Product2]],$R$18:$R$23,$S$18:$S$23))*Tabla22[[#This Row],[Req.2]],0)</f>
        <v>3628</v>
      </c>
      <c r="O138" s="73">
        <f>SUM(Tabla22[[#This Row],[Bonus1]:[p2]])</f>
        <v>87991.462400000019</v>
      </c>
      <c r="P138" s="73">
        <f>IF(Tabla22[[#This Row],[QualityBonus]]&gt;0,Tabla22[[#This Row],[No wages]]-$C$4,"")</f>
        <v>49415.617444047639</v>
      </c>
    </row>
    <row r="139" spans="1:16" x14ac:dyDescent="0.25">
      <c r="A139" s="13">
        <v>123</v>
      </c>
      <c r="B139" s="13" t="s">
        <v>66</v>
      </c>
      <c r="C139" s="66">
        <v>2.46E-2</v>
      </c>
      <c r="D139" s="2" t="s">
        <v>54</v>
      </c>
      <c r="E139" s="73">
        <v>57115</v>
      </c>
      <c r="F139" s="5">
        <v>3</v>
      </c>
      <c r="G139" s="2" t="s">
        <v>27</v>
      </c>
      <c r="H139" s="73">
        <v>820754</v>
      </c>
      <c r="I139" s="5">
        <v>2</v>
      </c>
      <c r="J139" s="74">
        <f>Tabla22[[#This Row],[Base price1]]*Tabla22[[#This Row],[Req.]]+Tabla22[[#This Row],[Base price2]]*Tabla22[[#This Row],[Req.2]]</f>
        <v>1812853</v>
      </c>
      <c r="K139" s="73">
        <f>IFERROR(LOOKUP(Tabla22[[#This Row],[Product]],$R$18:$R$23,$T$18:$T$23)*Tabla22[[#This Row],[QualityBonus]]*Tabla22[[#This Row],[Base price1]]*Tabla22[[#This Row],[Req.]],0)</f>
        <v>21075.434999999998</v>
      </c>
      <c r="L139" s="73">
        <f>IF(Tabla22[[#This Row],[Req.2]]&gt;0,LOOKUP(Tabla22[[#This Row],[Product2]],$R$18:$R$23,$T$18:$T$23)*Tabla22[[#This Row],[Base price2]]*Tabla22[[#This Row],[Req.2]]*Tabla22[[#This Row],[QualityBonus]],0)</f>
        <v>161524.3872</v>
      </c>
      <c r="M139" s="74">
        <f>IFERROR((Tabla22[[#This Row],[Base price1]]-LOOKUP(Tabla22[[#This Row],[Product]],$R$18:$R$23,$S$18:$S$23))*Tabla22[[#This Row],[Req.]],0)</f>
        <v>15345</v>
      </c>
      <c r="N139" s="79">
        <f>IF(Tabla22[[#This Row],[Req.2]]&gt;0,(Tabla22[[#This Row],[Base price2]]-LOOKUP(Tabla22[[#This Row],[Product2]],$R$18:$R$23,$S$18:$S$23))*Tabla22[[#This Row],[Req.2]],0)</f>
        <v>-74492</v>
      </c>
      <c r="O139" s="73">
        <f>SUM(Tabla22[[#This Row],[Bonus1]:[p2]])</f>
        <v>123452.8222</v>
      </c>
      <c r="P139" s="73">
        <f>IF(Tabla22[[#This Row],[QualityBonus]]&gt;0,Tabla22[[#This Row],[No wages]]-$C$4,"")</f>
        <v>84876.977244047623</v>
      </c>
    </row>
    <row r="140" spans="1:16" x14ac:dyDescent="0.25">
      <c r="A140" s="13">
        <v>124</v>
      </c>
      <c r="B140" s="13" t="s">
        <v>66</v>
      </c>
      <c r="C140" s="66">
        <v>2.24E-2</v>
      </c>
      <c r="D140" s="2" t="s">
        <v>53</v>
      </c>
      <c r="E140" s="73">
        <v>40018</v>
      </c>
      <c r="F140" s="5">
        <v>4</v>
      </c>
      <c r="G140" s="2" t="s">
        <v>52</v>
      </c>
      <c r="H140" s="73">
        <v>118191</v>
      </c>
      <c r="I140" s="5">
        <v>3</v>
      </c>
      <c r="J140" s="74">
        <f>Tabla22[[#This Row],[Base price1]]*Tabla22[[#This Row],[Req.]]+Tabla22[[#This Row],[Base price2]]*Tabla22[[#This Row],[Req.2]]</f>
        <v>514645</v>
      </c>
      <c r="K140" s="73">
        <f>IFERROR(LOOKUP(Tabla22[[#This Row],[Product]],$R$18:$R$23,$T$18:$T$23)*Tabla22[[#This Row],[QualityBonus]]*Tabla22[[#This Row],[Base price1]]*Tabla22[[#This Row],[Req.]],0)</f>
        <v>14342.4512</v>
      </c>
      <c r="L140" s="73">
        <f>IF(Tabla22[[#This Row],[Req.2]]&gt;0,LOOKUP(Tabla22[[#This Row],[Product2]],$R$18:$R$23,$T$18:$T$23)*Tabla22[[#This Row],[Base price2]]*Tabla22[[#This Row],[Req.2]]*Tabla22[[#This Row],[QualityBonus]],0)</f>
        <v>39712.175999999999</v>
      </c>
      <c r="M140" s="74">
        <f>IFERROR((Tabla22[[#This Row],[Base price1]]-LOOKUP(Tabla22[[#This Row],[Product]],$R$18:$R$23,$S$18:$S$23))*Tabla22[[#This Row],[Req.]],0)</f>
        <v>24872</v>
      </c>
      <c r="N140" s="79">
        <f>IF(Tabla22[[#This Row],[Req.2]]&gt;0,(Tabla22[[#This Row],[Base price2]]-LOOKUP(Tabla22[[#This Row],[Product2]],$R$18:$R$23,$S$18:$S$23))*Tabla22[[#This Row],[Req.2]],0)</f>
        <v>18573</v>
      </c>
      <c r="O140" s="73">
        <f>SUM(Tabla22[[#This Row],[Bonus1]:[p2]])</f>
        <v>97499.627200000003</v>
      </c>
      <c r="P140" s="73">
        <f>IF(Tabla22[[#This Row],[QualityBonus]]&gt;0,Tabla22[[#This Row],[No wages]]-$C$4,"")</f>
        <v>58923.782244047623</v>
      </c>
    </row>
    <row r="141" spans="1:16" x14ac:dyDescent="0.25">
      <c r="A141" s="13">
        <v>125</v>
      </c>
      <c r="B141" s="13" t="s">
        <v>66</v>
      </c>
      <c r="C141" s="66">
        <v>2.4E-2</v>
      </c>
      <c r="D141" s="2" t="s">
        <v>52</v>
      </c>
      <c r="E141" s="73">
        <v>112791</v>
      </c>
      <c r="F141" s="5">
        <v>4</v>
      </c>
      <c r="G141" s="2" t="s">
        <v>54</v>
      </c>
      <c r="H141" s="73">
        <v>59968</v>
      </c>
      <c r="I141" s="5">
        <v>3</v>
      </c>
      <c r="J141" s="74">
        <f>Tabla22[[#This Row],[Base price1]]*Tabla22[[#This Row],[Req.]]+Tabla22[[#This Row],[Base price2]]*Tabla22[[#This Row],[Req.2]]</f>
        <v>631068</v>
      </c>
      <c r="K141" s="73">
        <f>IFERROR(LOOKUP(Tabla22[[#This Row],[Product]],$R$18:$R$23,$T$18:$T$23)*Tabla22[[#This Row],[QualityBonus]]*Tabla22[[#This Row],[Base price1]]*Tabla22[[#This Row],[Req.]],0)</f>
        <v>54139.68</v>
      </c>
      <c r="L141" s="73">
        <f>IF(Tabla22[[#This Row],[Req.2]]&gt;0,LOOKUP(Tabla22[[#This Row],[Product2]],$R$18:$R$23,$T$18:$T$23)*Tabla22[[#This Row],[Base price2]]*Tabla22[[#This Row],[Req.2]]*Tabla22[[#This Row],[QualityBonus]],0)</f>
        <v>21588.48</v>
      </c>
      <c r="M141" s="74">
        <f>IFERROR((Tabla22[[#This Row],[Base price1]]-LOOKUP(Tabla22[[#This Row],[Product]],$R$18:$R$23,$S$18:$S$23))*Tabla22[[#This Row],[Req.]],0)</f>
        <v>3164</v>
      </c>
      <c r="N141" s="79">
        <f>IF(Tabla22[[#This Row],[Req.2]]&gt;0,(Tabla22[[#This Row],[Base price2]]-LOOKUP(Tabla22[[#This Row],[Product2]],$R$18:$R$23,$S$18:$S$23))*Tabla22[[#This Row],[Req.2]],0)</f>
        <v>23904</v>
      </c>
      <c r="O141" s="73">
        <f>SUM(Tabla22[[#This Row],[Bonus1]:[p2]])</f>
        <v>102796.16</v>
      </c>
      <c r="P141" s="73">
        <f>IF(Tabla22[[#This Row],[QualityBonus]]&gt;0,Tabla22[[#This Row],[No wages]]-$C$4,"")</f>
        <v>64220.315044047624</v>
      </c>
    </row>
    <row r="142" spans="1:16" x14ac:dyDescent="0.25">
      <c r="A142" s="13">
        <v>126</v>
      </c>
      <c r="B142" s="13" t="s">
        <v>66</v>
      </c>
      <c r="C142" s="66">
        <v>2.6200000000000001E-2</v>
      </c>
      <c r="D142" s="2" t="s">
        <v>53</v>
      </c>
      <c r="E142" s="73">
        <v>38210</v>
      </c>
      <c r="F142" s="5">
        <v>4</v>
      </c>
      <c r="G142" s="2" t="s">
        <v>57</v>
      </c>
      <c r="H142" s="73">
        <v>82313</v>
      </c>
      <c r="I142" s="5">
        <v>3</v>
      </c>
      <c r="J142" s="74">
        <f>Tabla22[[#This Row],[Base price1]]*Tabla22[[#This Row],[Req.]]+Tabla22[[#This Row],[Base price2]]*Tabla22[[#This Row],[Req.2]]</f>
        <v>399779</v>
      </c>
      <c r="K142" s="73">
        <f>IFERROR(LOOKUP(Tabla22[[#This Row],[Product]],$R$18:$R$23,$T$18:$T$23)*Tabla22[[#This Row],[QualityBonus]]*Tabla22[[#This Row],[Base price1]]*Tabla22[[#This Row],[Req.]],0)</f>
        <v>16017.632000000001</v>
      </c>
      <c r="L142" s="73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42" s="74">
        <f>IFERROR((Tabla22[[#This Row],[Base price1]]-LOOKUP(Tabla22[[#This Row],[Product]],$R$18:$R$23,$S$18:$S$23))*Tabla22[[#This Row],[Req.]],0)</f>
        <v>17640</v>
      </c>
      <c r="N142" s="79">
        <f>IF(Tabla22[[#This Row],[Req.2]]&gt;0,(Tabla22[[#This Row],[Base price2]]-LOOKUP(Tabla22[[#This Row],[Product2]],$R$18:$R$23,$S$18:$S$23))*Tabla22[[#This Row],[Req.2]],0)</f>
        <v>11439</v>
      </c>
      <c r="O142" s="73">
        <f>SUM(Tabla22[[#This Row],[Bonus1]:[p2]])</f>
        <v>70975.839200000002</v>
      </c>
      <c r="P142" s="73">
        <f>IF(Tabla22[[#This Row],[QualityBonus]]&gt;0,Tabla22[[#This Row],[No wages]]-$C$4,"")</f>
        <v>32399.994244047622</v>
      </c>
    </row>
    <row r="143" spans="1:16" x14ac:dyDescent="0.25">
      <c r="A143" s="13">
        <v>127</v>
      </c>
      <c r="B143" s="13" t="s">
        <v>66</v>
      </c>
      <c r="C143" s="66">
        <v>1.4800000000000001E-2</v>
      </c>
      <c r="D143" s="2" t="s">
        <v>54</v>
      </c>
      <c r="E143" s="73">
        <v>56753</v>
      </c>
      <c r="F143" s="5">
        <v>1</v>
      </c>
      <c r="G143" s="2" t="s">
        <v>57</v>
      </c>
      <c r="H143" s="73">
        <v>79406</v>
      </c>
      <c r="I143" s="5">
        <v>2</v>
      </c>
      <c r="J143" s="74">
        <f>Tabla22[[#This Row],[Base price1]]*Tabla22[[#This Row],[Req.]]+Tabla22[[#This Row],[Base price2]]*Tabla22[[#This Row],[Req.2]]</f>
        <v>215565</v>
      </c>
      <c r="K143" s="73">
        <f>IFERROR(LOOKUP(Tabla22[[#This Row],[Product]],$R$18:$R$23,$T$18:$T$23)*Tabla22[[#This Row],[QualityBonus]]*Tabla22[[#This Row],[Base price1]]*Tabla22[[#This Row],[Req.]],0)</f>
        <v>4199.7220000000007</v>
      </c>
      <c r="L143" s="73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43" s="74">
        <f>IFERROR((Tabla22[[#This Row],[Base price1]]-LOOKUP(Tabla22[[#This Row],[Product]],$R$18:$R$23,$S$18:$S$23))*Tabla22[[#This Row],[Req.]],0)</f>
        <v>4753</v>
      </c>
      <c r="N143" s="79">
        <f>IF(Tabla22[[#This Row],[Req.2]]&gt;0,(Tabla22[[#This Row],[Base price2]]-LOOKUP(Tabla22[[#This Row],[Product2]],$R$18:$R$23,$S$18:$S$23))*Tabla22[[#This Row],[Req.2]],0)</f>
        <v>1812</v>
      </c>
      <c r="O143" s="73">
        <f>SUM(Tabla22[[#This Row],[Bonus1]:[p2]])</f>
        <v>20166.392400000001</v>
      </c>
      <c r="P143" s="73">
        <f>IF(Tabla22[[#This Row],[QualityBonus]]&gt;0,Tabla22[[#This Row],[No wages]]-$C$4,"")</f>
        <v>-18409.452555952379</v>
      </c>
    </row>
    <row r="144" spans="1:16" x14ac:dyDescent="0.25">
      <c r="A144" s="13">
        <v>128</v>
      </c>
      <c r="B144" s="13" t="s">
        <v>66</v>
      </c>
      <c r="C144" s="66">
        <v>2.87E-2</v>
      </c>
      <c r="D144" s="2" t="s">
        <v>53</v>
      </c>
      <c r="E144" s="73">
        <v>38878</v>
      </c>
      <c r="F144" s="5">
        <v>5</v>
      </c>
      <c r="G144" s="2" t="s">
        <v>52</v>
      </c>
      <c r="H144" s="73">
        <v>118055</v>
      </c>
      <c r="I144" s="5">
        <v>3</v>
      </c>
      <c r="J144" s="74">
        <f>Tabla22[[#This Row],[Base price1]]*Tabla22[[#This Row],[Req.]]+Tabla22[[#This Row],[Base price2]]*Tabla22[[#This Row],[Req.2]]</f>
        <v>548555</v>
      </c>
      <c r="K144" s="73">
        <f>IFERROR(LOOKUP(Tabla22[[#This Row],[Product]],$R$18:$R$23,$T$18:$T$23)*Tabla22[[#This Row],[QualityBonus]]*Tabla22[[#This Row],[Base price1]]*Tabla22[[#This Row],[Req.]],0)</f>
        <v>22315.972000000002</v>
      </c>
      <c r="L144" s="73">
        <f>IF(Tabla22[[#This Row],[Req.2]]&gt;0,LOOKUP(Tabla22[[#This Row],[Product2]],$R$18:$R$23,$T$18:$T$23)*Tabla22[[#This Row],[Base price2]]*Tabla22[[#This Row],[Req.2]]*Tabla22[[#This Row],[QualityBonus]],0)</f>
        <v>50822.677499999998</v>
      </c>
      <c r="M144" s="74">
        <f>IFERROR((Tabla22[[#This Row],[Base price1]]-LOOKUP(Tabla22[[#This Row],[Product]],$R$18:$R$23,$S$18:$S$23))*Tabla22[[#This Row],[Req.]],0)</f>
        <v>25390</v>
      </c>
      <c r="N144" s="79">
        <f>IF(Tabla22[[#This Row],[Req.2]]&gt;0,(Tabla22[[#This Row],[Base price2]]-LOOKUP(Tabla22[[#This Row],[Product2]],$R$18:$R$23,$S$18:$S$23))*Tabla22[[#This Row],[Req.2]],0)</f>
        <v>18165</v>
      </c>
      <c r="O144" s="73">
        <f>SUM(Tabla22[[#This Row],[Bonus1]:[p2]])</f>
        <v>116693.6495</v>
      </c>
      <c r="P144" s="73">
        <f>IF(Tabla22[[#This Row],[QualityBonus]]&gt;0,Tabla22[[#This Row],[No wages]]-$C$4,"")</f>
        <v>78117.804544047627</v>
      </c>
    </row>
    <row r="145" spans="1:16" x14ac:dyDescent="0.25">
      <c r="A145" s="13">
        <v>129</v>
      </c>
      <c r="B145" s="13" t="s">
        <v>66</v>
      </c>
      <c r="C145" s="66">
        <v>2.6599999999999999E-2</v>
      </c>
      <c r="D145" s="2" t="s">
        <v>53</v>
      </c>
      <c r="E145" s="73">
        <v>40165</v>
      </c>
      <c r="F145" s="5">
        <v>2</v>
      </c>
      <c r="G145" s="2"/>
      <c r="H145" s="73"/>
      <c r="I145" s="5"/>
      <c r="J145" s="74">
        <f>Tabla22[[#This Row],[Base price1]]*Tabla22[[#This Row],[Req.]]+Tabla22[[#This Row],[Base price2]]*Tabla22[[#This Row],[Req.2]]</f>
        <v>80330</v>
      </c>
      <c r="K145" s="73">
        <f>IFERROR(LOOKUP(Tabla22[[#This Row],[Product]],$R$18:$R$23,$T$18:$T$23)*Tabla22[[#This Row],[QualityBonus]]*Tabla22[[#This Row],[Base price1]]*Tabla22[[#This Row],[Req.]],0)</f>
        <v>8547.1119999999992</v>
      </c>
      <c r="L145" s="73">
        <f>IF(Tabla22[[#This Row],[Req.2]]&gt;0,LOOKUP(Tabla22[[#This Row],[Product2]],$R$18:$R$23,$T$18:$T$23)*Tabla22[[#This Row],[Base price2]]*Tabla22[[#This Row],[Req.2]]*Tabla22[[#This Row],[QualityBonus]],0)</f>
        <v>0</v>
      </c>
      <c r="M145" s="74">
        <f>IFERROR((Tabla22[[#This Row],[Base price1]]-LOOKUP(Tabla22[[#This Row],[Product]],$R$18:$R$23,$S$18:$S$23))*Tabla22[[#This Row],[Req.]],0)</f>
        <v>12730</v>
      </c>
      <c r="N145" s="79">
        <f>IF(Tabla22[[#This Row],[Req.2]]&gt;0,(Tabla22[[#This Row],[Base price2]]-LOOKUP(Tabla22[[#This Row],[Product2]],$R$18:$R$23,$S$18:$S$23))*Tabla22[[#This Row],[Req.2]],0)</f>
        <v>0</v>
      </c>
      <c r="O145" s="73">
        <f>SUM(Tabla22[[#This Row],[Bonus1]:[p2]])</f>
        <v>21277.112000000001</v>
      </c>
      <c r="P145" s="73">
        <f>IF(Tabla22[[#This Row],[QualityBonus]]&gt;0,Tabla22[[#This Row],[No wages]]-$C$4,"")</f>
        <v>-17298.732955952379</v>
      </c>
    </row>
    <row r="146" spans="1:16" x14ac:dyDescent="0.25">
      <c r="A146" s="13">
        <v>130</v>
      </c>
      <c r="B146" s="13" t="s">
        <v>66</v>
      </c>
      <c r="C146" s="66">
        <v>2.47E-2</v>
      </c>
      <c r="D146" s="2" t="s">
        <v>55</v>
      </c>
      <c r="E146" s="73">
        <v>80261</v>
      </c>
      <c r="F146" s="5">
        <v>3</v>
      </c>
      <c r="G146" s="2" t="s">
        <v>53</v>
      </c>
      <c r="H146" s="73">
        <v>38757</v>
      </c>
      <c r="I146" s="5">
        <v>3</v>
      </c>
      <c r="J146" s="74">
        <f>Tabla22[[#This Row],[Base price1]]*Tabla22[[#This Row],[Req.]]+Tabla22[[#This Row],[Base price2]]*Tabla22[[#This Row],[Req.2]]</f>
        <v>357054</v>
      </c>
      <c r="K146" s="73">
        <f>IFERROR(LOOKUP(Tabla22[[#This Row],[Product]],$R$18:$R$23,$T$18:$T$23)*Tabla22[[#This Row],[QualityBonus]]*Tabla22[[#This Row],[Base price1]]*Tabla22[[#This Row],[Req.]],0)</f>
        <v>23789.360399999998</v>
      </c>
      <c r="L146" s="73">
        <f>IF(Tabla22[[#This Row],[Req.2]]&gt;0,LOOKUP(Tabla22[[#This Row],[Product2]],$R$18:$R$23,$T$18:$T$23)*Tabla22[[#This Row],[Base price2]]*Tabla22[[#This Row],[Req.2]]*Tabla22[[#This Row],[QualityBonus]],0)</f>
        <v>11487.5748</v>
      </c>
      <c r="M146" s="74">
        <f>IFERROR((Tabla22[[#This Row],[Base price1]]-LOOKUP(Tabla22[[#This Row],[Product]],$R$18:$R$23,$S$18:$S$23))*Tabla22[[#This Row],[Req.]],0)</f>
        <v>5283</v>
      </c>
      <c r="N146" s="79">
        <f>IF(Tabla22[[#This Row],[Req.2]]&gt;0,(Tabla22[[#This Row],[Base price2]]-LOOKUP(Tabla22[[#This Row],[Product2]],$R$18:$R$23,$S$18:$S$23))*Tabla22[[#This Row],[Req.2]],0)</f>
        <v>14871</v>
      </c>
      <c r="O146" s="73">
        <f>SUM(Tabla22[[#This Row],[Bonus1]:[p2]])</f>
        <v>55430.9352</v>
      </c>
      <c r="P146" s="73">
        <f>IF(Tabla22[[#This Row],[QualityBonus]]&gt;0,Tabla22[[#This Row],[No wages]]-$C$4,"")</f>
        <v>16855.09024404762</v>
      </c>
    </row>
    <row r="147" spans="1:16" x14ac:dyDescent="0.25">
      <c r="A147" s="13">
        <v>131</v>
      </c>
      <c r="B147" s="13" t="s">
        <v>66</v>
      </c>
      <c r="C147" s="66">
        <v>2.24E-2</v>
      </c>
      <c r="D147" s="2" t="s">
        <v>53</v>
      </c>
      <c r="E147" s="73">
        <v>38282</v>
      </c>
      <c r="F147" s="5">
        <v>2</v>
      </c>
      <c r="G147" s="2" t="s">
        <v>57</v>
      </c>
      <c r="H147" s="73">
        <v>81208</v>
      </c>
      <c r="I147" s="5">
        <v>2</v>
      </c>
      <c r="J147" s="74">
        <f>Tabla22[[#This Row],[Base price1]]*Tabla22[[#This Row],[Req.]]+Tabla22[[#This Row],[Base price2]]*Tabla22[[#This Row],[Req.2]]</f>
        <v>238980</v>
      </c>
      <c r="K147" s="73">
        <f>IFERROR(LOOKUP(Tabla22[[#This Row],[Product]],$R$18:$R$23,$T$18:$T$23)*Tabla22[[#This Row],[QualityBonus]]*Tabla22[[#This Row],[Base price1]]*Tabla22[[#This Row],[Req.]],0)</f>
        <v>6860.1343999999999</v>
      </c>
      <c r="L147" s="73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47" s="74">
        <f>IFERROR((Tabla22[[#This Row],[Base price1]]-LOOKUP(Tabla22[[#This Row],[Product]],$R$18:$R$23,$S$18:$S$23))*Tabla22[[#This Row],[Req.]],0)</f>
        <v>8964</v>
      </c>
      <c r="N147" s="79">
        <f>IF(Tabla22[[#This Row],[Req.2]]&gt;0,(Tabla22[[#This Row],[Base price2]]-LOOKUP(Tabla22[[#This Row],[Product2]],$R$18:$R$23,$S$18:$S$23))*Tabla22[[#This Row],[Req.2]],0)</f>
        <v>5416</v>
      </c>
      <c r="O147" s="73">
        <f>SUM(Tabla22[[#This Row],[Bonus1]:[p2]])</f>
        <v>35792.608</v>
      </c>
      <c r="P147" s="73">
        <f>IF(Tabla22[[#This Row],[QualityBonus]]&gt;0,Tabla22[[#This Row],[No wages]]-$C$4,"")</f>
        <v>-2783.2369559523795</v>
      </c>
    </row>
    <row r="148" spans="1:16" x14ac:dyDescent="0.25">
      <c r="A148" s="13">
        <v>132</v>
      </c>
      <c r="B148" s="13" t="s">
        <v>66</v>
      </c>
      <c r="C148" s="66">
        <v>2.4799999999999999E-2</v>
      </c>
      <c r="D148" s="2" t="s">
        <v>53</v>
      </c>
      <c r="E148" s="73">
        <v>38568</v>
      </c>
      <c r="F148" s="5">
        <v>5</v>
      </c>
      <c r="G148" s="2" t="s">
        <v>52</v>
      </c>
      <c r="H148" s="73">
        <v>116188</v>
      </c>
      <c r="I148" s="5">
        <v>1</v>
      </c>
      <c r="J148" s="74">
        <f>Tabla22[[#This Row],[Base price1]]*Tabla22[[#This Row],[Req.]]+Tabla22[[#This Row],[Base price2]]*Tabla22[[#This Row],[Req.2]]</f>
        <v>309028</v>
      </c>
      <c r="K148" s="73">
        <f>IFERROR(LOOKUP(Tabla22[[#This Row],[Product]],$R$18:$R$23,$T$18:$T$23)*Tabla22[[#This Row],[QualityBonus]]*Tabla22[[#This Row],[Base price1]]*Tabla22[[#This Row],[Req.]],0)</f>
        <v>19129.727999999999</v>
      </c>
      <c r="L148" s="73">
        <f>IF(Tabla22[[#This Row],[Req.2]]&gt;0,LOOKUP(Tabla22[[#This Row],[Product2]],$R$18:$R$23,$T$18:$T$23)*Tabla22[[#This Row],[Base price2]]*Tabla22[[#This Row],[Req.2]]*Tabla22[[#This Row],[QualityBonus]],0)</f>
        <v>14407.312</v>
      </c>
      <c r="M148" s="74">
        <f>IFERROR((Tabla22[[#This Row],[Base price1]]-LOOKUP(Tabla22[[#This Row],[Product]],$R$18:$R$23,$S$18:$S$23))*Tabla22[[#This Row],[Req.]],0)</f>
        <v>23840</v>
      </c>
      <c r="N148" s="79">
        <f>IF(Tabla22[[#This Row],[Req.2]]&gt;0,(Tabla22[[#This Row],[Base price2]]-LOOKUP(Tabla22[[#This Row],[Product2]],$R$18:$R$23,$S$18:$S$23))*Tabla22[[#This Row],[Req.2]],0)</f>
        <v>4188</v>
      </c>
      <c r="O148" s="73">
        <f>SUM(Tabla22[[#This Row],[Bonus1]:[p2]])</f>
        <v>61565.04</v>
      </c>
      <c r="P148" s="73">
        <f>IF(Tabla22[[#This Row],[QualityBonus]]&gt;0,Tabla22[[#This Row],[No wages]]-$C$4,"")</f>
        <v>22989.195044047621</v>
      </c>
    </row>
    <row r="149" spans="1:16" x14ac:dyDescent="0.25">
      <c r="A149" s="13">
        <v>133</v>
      </c>
      <c r="B149" s="13" t="s">
        <v>66</v>
      </c>
      <c r="C149" s="66">
        <v>2.7E-2</v>
      </c>
      <c r="D149" s="2" t="s">
        <v>55</v>
      </c>
      <c r="E149" s="73">
        <v>79349</v>
      </c>
      <c r="F149" s="5">
        <v>4</v>
      </c>
      <c r="G149" s="2" t="s">
        <v>53</v>
      </c>
      <c r="H149" s="73">
        <v>40468</v>
      </c>
      <c r="I149" s="5">
        <v>5</v>
      </c>
      <c r="J149" s="74">
        <f>Tabla22[[#This Row],[Base price1]]*Tabla22[[#This Row],[Req.]]+Tabla22[[#This Row],[Base price2]]*Tabla22[[#This Row],[Req.2]]</f>
        <v>519736</v>
      </c>
      <c r="K149" s="73">
        <f>IFERROR(LOOKUP(Tabla22[[#This Row],[Product]],$R$18:$R$23,$T$18:$T$23)*Tabla22[[#This Row],[QualityBonus]]*Tabla22[[#This Row],[Base price1]]*Tabla22[[#This Row],[Req.]],0)</f>
        <v>34278.767999999996</v>
      </c>
      <c r="L149" s="73">
        <f>IF(Tabla22[[#This Row],[Req.2]]&gt;0,LOOKUP(Tabla22[[#This Row],[Product2]],$R$18:$R$23,$T$18:$T$23)*Tabla22[[#This Row],[Base price2]]*Tabla22[[#This Row],[Req.2]]*Tabla22[[#This Row],[QualityBonus]],0)</f>
        <v>21852.720000000001</v>
      </c>
      <c r="M149" s="74">
        <f>IFERROR((Tabla22[[#This Row],[Base price1]]-LOOKUP(Tabla22[[#This Row],[Product]],$R$18:$R$23,$S$18:$S$23))*Tabla22[[#This Row],[Req.]],0)</f>
        <v>3396</v>
      </c>
      <c r="N149" s="79">
        <f>IF(Tabla22[[#This Row],[Req.2]]&gt;0,(Tabla22[[#This Row],[Base price2]]-LOOKUP(Tabla22[[#This Row],[Product2]],$R$18:$R$23,$S$18:$S$23))*Tabla22[[#This Row],[Req.2]],0)</f>
        <v>33340</v>
      </c>
      <c r="O149" s="73">
        <f>SUM(Tabla22[[#This Row],[Bonus1]:[p2]])</f>
        <v>92867.487999999998</v>
      </c>
      <c r="P149" s="73">
        <f>IF(Tabla22[[#This Row],[QualityBonus]]&gt;0,Tabla22[[#This Row],[No wages]]-$C$4,"")</f>
        <v>54291.643044047618</v>
      </c>
    </row>
    <row r="150" spans="1:16" x14ac:dyDescent="0.25">
      <c r="A150" s="13">
        <v>134</v>
      </c>
      <c r="B150" s="13" t="s">
        <v>66</v>
      </c>
      <c r="C150" s="66">
        <v>2.3599999999999999E-2</v>
      </c>
      <c r="D150" s="2" t="s">
        <v>54</v>
      </c>
      <c r="E150" s="73">
        <v>57427</v>
      </c>
      <c r="F150" s="5">
        <v>2</v>
      </c>
      <c r="G150" s="2" t="s">
        <v>57</v>
      </c>
      <c r="H150" s="73">
        <v>78594</v>
      </c>
      <c r="I150" s="5">
        <v>2</v>
      </c>
      <c r="J150" s="74">
        <f>Tabla22[[#This Row],[Base price1]]*Tabla22[[#This Row],[Req.]]+Tabla22[[#This Row],[Base price2]]*Tabla22[[#This Row],[Req.2]]</f>
        <v>272042</v>
      </c>
      <c r="K150" s="73">
        <f>IFERROR(LOOKUP(Tabla22[[#This Row],[Product]],$R$18:$R$23,$T$18:$T$23)*Tabla22[[#This Row],[QualityBonus]]*Tabla22[[#This Row],[Base price1]]*Tabla22[[#This Row],[Req.]],0)</f>
        <v>13552.771999999999</v>
      </c>
      <c r="L150" s="73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50" s="74">
        <f>IFERROR((Tabla22[[#This Row],[Base price1]]-LOOKUP(Tabla22[[#This Row],[Product]],$R$18:$R$23,$S$18:$S$23))*Tabla22[[#This Row],[Req.]],0)</f>
        <v>10854</v>
      </c>
      <c r="N150" s="79">
        <f>IF(Tabla22[[#This Row],[Req.2]]&gt;0,(Tabla22[[#This Row],[Base price2]]-LOOKUP(Tabla22[[#This Row],[Product2]],$R$18:$R$23,$S$18:$S$23))*Tabla22[[#This Row],[Req.2]],0)</f>
        <v>188</v>
      </c>
      <c r="O150" s="73">
        <f>SUM(Tabla22[[#This Row],[Bonus1]:[p2]])</f>
        <v>39433.319199999998</v>
      </c>
      <c r="P150" s="73">
        <f>IF(Tabla22[[#This Row],[QualityBonus]]&gt;0,Tabla22[[#This Row],[No wages]]-$C$4,"")</f>
        <v>857.47424404761841</v>
      </c>
    </row>
    <row r="151" spans="1:16" x14ac:dyDescent="0.25">
      <c r="A151" s="13">
        <v>135</v>
      </c>
      <c r="B151" s="13" t="s">
        <v>66</v>
      </c>
      <c r="C151" s="66">
        <v>2.3699999999999999E-2</v>
      </c>
      <c r="D151" s="2" t="s">
        <v>55</v>
      </c>
      <c r="E151" s="73">
        <v>78651</v>
      </c>
      <c r="F151" s="5">
        <v>2</v>
      </c>
      <c r="G151" s="2"/>
      <c r="H151" s="73"/>
      <c r="I151" s="5"/>
      <c r="J151" s="74">
        <f>Tabla22[[#This Row],[Base price1]]*Tabla22[[#This Row],[Req.]]+Tabla22[[#This Row],[Base price2]]*Tabla22[[#This Row],[Req.2]]</f>
        <v>157302</v>
      </c>
      <c r="K151" s="73">
        <f>IFERROR(LOOKUP(Tabla22[[#This Row],[Product]],$R$18:$R$23,$T$18:$T$23)*Tabla22[[#This Row],[QualityBonus]]*Tabla22[[#This Row],[Base price1]]*Tabla22[[#This Row],[Req.]],0)</f>
        <v>14912.229599999999</v>
      </c>
      <c r="L151" s="73">
        <f>IF(Tabla22[[#This Row],[Req.2]]&gt;0,LOOKUP(Tabla22[[#This Row],[Product2]],$R$18:$R$23,$T$18:$T$23)*Tabla22[[#This Row],[Base price2]]*Tabla22[[#This Row],[Req.2]]*Tabla22[[#This Row],[QualityBonus]],0)</f>
        <v>0</v>
      </c>
      <c r="M151" s="74">
        <f>IFERROR((Tabla22[[#This Row],[Base price1]]-LOOKUP(Tabla22[[#This Row],[Product]],$R$18:$R$23,$S$18:$S$23))*Tabla22[[#This Row],[Req.]],0)</f>
        <v>302</v>
      </c>
      <c r="N151" s="79">
        <f>IF(Tabla22[[#This Row],[Req.2]]&gt;0,(Tabla22[[#This Row],[Base price2]]-LOOKUP(Tabla22[[#This Row],[Product2]],$R$18:$R$23,$S$18:$S$23))*Tabla22[[#This Row],[Req.2]],0)</f>
        <v>0</v>
      </c>
      <c r="O151" s="73">
        <f>SUM(Tabla22[[#This Row],[Bonus1]:[p2]])</f>
        <v>15214.229599999999</v>
      </c>
      <c r="P151" s="73">
        <f>IF(Tabla22[[#This Row],[QualityBonus]]&gt;0,Tabla22[[#This Row],[No wages]]-$C$4,"")</f>
        <v>-23361.615355952381</v>
      </c>
    </row>
    <row r="152" spans="1:16" x14ac:dyDescent="0.25">
      <c r="A152" s="13">
        <v>136</v>
      </c>
      <c r="B152" s="13" t="s">
        <v>66</v>
      </c>
      <c r="C152" s="66">
        <v>1.1900000000000001E-2</v>
      </c>
      <c r="D152" s="2" t="s">
        <v>55</v>
      </c>
      <c r="E152" s="73">
        <v>79927</v>
      </c>
      <c r="F152" s="5">
        <v>4</v>
      </c>
      <c r="G152" s="2" t="s">
        <v>53</v>
      </c>
      <c r="H152" s="73">
        <v>38587</v>
      </c>
      <c r="I152" s="5">
        <v>4</v>
      </c>
      <c r="J152" s="74">
        <f>Tabla22[[#This Row],[Base price1]]*Tabla22[[#This Row],[Req.]]+Tabla22[[#This Row],[Base price2]]*Tabla22[[#This Row],[Req.2]]</f>
        <v>474056</v>
      </c>
      <c r="K152" s="73">
        <f>IFERROR(LOOKUP(Tabla22[[#This Row],[Product]],$R$18:$R$23,$T$18:$T$23)*Tabla22[[#This Row],[QualityBonus]]*Tabla22[[#This Row],[Base price1]]*Tabla22[[#This Row],[Req.]],0)</f>
        <v>15218.100800000002</v>
      </c>
      <c r="L152" s="73">
        <f>IF(Tabla22[[#This Row],[Req.2]]&gt;0,LOOKUP(Tabla22[[#This Row],[Product2]],$R$18:$R$23,$T$18:$T$23)*Tabla22[[#This Row],[Base price2]]*Tabla22[[#This Row],[Req.2]]*Tabla22[[#This Row],[QualityBonus]],0)</f>
        <v>7346.9648000000007</v>
      </c>
      <c r="M152" s="74">
        <f>IFERROR((Tabla22[[#This Row],[Base price1]]-LOOKUP(Tabla22[[#This Row],[Product]],$R$18:$R$23,$S$18:$S$23))*Tabla22[[#This Row],[Req.]],0)</f>
        <v>5708</v>
      </c>
      <c r="N152" s="79">
        <f>IF(Tabla22[[#This Row],[Req.2]]&gt;0,(Tabla22[[#This Row],[Base price2]]-LOOKUP(Tabla22[[#This Row],[Product2]],$R$18:$R$23,$S$18:$S$23))*Tabla22[[#This Row],[Req.2]],0)</f>
        <v>19148</v>
      </c>
      <c r="O152" s="73">
        <f>SUM(Tabla22[[#This Row],[Bonus1]:[p2]])</f>
        <v>47421.065600000002</v>
      </c>
      <c r="P152" s="73">
        <f>IF(Tabla22[[#This Row],[QualityBonus]]&gt;0,Tabla22[[#This Row],[No wages]]-$C$4,"")</f>
        <v>8845.220644047622</v>
      </c>
    </row>
    <row r="153" spans="1:16" x14ac:dyDescent="0.25">
      <c r="A153" s="13">
        <v>137</v>
      </c>
      <c r="B153" s="13" t="s">
        <v>66</v>
      </c>
      <c r="C153" s="66">
        <v>1.6899999999999998E-2</v>
      </c>
      <c r="D153" s="2" t="s">
        <v>56</v>
      </c>
      <c r="E153" s="73">
        <v>216583</v>
      </c>
      <c r="F153" s="5">
        <v>3</v>
      </c>
      <c r="G153" s="2" t="s">
        <v>57</v>
      </c>
      <c r="H153" s="73">
        <v>79321</v>
      </c>
      <c r="I153" s="5">
        <v>3</v>
      </c>
      <c r="J153" s="74">
        <f>Tabla22[[#This Row],[Base price1]]*Tabla22[[#This Row],[Req.]]+Tabla22[[#This Row],[Base price2]]*Tabla22[[#This Row],[Req.2]]</f>
        <v>887712</v>
      </c>
      <c r="K153" s="73">
        <f>IFERROR(LOOKUP(Tabla22[[#This Row],[Product]],$R$18:$R$23,$T$18:$T$23)*Tabla22[[#This Row],[QualityBonus]]*Tabla22[[#This Row],[Base price1]]*Tabla22[[#This Row],[Req.]],0)</f>
        <v>43923.032399999996</v>
      </c>
      <c r="L153" s="73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53" s="74">
        <f>IFERROR((Tabla22[[#This Row],[Base price1]]-LOOKUP(Tabla22[[#This Row],[Product]],$R$18:$R$23,$S$18:$S$23))*Tabla22[[#This Row],[Req.]],0)</f>
        <v>-13251</v>
      </c>
      <c r="N153" s="79">
        <f>IF(Tabla22[[#This Row],[Req.2]]&gt;0,(Tabla22[[#This Row],[Base price2]]-LOOKUP(Tabla22[[#This Row],[Product2]],$R$18:$R$23,$S$18:$S$23))*Tabla22[[#This Row],[Req.2]],0)</f>
        <v>2463</v>
      </c>
      <c r="O153" s="73">
        <f>SUM(Tabla22[[#This Row],[Bonus1]:[p2]])</f>
        <v>49221.331199999993</v>
      </c>
      <c r="P153" s="73">
        <f>IF(Tabla22[[#This Row],[QualityBonus]]&gt;0,Tabla22[[#This Row],[No wages]]-$C$4,"")</f>
        <v>10645.486244047614</v>
      </c>
    </row>
    <row r="154" spans="1:16" x14ac:dyDescent="0.25">
      <c r="A154" s="24">
        <v>138</v>
      </c>
      <c r="B154" s="24" t="s">
        <v>66</v>
      </c>
      <c r="C154" s="44">
        <v>2.63E-2</v>
      </c>
      <c r="D154" s="37" t="s">
        <v>56</v>
      </c>
      <c r="E154" s="72">
        <v>219216</v>
      </c>
      <c r="F154" s="39">
        <v>3</v>
      </c>
      <c r="G154" s="37" t="s">
        <v>52</v>
      </c>
      <c r="H154" s="72">
        <v>115169</v>
      </c>
      <c r="I154" s="39">
        <v>2</v>
      </c>
      <c r="J154" s="75">
        <f>Tabla22[[#This Row],[Base price1]]*Tabla22[[#This Row],[Req.]]+Tabla22[[#This Row],[Base price2]]*Tabla22[[#This Row],[Req.2]]</f>
        <v>887986</v>
      </c>
      <c r="K154" s="72">
        <f>IFERROR(LOOKUP(Tabla22[[#This Row],[Product]],$R$18:$R$23,$T$18:$T$23)*Tabla22[[#This Row],[QualityBonus]]*Tabla22[[#This Row],[Base price1]]*Tabla22[[#This Row],[Req.]],0)</f>
        <v>69184.569600000003</v>
      </c>
      <c r="L154" s="72">
        <f>IF(Tabla22[[#This Row],[Req.2]]&gt;0,LOOKUP(Tabla22[[#This Row],[Product2]],$R$18:$R$23,$T$18:$T$23)*Tabla22[[#This Row],[Base price2]]*Tabla22[[#This Row],[Req.2]]*Tabla22[[#This Row],[QualityBonus]],0)</f>
        <v>30289.447</v>
      </c>
      <c r="M154" s="75">
        <f>IFERROR((Tabla22[[#This Row],[Base price1]]-LOOKUP(Tabla22[[#This Row],[Product]],$R$18:$R$23,$S$18:$S$23))*Tabla22[[#This Row],[Req.]],0)</f>
        <v>-5352</v>
      </c>
      <c r="N154" s="80">
        <f>IF(Tabla22[[#This Row],[Req.2]]&gt;0,(Tabla22[[#This Row],[Base price2]]-LOOKUP(Tabla22[[#This Row],[Product2]],$R$18:$R$23,$S$18:$S$23))*Tabla22[[#This Row],[Req.2]],0)</f>
        <v>6338</v>
      </c>
      <c r="O154" s="72">
        <f>SUM(Tabla22[[#This Row],[Bonus1]:[p2]])</f>
        <v>100460.0166</v>
      </c>
      <c r="P154" s="72">
        <f>IF(Tabla22[[#This Row],[QualityBonus]]&gt;0,Tabla22[[#This Row],[No wages]]-$C$4,"")</f>
        <v>61884.171644047623</v>
      </c>
    </row>
    <row r="155" spans="1:16" x14ac:dyDescent="0.25">
      <c r="A155" s="13">
        <v>139</v>
      </c>
      <c r="B155" s="13"/>
      <c r="C155" s="66"/>
      <c r="D155" s="2"/>
      <c r="E155" s="73"/>
      <c r="G155" s="2"/>
      <c r="H155" s="73"/>
      <c r="I155" s="5"/>
      <c r="J155" s="74">
        <f>Tabla22[[#This Row],[Base price1]]*Tabla22[[#This Row],[Req.]]+Tabla22[[#This Row],[Base price2]]*Tabla22[[#This Row],[Req.2]]</f>
        <v>0</v>
      </c>
      <c r="K155" s="73">
        <f>IFERROR(LOOKUP(Tabla22[[#This Row],[Product]],$R$18:$R$23,$T$18:$T$23)*Tabla22[[#This Row],[QualityBonus]]*Tabla22[[#This Row],[Base price1]]*Tabla22[[#This Row],[Req.]],0)</f>
        <v>0</v>
      </c>
      <c r="L155" s="73">
        <f>IF(Tabla22[[#This Row],[Req.2]]&gt;0,LOOKUP(Tabla22[[#This Row],[Product2]],$R$18:$R$23,$T$18:$T$23)*Tabla22[[#This Row],[Base price2]]*Tabla22[[#This Row],[Req.2]]*Tabla22[[#This Row],[QualityBonus]],0)</f>
        <v>0</v>
      </c>
      <c r="M155" s="74">
        <f>IFERROR((Tabla22[[#This Row],[Base price1]]-LOOKUP(Tabla22[[#This Row],[Product]],$R$18:$R$23,$S$18:$S$23))*Tabla22[[#This Row],[Req.]],0)</f>
        <v>0</v>
      </c>
      <c r="N155" s="79">
        <f>IF(Tabla22[[#This Row],[Req.2]]&gt;0,(Tabla22[[#This Row],[Base price2]]-LOOKUP(Tabla22[[#This Row],[Product2]],$R$18:$R$23,$S$18:$S$23))*Tabla22[[#This Row],[Req.2]],0)</f>
        <v>0</v>
      </c>
      <c r="O155" s="73">
        <f>SUM(Tabla22[[#This Row],[Bonus1]:[p2]])</f>
        <v>0</v>
      </c>
      <c r="P155" s="73" t="str">
        <f>IF(Tabla22[[#This Row],[QualityBonus]]&gt;0,Tabla22[[#This Row],[No wages]]-$C$4,"")</f>
        <v/>
      </c>
    </row>
    <row r="156" spans="1:16" x14ac:dyDescent="0.25">
      <c r="A156" s="13">
        <v>140</v>
      </c>
      <c r="B156" s="13"/>
      <c r="C156" s="66"/>
      <c r="D156" s="2"/>
      <c r="E156" s="73"/>
      <c r="G156" s="2"/>
      <c r="H156" s="73"/>
      <c r="I156" s="5"/>
      <c r="J156" s="74">
        <f>Tabla22[[#This Row],[Base price1]]*Tabla22[[#This Row],[Req.]]+Tabla22[[#This Row],[Base price2]]*Tabla22[[#This Row],[Req.2]]</f>
        <v>0</v>
      </c>
      <c r="K156" s="73">
        <f>IFERROR(LOOKUP(Tabla22[[#This Row],[Product]],$R$18:$R$23,$T$18:$T$23)*Tabla22[[#This Row],[QualityBonus]]*Tabla22[[#This Row],[Base price1]]*Tabla22[[#This Row],[Req.]],0)</f>
        <v>0</v>
      </c>
      <c r="L156" s="73">
        <f>IF(Tabla22[[#This Row],[Req.2]]&gt;0,LOOKUP(Tabla22[[#This Row],[Product2]],$R$18:$R$23,$T$18:$T$23)*Tabla22[[#This Row],[Base price2]]*Tabla22[[#This Row],[Req.2]]*Tabla22[[#This Row],[QualityBonus]],0)</f>
        <v>0</v>
      </c>
      <c r="M156" s="74">
        <f>IFERROR((Tabla22[[#This Row],[Base price1]]-LOOKUP(Tabla22[[#This Row],[Product]],$R$18:$R$23,$S$18:$S$23))*Tabla22[[#This Row],[Req.]],0)</f>
        <v>0</v>
      </c>
      <c r="N156" s="79">
        <f>IF(Tabla22[[#This Row],[Req.2]]&gt;0,(Tabla22[[#This Row],[Base price2]]-LOOKUP(Tabla22[[#This Row],[Product2]],$R$18:$R$23,$S$18:$S$23))*Tabla22[[#This Row],[Req.2]],0)</f>
        <v>0</v>
      </c>
      <c r="O156" s="73">
        <f>SUM(Tabla22[[#This Row],[Bonus1]:[p2]])</f>
        <v>0</v>
      </c>
      <c r="P156" s="73" t="str">
        <f>IF(Tabla22[[#This Row],[QualityBonus]]&gt;0,Tabla22[[#This Row],[No wages]]-$C$4,"")</f>
        <v/>
      </c>
    </row>
    <row r="157" spans="1:16" x14ac:dyDescent="0.25">
      <c r="A157" s="13">
        <v>141</v>
      </c>
      <c r="B157" s="13"/>
      <c r="C157" s="66"/>
      <c r="D157" s="2"/>
      <c r="E157" s="73"/>
      <c r="G157" s="2"/>
      <c r="H157" s="73"/>
      <c r="I157" s="5"/>
      <c r="J157" s="74">
        <f>Tabla22[[#This Row],[Base price1]]*Tabla22[[#This Row],[Req.]]+Tabla22[[#This Row],[Base price2]]*Tabla22[[#This Row],[Req.2]]</f>
        <v>0</v>
      </c>
      <c r="K157" s="73">
        <f>IFERROR(LOOKUP(Tabla22[[#This Row],[Product]],$R$18:$R$23,$T$18:$T$23)*Tabla22[[#This Row],[QualityBonus]]*Tabla22[[#This Row],[Base price1]]*Tabla22[[#This Row],[Req.]],0)</f>
        <v>0</v>
      </c>
      <c r="L157" s="73">
        <f>IF(Tabla22[[#This Row],[Req.2]]&gt;0,LOOKUP(Tabla22[[#This Row],[Product2]],$R$18:$R$23,$T$18:$T$23)*Tabla22[[#This Row],[Base price2]]*Tabla22[[#This Row],[Req.2]]*Tabla22[[#This Row],[QualityBonus]],0)</f>
        <v>0</v>
      </c>
      <c r="M157" s="74">
        <f>IFERROR((Tabla22[[#This Row],[Base price1]]-LOOKUP(Tabla22[[#This Row],[Product]],$R$18:$R$23,$S$18:$S$23))*Tabla22[[#This Row],[Req.]],0)</f>
        <v>0</v>
      </c>
      <c r="N157" s="79">
        <f>IF(Tabla22[[#This Row],[Req.2]]&gt;0,(Tabla22[[#This Row],[Base price2]]-LOOKUP(Tabla22[[#This Row],[Product2]],$R$18:$R$23,$S$18:$S$23))*Tabla22[[#This Row],[Req.2]],0)</f>
        <v>0</v>
      </c>
      <c r="O157" s="73">
        <f>SUM(Tabla22[[#This Row],[Bonus1]:[p2]])</f>
        <v>0</v>
      </c>
      <c r="P157" s="73" t="str">
        <f>IF(Tabla22[[#This Row],[QualityBonus]]&gt;0,Tabla22[[#This Row],[No wages]]-$C$4,"")</f>
        <v/>
      </c>
    </row>
    <row r="158" spans="1:16" x14ac:dyDescent="0.25">
      <c r="A158" s="13">
        <v>142</v>
      </c>
      <c r="B158" s="13"/>
      <c r="C158" s="66"/>
      <c r="D158" s="2"/>
      <c r="E158" s="73"/>
      <c r="G158" s="2"/>
      <c r="H158" s="73"/>
      <c r="I158" s="5"/>
      <c r="J158" s="74">
        <f>Tabla22[[#This Row],[Base price1]]*Tabla22[[#This Row],[Req.]]+Tabla22[[#This Row],[Base price2]]*Tabla22[[#This Row],[Req.2]]</f>
        <v>0</v>
      </c>
      <c r="K158" s="73">
        <f>IFERROR(LOOKUP(Tabla22[[#This Row],[Product]],$R$18:$R$23,$T$18:$T$23)*Tabla22[[#This Row],[QualityBonus]]*Tabla22[[#This Row],[Base price1]]*Tabla22[[#This Row],[Req.]],0)</f>
        <v>0</v>
      </c>
      <c r="L158" s="73">
        <f>IF(Tabla22[[#This Row],[Req.2]]&gt;0,LOOKUP(Tabla22[[#This Row],[Product2]],$R$18:$R$23,$T$18:$T$23)*Tabla22[[#This Row],[Base price2]]*Tabla22[[#This Row],[Req.2]]*Tabla22[[#This Row],[QualityBonus]],0)</f>
        <v>0</v>
      </c>
      <c r="M158" s="74">
        <f>IFERROR((Tabla22[[#This Row],[Base price1]]-LOOKUP(Tabla22[[#This Row],[Product]],$R$18:$R$23,$S$18:$S$23))*Tabla22[[#This Row],[Req.]],0)</f>
        <v>0</v>
      </c>
      <c r="N158" s="79">
        <f>IF(Tabla22[[#This Row],[Req.2]]&gt;0,(Tabla22[[#This Row],[Base price2]]-LOOKUP(Tabla22[[#This Row],[Product2]],$R$18:$R$23,$S$18:$S$23))*Tabla22[[#This Row],[Req.2]],0)</f>
        <v>0</v>
      </c>
      <c r="O158" s="73">
        <f>SUM(Tabla22[[#This Row],[Bonus1]:[p2]])</f>
        <v>0</v>
      </c>
      <c r="P158" s="73" t="str">
        <f>IF(Tabla22[[#This Row],[QualityBonus]]&gt;0,Tabla22[[#This Row],[No wages]]-$C$4,"")</f>
        <v/>
      </c>
    </row>
    <row r="159" spans="1:16" x14ac:dyDescent="0.25">
      <c r="A159" s="13">
        <v>143</v>
      </c>
      <c r="B159" s="13"/>
      <c r="C159" s="66"/>
      <c r="D159" s="2"/>
      <c r="E159" s="73"/>
      <c r="G159" s="2"/>
      <c r="H159" s="73"/>
      <c r="I159" s="5"/>
      <c r="J159" s="74">
        <f>Tabla22[[#This Row],[Base price1]]*Tabla22[[#This Row],[Req.]]+Tabla22[[#This Row],[Base price2]]*Tabla22[[#This Row],[Req.2]]</f>
        <v>0</v>
      </c>
      <c r="K159" s="73">
        <f>IFERROR(LOOKUP(Tabla22[[#This Row],[Product]],$R$18:$R$23,$T$18:$T$23)*Tabla22[[#This Row],[QualityBonus]]*Tabla22[[#This Row],[Base price1]]*Tabla22[[#This Row],[Req.]],0)</f>
        <v>0</v>
      </c>
      <c r="L159" s="73">
        <f>IF(Tabla22[[#This Row],[Req.2]]&gt;0,LOOKUP(Tabla22[[#This Row],[Product2]],$R$18:$R$23,$T$18:$T$23)*Tabla22[[#This Row],[Base price2]]*Tabla22[[#This Row],[Req.2]]*Tabla22[[#This Row],[QualityBonus]],0)</f>
        <v>0</v>
      </c>
      <c r="M159" s="74">
        <f>IFERROR((Tabla22[[#This Row],[Base price1]]-LOOKUP(Tabla22[[#This Row],[Product]],$R$18:$R$23,$S$18:$S$23))*Tabla22[[#This Row],[Req.]],0)</f>
        <v>0</v>
      </c>
      <c r="N159" s="79">
        <f>IF(Tabla22[[#This Row],[Req.2]]&gt;0,(Tabla22[[#This Row],[Base price2]]-LOOKUP(Tabla22[[#This Row],[Product2]],$R$18:$R$23,$S$18:$S$23))*Tabla22[[#This Row],[Req.2]],0)</f>
        <v>0</v>
      </c>
      <c r="O159" s="73">
        <f>SUM(Tabla22[[#This Row],[Bonus1]:[p2]])</f>
        <v>0</v>
      </c>
      <c r="P159" s="73" t="str">
        <f>IF(Tabla22[[#This Row],[QualityBonus]]&gt;0,Tabla22[[#This Row],[No wages]]-$C$4,"")</f>
        <v/>
      </c>
    </row>
    <row r="160" spans="1:16" x14ac:dyDescent="0.25">
      <c r="A160" s="13">
        <v>144</v>
      </c>
      <c r="B160" s="13"/>
      <c r="C160" s="66"/>
      <c r="D160" s="2"/>
      <c r="E160" s="73"/>
      <c r="G160" s="2"/>
      <c r="H160" s="73"/>
      <c r="I160" s="5"/>
      <c r="J160" s="74">
        <f>Tabla22[[#This Row],[Base price1]]*Tabla22[[#This Row],[Req.]]+Tabla22[[#This Row],[Base price2]]*Tabla22[[#This Row],[Req.2]]</f>
        <v>0</v>
      </c>
      <c r="K160" s="73">
        <f>IFERROR(LOOKUP(Tabla22[[#This Row],[Product]],$R$18:$R$23,$T$18:$T$23)*Tabla22[[#This Row],[QualityBonus]]*Tabla22[[#This Row],[Base price1]]*Tabla22[[#This Row],[Req.]],0)</f>
        <v>0</v>
      </c>
      <c r="L160" s="73">
        <f>IF(Tabla22[[#This Row],[Req.2]]&gt;0,LOOKUP(Tabla22[[#This Row],[Product2]],$R$18:$R$23,$T$18:$T$23)*Tabla22[[#This Row],[Base price2]]*Tabla22[[#This Row],[Req.2]]*Tabla22[[#This Row],[QualityBonus]],0)</f>
        <v>0</v>
      </c>
      <c r="M160" s="74">
        <f>IFERROR((Tabla22[[#This Row],[Base price1]]-LOOKUP(Tabla22[[#This Row],[Product]],$R$18:$R$23,$S$18:$S$23))*Tabla22[[#This Row],[Req.]],0)</f>
        <v>0</v>
      </c>
      <c r="N160" s="79">
        <f>IF(Tabla22[[#This Row],[Req.2]]&gt;0,(Tabla22[[#This Row],[Base price2]]-LOOKUP(Tabla22[[#This Row],[Product2]],$R$18:$R$23,$S$18:$S$23))*Tabla22[[#This Row],[Req.2]],0)</f>
        <v>0</v>
      </c>
      <c r="O160" s="73">
        <f>SUM(Tabla22[[#This Row],[Bonus1]:[p2]])</f>
        <v>0</v>
      </c>
      <c r="P160" s="73" t="str">
        <f>IF(Tabla22[[#This Row],[QualityBonus]]&gt;0,Tabla22[[#This Row],[No wages]]-$C$4,"")</f>
        <v/>
      </c>
    </row>
    <row r="161" spans="1:16" x14ac:dyDescent="0.25">
      <c r="A161" s="13">
        <v>145</v>
      </c>
      <c r="B161" s="13"/>
      <c r="C161" s="66"/>
      <c r="D161" s="2"/>
      <c r="E161" s="73"/>
      <c r="G161" s="2"/>
      <c r="H161" s="73"/>
      <c r="I161" s="5"/>
      <c r="J161" s="74">
        <f>Tabla22[[#This Row],[Base price1]]*Tabla22[[#This Row],[Req.]]+Tabla22[[#This Row],[Base price2]]*Tabla22[[#This Row],[Req.2]]</f>
        <v>0</v>
      </c>
      <c r="K161" s="73">
        <f>IFERROR(LOOKUP(Tabla22[[#This Row],[Product]],$R$18:$R$23,$T$18:$T$23)*Tabla22[[#This Row],[QualityBonus]]*Tabla22[[#This Row],[Base price1]]*Tabla22[[#This Row],[Req.]],0)</f>
        <v>0</v>
      </c>
      <c r="L161" s="73">
        <f>IF(Tabla22[[#This Row],[Req.2]]&gt;0,LOOKUP(Tabla22[[#This Row],[Product2]],$R$18:$R$23,$T$18:$T$23)*Tabla22[[#This Row],[Base price2]]*Tabla22[[#This Row],[Req.2]]*Tabla22[[#This Row],[QualityBonus]],0)</f>
        <v>0</v>
      </c>
      <c r="M161" s="74">
        <f>IFERROR((Tabla22[[#This Row],[Base price1]]-LOOKUP(Tabla22[[#This Row],[Product]],$R$18:$R$23,$S$18:$S$23))*Tabla22[[#This Row],[Req.]],0)</f>
        <v>0</v>
      </c>
      <c r="N161" s="79">
        <f>IF(Tabla22[[#This Row],[Req.2]]&gt;0,(Tabla22[[#This Row],[Base price2]]-LOOKUP(Tabla22[[#This Row],[Product2]],$R$18:$R$23,$S$18:$S$23))*Tabla22[[#This Row],[Req.2]],0)</f>
        <v>0</v>
      </c>
      <c r="O161" s="73">
        <f>SUM(Tabla22[[#This Row],[Bonus1]:[p2]])</f>
        <v>0</v>
      </c>
      <c r="P161" s="73" t="str">
        <f>IF(Tabla22[[#This Row],[QualityBonus]]&gt;0,Tabla22[[#This Row],[No wages]]-$C$4,"")</f>
        <v/>
      </c>
    </row>
    <row r="162" spans="1:16" x14ac:dyDescent="0.25">
      <c r="A162" s="13">
        <v>146</v>
      </c>
      <c r="B162" s="13"/>
      <c r="C162" s="66"/>
      <c r="D162" s="2"/>
      <c r="E162" s="73"/>
      <c r="G162" s="2"/>
      <c r="H162" s="73"/>
      <c r="I162" s="5"/>
      <c r="J162" s="74">
        <f>Tabla22[[#This Row],[Base price1]]*Tabla22[[#This Row],[Req.]]+Tabla22[[#This Row],[Base price2]]*Tabla22[[#This Row],[Req.2]]</f>
        <v>0</v>
      </c>
      <c r="K162" s="73">
        <f>IFERROR(LOOKUP(Tabla22[[#This Row],[Product]],$R$18:$R$23,$T$18:$T$23)*Tabla22[[#This Row],[QualityBonus]]*Tabla22[[#This Row],[Base price1]]*Tabla22[[#This Row],[Req.]],0)</f>
        <v>0</v>
      </c>
      <c r="L162" s="73">
        <f>IF(Tabla22[[#This Row],[Req.2]]&gt;0,LOOKUP(Tabla22[[#This Row],[Product2]],$R$18:$R$23,$T$18:$T$23)*Tabla22[[#This Row],[Base price2]]*Tabla22[[#This Row],[Req.2]]*Tabla22[[#This Row],[QualityBonus]],0)</f>
        <v>0</v>
      </c>
      <c r="M162" s="74">
        <f>IFERROR((Tabla22[[#This Row],[Base price1]]-LOOKUP(Tabla22[[#This Row],[Product]],$R$18:$R$23,$S$18:$S$23))*Tabla22[[#This Row],[Req.]],0)</f>
        <v>0</v>
      </c>
      <c r="N162" s="79">
        <f>IF(Tabla22[[#This Row],[Req.2]]&gt;0,(Tabla22[[#This Row],[Base price2]]-LOOKUP(Tabla22[[#This Row],[Product2]],$R$18:$R$23,$S$18:$S$23))*Tabla22[[#This Row],[Req.2]],0)</f>
        <v>0</v>
      </c>
      <c r="O162" s="73">
        <f>SUM(Tabla22[[#This Row],[Bonus1]:[p2]])</f>
        <v>0</v>
      </c>
      <c r="P162" s="73" t="str">
        <f>IF(Tabla22[[#This Row],[QualityBonus]]&gt;0,Tabla22[[#This Row],[No wages]]-$C$4,"")</f>
        <v/>
      </c>
    </row>
    <row r="163" spans="1:16" x14ac:dyDescent="0.25">
      <c r="A163" s="13">
        <v>147</v>
      </c>
      <c r="B163" s="13"/>
      <c r="C163" s="66"/>
      <c r="D163" s="2"/>
      <c r="E163" s="73"/>
      <c r="G163" s="2"/>
      <c r="H163" s="73"/>
      <c r="I163" s="5"/>
      <c r="J163" s="74">
        <f>Tabla22[[#This Row],[Base price1]]*Tabla22[[#This Row],[Req.]]+Tabla22[[#This Row],[Base price2]]*Tabla22[[#This Row],[Req.2]]</f>
        <v>0</v>
      </c>
      <c r="K163" s="73">
        <f>IFERROR(LOOKUP(Tabla22[[#This Row],[Product]],$R$18:$R$23,$T$18:$T$23)*Tabla22[[#This Row],[QualityBonus]]*Tabla22[[#This Row],[Base price1]]*Tabla22[[#This Row],[Req.]],0)</f>
        <v>0</v>
      </c>
      <c r="L163" s="73">
        <f>IF(Tabla22[[#This Row],[Req.2]]&gt;0,LOOKUP(Tabla22[[#This Row],[Product2]],$R$18:$R$23,$T$18:$T$23)*Tabla22[[#This Row],[Base price2]]*Tabla22[[#This Row],[Req.2]]*Tabla22[[#This Row],[QualityBonus]],0)</f>
        <v>0</v>
      </c>
      <c r="M163" s="74">
        <f>IFERROR((Tabla22[[#This Row],[Base price1]]-LOOKUP(Tabla22[[#This Row],[Product]],$R$18:$R$23,$S$18:$S$23))*Tabla22[[#This Row],[Req.]],0)</f>
        <v>0</v>
      </c>
      <c r="N163" s="79">
        <f>IF(Tabla22[[#This Row],[Req.2]]&gt;0,(Tabla22[[#This Row],[Base price2]]-LOOKUP(Tabla22[[#This Row],[Product2]],$R$18:$R$23,$S$18:$S$23))*Tabla22[[#This Row],[Req.2]],0)</f>
        <v>0</v>
      </c>
      <c r="O163" s="73">
        <f>SUM(Tabla22[[#This Row],[Bonus1]:[p2]])</f>
        <v>0</v>
      </c>
      <c r="P163" s="73" t="str">
        <f>IF(Tabla22[[#This Row],[QualityBonus]]&gt;0,Tabla22[[#This Row],[No wages]]-$C$4,"")</f>
        <v/>
      </c>
    </row>
    <row r="164" spans="1:16" x14ac:dyDescent="0.25">
      <c r="A164" s="13">
        <v>148</v>
      </c>
      <c r="B164" s="13"/>
      <c r="C164" s="66"/>
      <c r="D164" s="2"/>
      <c r="E164" s="73"/>
      <c r="G164" s="2"/>
      <c r="H164" s="73"/>
      <c r="I164" s="5"/>
      <c r="J164" s="74">
        <f>Tabla22[[#This Row],[Base price1]]*Tabla22[[#This Row],[Req.]]+Tabla22[[#This Row],[Base price2]]*Tabla22[[#This Row],[Req.2]]</f>
        <v>0</v>
      </c>
      <c r="K164" s="73">
        <f>IFERROR(LOOKUP(Tabla22[[#This Row],[Product]],$R$18:$R$23,$T$18:$T$23)*Tabla22[[#This Row],[QualityBonus]]*Tabla22[[#This Row],[Base price1]]*Tabla22[[#This Row],[Req.]],0)</f>
        <v>0</v>
      </c>
      <c r="L164" s="73">
        <f>IF(Tabla22[[#This Row],[Req.2]]&gt;0,LOOKUP(Tabla22[[#This Row],[Product2]],$R$18:$R$23,$T$18:$T$23)*Tabla22[[#This Row],[Base price2]]*Tabla22[[#This Row],[Req.2]]*Tabla22[[#This Row],[QualityBonus]],0)</f>
        <v>0</v>
      </c>
      <c r="M164" s="74">
        <f>IFERROR((Tabla22[[#This Row],[Base price1]]-LOOKUP(Tabla22[[#This Row],[Product]],$R$18:$R$23,$S$18:$S$23))*Tabla22[[#This Row],[Req.]],0)</f>
        <v>0</v>
      </c>
      <c r="N164" s="79">
        <f>IF(Tabla22[[#This Row],[Req.2]]&gt;0,(Tabla22[[#This Row],[Base price2]]-LOOKUP(Tabla22[[#This Row],[Product2]],$R$18:$R$23,$S$18:$S$23))*Tabla22[[#This Row],[Req.2]],0)</f>
        <v>0</v>
      </c>
      <c r="O164" s="73">
        <f>SUM(Tabla22[[#This Row],[Bonus1]:[p2]])</f>
        <v>0</v>
      </c>
      <c r="P164" s="73" t="str">
        <f>IF(Tabla22[[#This Row],[QualityBonus]]&gt;0,Tabla22[[#This Row],[No wages]]-$C$4,"")</f>
        <v/>
      </c>
    </row>
    <row r="165" spans="1:16" x14ac:dyDescent="0.25">
      <c r="A165" s="13">
        <v>149</v>
      </c>
      <c r="B165" s="13"/>
      <c r="C165" s="66"/>
      <c r="D165" s="2"/>
      <c r="E165" s="73"/>
      <c r="G165" s="2"/>
      <c r="H165" s="73"/>
      <c r="I165" s="5"/>
      <c r="J165" s="74">
        <f>Tabla22[[#This Row],[Base price1]]*Tabla22[[#This Row],[Req.]]+Tabla22[[#This Row],[Base price2]]*Tabla22[[#This Row],[Req.2]]</f>
        <v>0</v>
      </c>
      <c r="K165" s="73">
        <f>IFERROR(LOOKUP(Tabla22[[#This Row],[Product]],$R$18:$R$23,$T$18:$T$23)*Tabla22[[#This Row],[QualityBonus]]*Tabla22[[#This Row],[Base price1]]*Tabla22[[#This Row],[Req.]],0)</f>
        <v>0</v>
      </c>
      <c r="L165" s="73">
        <f>IF(Tabla22[[#This Row],[Req.2]]&gt;0,LOOKUP(Tabla22[[#This Row],[Product2]],$R$18:$R$23,$T$18:$T$23)*Tabla22[[#This Row],[Base price2]]*Tabla22[[#This Row],[Req.2]]*Tabla22[[#This Row],[QualityBonus]],0)</f>
        <v>0</v>
      </c>
      <c r="M165" s="74">
        <f>IFERROR((Tabla22[[#This Row],[Base price1]]-LOOKUP(Tabla22[[#This Row],[Product]],$R$18:$R$23,$S$18:$S$23))*Tabla22[[#This Row],[Req.]],0)</f>
        <v>0</v>
      </c>
      <c r="N165" s="79">
        <f>IF(Tabla22[[#This Row],[Req.2]]&gt;0,(Tabla22[[#This Row],[Base price2]]-LOOKUP(Tabla22[[#This Row],[Product2]],$R$18:$R$23,$S$18:$S$23))*Tabla22[[#This Row],[Req.2]],0)</f>
        <v>0</v>
      </c>
      <c r="O165" s="73">
        <f>SUM(Tabla22[[#This Row],[Bonus1]:[p2]])</f>
        <v>0</v>
      </c>
      <c r="P165" s="73" t="str">
        <f>IF(Tabla22[[#This Row],[QualityBonus]]&gt;0,Tabla22[[#This Row],[No wages]]-$C$4,"")</f>
        <v/>
      </c>
    </row>
    <row r="166" spans="1:16" x14ac:dyDescent="0.25">
      <c r="A166" s="13">
        <v>150</v>
      </c>
      <c r="B166" s="13"/>
      <c r="C166" s="66"/>
      <c r="D166" s="2"/>
      <c r="E166" s="73"/>
      <c r="G166" s="2"/>
      <c r="H166" s="73"/>
      <c r="I166" s="5"/>
      <c r="J166" s="74">
        <f>Tabla22[[#This Row],[Base price1]]*Tabla22[[#This Row],[Req.]]+Tabla22[[#This Row],[Base price2]]*Tabla22[[#This Row],[Req.2]]</f>
        <v>0</v>
      </c>
      <c r="K166" s="73">
        <f>IFERROR(LOOKUP(Tabla22[[#This Row],[Product]],$R$18:$R$23,$T$18:$T$23)*Tabla22[[#This Row],[QualityBonus]]*Tabla22[[#This Row],[Base price1]]*Tabla22[[#This Row],[Req.]],0)</f>
        <v>0</v>
      </c>
      <c r="L166" s="73">
        <f>IF(Tabla22[[#This Row],[Req.2]]&gt;0,LOOKUP(Tabla22[[#This Row],[Product2]],$R$18:$R$23,$T$18:$T$23)*Tabla22[[#This Row],[Base price2]]*Tabla22[[#This Row],[Req.2]]*Tabla22[[#This Row],[QualityBonus]],0)</f>
        <v>0</v>
      </c>
      <c r="M166" s="74">
        <f>IFERROR((Tabla22[[#This Row],[Base price1]]-LOOKUP(Tabla22[[#This Row],[Product]],$R$18:$R$23,$S$18:$S$23))*Tabla22[[#This Row],[Req.]],0)</f>
        <v>0</v>
      </c>
      <c r="N166" s="79">
        <f>IF(Tabla22[[#This Row],[Req.2]]&gt;0,(Tabla22[[#This Row],[Base price2]]-LOOKUP(Tabla22[[#This Row],[Product2]],$R$18:$R$23,$S$18:$S$23))*Tabla22[[#This Row],[Req.2]],0)</f>
        <v>0</v>
      </c>
      <c r="O166" s="73">
        <f>SUM(Tabla22[[#This Row],[Bonus1]:[p2]])</f>
        <v>0</v>
      </c>
      <c r="P166" s="73" t="str">
        <f>IF(Tabla22[[#This Row],[QualityBonus]]&gt;0,Tabla22[[#This Row],[No wages]]-$C$4,"")</f>
        <v/>
      </c>
    </row>
    <row r="167" spans="1:16" x14ac:dyDescent="0.25">
      <c r="A167" s="13">
        <v>151</v>
      </c>
      <c r="B167" s="13"/>
      <c r="C167" s="66"/>
      <c r="D167" s="2"/>
      <c r="E167" s="73"/>
      <c r="G167" s="2"/>
      <c r="H167" s="73"/>
      <c r="I167" s="5"/>
      <c r="J167" s="74">
        <f>Tabla22[[#This Row],[Base price1]]*Tabla22[[#This Row],[Req.]]+Tabla22[[#This Row],[Base price2]]*Tabla22[[#This Row],[Req.2]]</f>
        <v>0</v>
      </c>
      <c r="K167" s="73">
        <f>IFERROR(LOOKUP(Tabla22[[#This Row],[Product]],$R$18:$R$23,$T$18:$T$23)*Tabla22[[#This Row],[QualityBonus]]*Tabla22[[#This Row],[Base price1]]*Tabla22[[#This Row],[Req.]],0)</f>
        <v>0</v>
      </c>
      <c r="L167" s="73">
        <f>IF(Tabla22[[#This Row],[Req.2]]&gt;0,LOOKUP(Tabla22[[#This Row],[Product2]],$R$18:$R$23,$T$18:$T$23)*Tabla22[[#This Row],[Base price2]]*Tabla22[[#This Row],[Req.2]]*Tabla22[[#This Row],[QualityBonus]],0)</f>
        <v>0</v>
      </c>
      <c r="M167" s="74">
        <f>IFERROR((Tabla22[[#This Row],[Base price1]]-LOOKUP(Tabla22[[#This Row],[Product]],$R$18:$R$23,$S$18:$S$23))*Tabla22[[#This Row],[Req.]],0)</f>
        <v>0</v>
      </c>
      <c r="N167" s="79">
        <f>IF(Tabla22[[#This Row],[Req.2]]&gt;0,(Tabla22[[#This Row],[Base price2]]-LOOKUP(Tabla22[[#This Row],[Product2]],$R$18:$R$23,$S$18:$S$23))*Tabla22[[#This Row],[Req.2]],0)</f>
        <v>0</v>
      </c>
      <c r="O167" s="73">
        <f>SUM(Tabla22[[#This Row],[Bonus1]:[p2]])</f>
        <v>0</v>
      </c>
      <c r="P167" s="73" t="str">
        <f>IF(Tabla22[[#This Row],[QualityBonus]]&gt;0,Tabla22[[#This Row],[No wages]]-$C$4,"")</f>
        <v/>
      </c>
    </row>
    <row r="168" spans="1:16" x14ac:dyDescent="0.25">
      <c r="A168" s="13">
        <v>152</v>
      </c>
      <c r="B168" s="13"/>
      <c r="C168" s="66"/>
      <c r="D168" s="2"/>
      <c r="E168" s="73"/>
      <c r="G168" s="2"/>
      <c r="H168" s="73"/>
      <c r="I168" s="5"/>
      <c r="J168" s="74">
        <f>Tabla22[[#This Row],[Base price1]]*Tabla22[[#This Row],[Req.]]+Tabla22[[#This Row],[Base price2]]*Tabla22[[#This Row],[Req.2]]</f>
        <v>0</v>
      </c>
      <c r="K168" s="73">
        <f>IFERROR(LOOKUP(Tabla22[[#This Row],[Product]],$R$18:$R$23,$T$18:$T$23)*Tabla22[[#This Row],[QualityBonus]]*Tabla22[[#This Row],[Base price1]]*Tabla22[[#This Row],[Req.]],0)</f>
        <v>0</v>
      </c>
      <c r="L168" s="73">
        <f>IF(Tabla22[[#This Row],[Req.2]]&gt;0,LOOKUP(Tabla22[[#This Row],[Product2]],$R$18:$R$23,$T$18:$T$23)*Tabla22[[#This Row],[Base price2]]*Tabla22[[#This Row],[Req.2]]*Tabla22[[#This Row],[QualityBonus]],0)</f>
        <v>0</v>
      </c>
      <c r="M168" s="74">
        <f>IFERROR((Tabla22[[#This Row],[Base price1]]-LOOKUP(Tabla22[[#This Row],[Product]],$R$18:$R$23,$S$18:$S$23))*Tabla22[[#This Row],[Req.]],0)</f>
        <v>0</v>
      </c>
      <c r="N168" s="79">
        <f>IF(Tabla22[[#This Row],[Req.2]]&gt;0,(Tabla22[[#This Row],[Base price2]]-LOOKUP(Tabla22[[#This Row],[Product2]],$R$18:$R$23,$S$18:$S$23))*Tabla22[[#This Row],[Req.2]],0)</f>
        <v>0</v>
      </c>
      <c r="O168" s="73">
        <f>SUM(Tabla22[[#This Row],[Bonus1]:[p2]])</f>
        <v>0</v>
      </c>
      <c r="P168" s="73" t="str">
        <f>IF(Tabla22[[#This Row],[QualityBonus]]&gt;0,Tabla22[[#This Row],[No wages]]-$C$4,"")</f>
        <v/>
      </c>
    </row>
    <row r="169" spans="1:16" x14ac:dyDescent="0.25">
      <c r="A169" s="13">
        <v>153</v>
      </c>
      <c r="B169" s="13"/>
      <c r="C169" s="66"/>
      <c r="D169" s="2"/>
      <c r="E169" s="73"/>
      <c r="G169" s="2"/>
      <c r="H169" s="73"/>
      <c r="I169" s="5"/>
      <c r="J169" s="74">
        <f>Tabla22[[#This Row],[Base price1]]*Tabla22[[#This Row],[Req.]]+Tabla22[[#This Row],[Base price2]]*Tabla22[[#This Row],[Req.2]]</f>
        <v>0</v>
      </c>
      <c r="K169" s="73">
        <f>IFERROR(LOOKUP(Tabla22[[#This Row],[Product]],$R$18:$R$23,$T$18:$T$23)*Tabla22[[#This Row],[QualityBonus]]*Tabla22[[#This Row],[Base price1]]*Tabla22[[#This Row],[Req.]],0)</f>
        <v>0</v>
      </c>
      <c r="L169" s="73">
        <f>IF(Tabla22[[#This Row],[Req.2]]&gt;0,LOOKUP(Tabla22[[#This Row],[Product2]],$R$18:$R$23,$T$18:$T$23)*Tabla22[[#This Row],[Base price2]]*Tabla22[[#This Row],[Req.2]]*Tabla22[[#This Row],[QualityBonus]],0)</f>
        <v>0</v>
      </c>
      <c r="M169" s="74">
        <f>IFERROR((Tabla22[[#This Row],[Base price1]]-LOOKUP(Tabla22[[#This Row],[Product]],$R$18:$R$23,$S$18:$S$23))*Tabla22[[#This Row],[Req.]],0)</f>
        <v>0</v>
      </c>
      <c r="N169" s="79">
        <f>IF(Tabla22[[#This Row],[Req.2]]&gt;0,(Tabla22[[#This Row],[Base price2]]-LOOKUP(Tabla22[[#This Row],[Product2]],$R$18:$R$23,$S$18:$S$23))*Tabla22[[#This Row],[Req.2]],0)</f>
        <v>0</v>
      </c>
      <c r="O169" s="73">
        <f>SUM(Tabla22[[#This Row],[Bonus1]:[p2]])</f>
        <v>0</v>
      </c>
      <c r="P169" s="73" t="str">
        <f>IF(Tabla22[[#This Row],[QualityBonus]]&gt;0,Tabla22[[#This Row],[No wages]]-$C$4,"")</f>
        <v/>
      </c>
    </row>
    <row r="170" spans="1:16" x14ac:dyDescent="0.25">
      <c r="A170" s="13">
        <v>154</v>
      </c>
      <c r="B170" s="13"/>
      <c r="C170" s="66"/>
      <c r="D170" s="2"/>
      <c r="E170" s="73"/>
      <c r="G170" s="2"/>
      <c r="H170" s="73"/>
      <c r="I170" s="5"/>
      <c r="J170" s="74">
        <f>Tabla22[[#This Row],[Base price1]]*Tabla22[[#This Row],[Req.]]+Tabla22[[#This Row],[Base price2]]*Tabla22[[#This Row],[Req.2]]</f>
        <v>0</v>
      </c>
      <c r="K170" s="73">
        <f>IFERROR(LOOKUP(Tabla22[[#This Row],[Product]],$R$18:$R$23,$T$18:$T$23)*Tabla22[[#This Row],[QualityBonus]]*Tabla22[[#This Row],[Base price1]]*Tabla22[[#This Row],[Req.]],0)</f>
        <v>0</v>
      </c>
      <c r="L170" s="73">
        <f>IF(Tabla22[[#This Row],[Req.2]]&gt;0,LOOKUP(Tabla22[[#This Row],[Product2]],$R$18:$R$23,$T$18:$T$23)*Tabla22[[#This Row],[Base price2]]*Tabla22[[#This Row],[Req.2]]*Tabla22[[#This Row],[QualityBonus]],0)</f>
        <v>0</v>
      </c>
      <c r="M170" s="74">
        <f>IFERROR((Tabla22[[#This Row],[Base price1]]-LOOKUP(Tabla22[[#This Row],[Product]],$R$18:$R$23,$S$18:$S$23))*Tabla22[[#This Row],[Req.]],0)</f>
        <v>0</v>
      </c>
      <c r="N170" s="79">
        <f>IF(Tabla22[[#This Row],[Req.2]]&gt;0,(Tabla22[[#This Row],[Base price2]]-LOOKUP(Tabla22[[#This Row],[Product2]],$R$18:$R$23,$S$18:$S$23))*Tabla22[[#This Row],[Req.2]],0)</f>
        <v>0</v>
      </c>
      <c r="O170" s="73">
        <f>SUM(Tabla22[[#This Row],[Bonus1]:[p2]])</f>
        <v>0</v>
      </c>
      <c r="P170" s="73" t="str">
        <f>IF(Tabla22[[#This Row],[QualityBonus]]&gt;0,Tabla22[[#This Row],[No wages]]-$C$4,"")</f>
        <v/>
      </c>
    </row>
    <row r="171" spans="1:16" x14ac:dyDescent="0.25">
      <c r="A171" s="13">
        <v>155</v>
      </c>
      <c r="B171" s="13"/>
      <c r="C171" s="66"/>
      <c r="D171" s="2"/>
      <c r="E171" s="73"/>
      <c r="G171" s="2"/>
      <c r="H171" s="73"/>
      <c r="I171" s="5"/>
      <c r="J171" s="74">
        <f>Tabla22[[#This Row],[Base price1]]*Tabla22[[#This Row],[Req.]]+Tabla22[[#This Row],[Base price2]]*Tabla22[[#This Row],[Req.2]]</f>
        <v>0</v>
      </c>
      <c r="K171" s="73">
        <f>IFERROR(LOOKUP(Tabla22[[#This Row],[Product]],$R$18:$R$23,$T$18:$T$23)*Tabla22[[#This Row],[QualityBonus]]*Tabla22[[#This Row],[Base price1]]*Tabla22[[#This Row],[Req.]],0)</f>
        <v>0</v>
      </c>
      <c r="L171" s="73">
        <f>IF(Tabla22[[#This Row],[Req.2]]&gt;0,LOOKUP(Tabla22[[#This Row],[Product2]],$R$18:$R$23,$T$18:$T$23)*Tabla22[[#This Row],[Base price2]]*Tabla22[[#This Row],[Req.2]]*Tabla22[[#This Row],[QualityBonus]],0)</f>
        <v>0</v>
      </c>
      <c r="M171" s="74">
        <f>IFERROR((Tabla22[[#This Row],[Base price1]]-LOOKUP(Tabla22[[#This Row],[Product]],$R$18:$R$23,$S$18:$S$23))*Tabla22[[#This Row],[Req.]],0)</f>
        <v>0</v>
      </c>
      <c r="N171" s="79">
        <f>IF(Tabla22[[#This Row],[Req.2]]&gt;0,(Tabla22[[#This Row],[Base price2]]-LOOKUP(Tabla22[[#This Row],[Product2]],$R$18:$R$23,$S$18:$S$23))*Tabla22[[#This Row],[Req.2]],0)</f>
        <v>0</v>
      </c>
      <c r="O171" s="73">
        <f>SUM(Tabla22[[#This Row],[Bonus1]:[p2]])</f>
        <v>0</v>
      </c>
      <c r="P171" s="73" t="str">
        <f>IF(Tabla22[[#This Row],[QualityBonus]]&gt;0,Tabla22[[#This Row],[No wages]]-$C$4,"")</f>
        <v/>
      </c>
    </row>
    <row r="172" spans="1:16" x14ac:dyDescent="0.25">
      <c r="A172" s="13">
        <v>156</v>
      </c>
      <c r="B172" s="13"/>
      <c r="C172" s="66"/>
      <c r="D172" s="2"/>
      <c r="E172" s="73"/>
      <c r="G172" s="2"/>
      <c r="H172" s="73"/>
      <c r="I172" s="5"/>
      <c r="J172" s="74">
        <f>Tabla22[[#This Row],[Base price1]]*Tabla22[[#This Row],[Req.]]+Tabla22[[#This Row],[Base price2]]*Tabla22[[#This Row],[Req.2]]</f>
        <v>0</v>
      </c>
      <c r="K172" s="73">
        <f>IFERROR(LOOKUP(Tabla22[[#This Row],[Product]],$R$18:$R$23,$T$18:$T$23)*Tabla22[[#This Row],[QualityBonus]]*Tabla22[[#This Row],[Base price1]]*Tabla22[[#This Row],[Req.]],0)</f>
        <v>0</v>
      </c>
      <c r="L172" s="73">
        <f>IF(Tabla22[[#This Row],[Req.2]]&gt;0,LOOKUP(Tabla22[[#This Row],[Product2]],$R$18:$R$23,$T$18:$T$23)*Tabla22[[#This Row],[Base price2]]*Tabla22[[#This Row],[Req.2]]*Tabla22[[#This Row],[QualityBonus]],0)</f>
        <v>0</v>
      </c>
      <c r="M172" s="74">
        <f>IFERROR((Tabla22[[#This Row],[Base price1]]-LOOKUP(Tabla22[[#This Row],[Product]],$R$18:$R$23,$S$18:$S$23))*Tabla22[[#This Row],[Req.]],0)</f>
        <v>0</v>
      </c>
      <c r="N172" s="79">
        <f>IF(Tabla22[[#This Row],[Req.2]]&gt;0,(Tabla22[[#This Row],[Base price2]]-LOOKUP(Tabla22[[#This Row],[Product2]],$R$18:$R$23,$S$18:$S$23))*Tabla22[[#This Row],[Req.2]],0)</f>
        <v>0</v>
      </c>
      <c r="O172" s="73">
        <f>SUM(Tabla22[[#This Row],[Bonus1]:[p2]])</f>
        <v>0</v>
      </c>
      <c r="P172" s="73" t="str">
        <f>IF(Tabla22[[#This Row],[QualityBonus]]&gt;0,Tabla22[[#This Row],[No wages]]-$C$4,"")</f>
        <v/>
      </c>
    </row>
    <row r="173" spans="1:16" x14ac:dyDescent="0.25">
      <c r="A173" s="13">
        <v>157</v>
      </c>
      <c r="B173" s="13"/>
      <c r="C173" s="66"/>
      <c r="D173" s="2"/>
      <c r="E173" s="73"/>
      <c r="G173" s="2"/>
      <c r="H173" s="73"/>
      <c r="I173" s="5"/>
      <c r="J173" s="74">
        <f>Tabla22[[#This Row],[Base price1]]*Tabla22[[#This Row],[Req.]]+Tabla22[[#This Row],[Base price2]]*Tabla22[[#This Row],[Req.2]]</f>
        <v>0</v>
      </c>
      <c r="K173" s="73">
        <f>IFERROR(LOOKUP(Tabla22[[#This Row],[Product]],$R$18:$R$23,$T$18:$T$23)*Tabla22[[#This Row],[QualityBonus]]*Tabla22[[#This Row],[Base price1]]*Tabla22[[#This Row],[Req.]],0)</f>
        <v>0</v>
      </c>
      <c r="L173" s="73">
        <f>IF(Tabla22[[#This Row],[Req.2]]&gt;0,LOOKUP(Tabla22[[#This Row],[Product2]],$R$18:$R$23,$T$18:$T$23)*Tabla22[[#This Row],[Base price2]]*Tabla22[[#This Row],[Req.2]]*Tabla22[[#This Row],[QualityBonus]],0)</f>
        <v>0</v>
      </c>
      <c r="M173" s="74">
        <f>IFERROR((Tabla22[[#This Row],[Base price1]]-LOOKUP(Tabla22[[#This Row],[Product]],$R$18:$R$23,$S$18:$S$23))*Tabla22[[#This Row],[Req.]],0)</f>
        <v>0</v>
      </c>
      <c r="N173" s="79">
        <f>IF(Tabla22[[#This Row],[Req.2]]&gt;0,(Tabla22[[#This Row],[Base price2]]-LOOKUP(Tabla22[[#This Row],[Product2]],$R$18:$R$23,$S$18:$S$23))*Tabla22[[#This Row],[Req.2]],0)</f>
        <v>0</v>
      </c>
      <c r="O173" s="73">
        <f>SUM(Tabla22[[#This Row],[Bonus1]:[p2]])</f>
        <v>0</v>
      </c>
      <c r="P173" s="73" t="str">
        <f>IF(Tabla22[[#This Row],[QualityBonus]]&gt;0,Tabla22[[#This Row],[No wages]]-$C$4,"")</f>
        <v/>
      </c>
    </row>
    <row r="174" spans="1:16" x14ac:dyDescent="0.25">
      <c r="A174" s="13">
        <v>158</v>
      </c>
      <c r="B174" s="13"/>
      <c r="C174" s="66"/>
      <c r="D174" s="2"/>
      <c r="E174" s="73"/>
      <c r="G174" s="2"/>
      <c r="H174" s="73"/>
      <c r="I174" s="5"/>
      <c r="J174" s="74">
        <f>Tabla22[[#This Row],[Base price1]]*Tabla22[[#This Row],[Req.]]+Tabla22[[#This Row],[Base price2]]*Tabla22[[#This Row],[Req.2]]</f>
        <v>0</v>
      </c>
      <c r="K174" s="73">
        <f>IFERROR(LOOKUP(Tabla22[[#This Row],[Product]],$R$18:$R$23,$T$18:$T$23)*Tabla22[[#This Row],[QualityBonus]]*Tabla22[[#This Row],[Base price1]]*Tabla22[[#This Row],[Req.]],0)</f>
        <v>0</v>
      </c>
      <c r="L174" s="73">
        <f>IF(Tabla22[[#This Row],[Req.2]]&gt;0,LOOKUP(Tabla22[[#This Row],[Product2]],$R$18:$R$23,$T$18:$T$23)*Tabla22[[#This Row],[Base price2]]*Tabla22[[#This Row],[Req.2]]*Tabla22[[#This Row],[QualityBonus]],0)</f>
        <v>0</v>
      </c>
      <c r="M174" s="74">
        <f>IFERROR((Tabla22[[#This Row],[Base price1]]-LOOKUP(Tabla22[[#This Row],[Product]],$R$18:$R$23,$S$18:$S$23))*Tabla22[[#This Row],[Req.]],0)</f>
        <v>0</v>
      </c>
      <c r="N174" s="79">
        <f>IF(Tabla22[[#This Row],[Req.2]]&gt;0,(Tabla22[[#This Row],[Base price2]]-LOOKUP(Tabla22[[#This Row],[Product2]],$R$18:$R$23,$S$18:$S$23))*Tabla22[[#This Row],[Req.2]],0)</f>
        <v>0</v>
      </c>
      <c r="O174" s="73">
        <f>SUM(Tabla22[[#This Row],[Bonus1]:[p2]])</f>
        <v>0</v>
      </c>
      <c r="P174" s="73" t="str">
        <f>IF(Tabla22[[#This Row],[QualityBonus]]&gt;0,Tabla22[[#This Row],[No wages]]-$C$4,"")</f>
        <v/>
      </c>
    </row>
    <row r="175" spans="1:16" x14ac:dyDescent="0.25">
      <c r="A175" s="13">
        <v>159</v>
      </c>
      <c r="B175" s="13"/>
      <c r="C175" s="66"/>
      <c r="D175" s="2"/>
      <c r="E175" s="73"/>
      <c r="G175" s="2"/>
      <c r="H175" s="73"/>
      <c r="I175" s="5"/>
      <c r="J175" s="74">
        <f>Tabla22[[#This Row],[Base price1]]*Tabla22[[#This Row],[Req.]]+Tabla22[[#This Row],[Base price2]]*Tabla22[[#This Row],[Req.2]]</f>
        <v>0</v>
      </c>
      <c r="K175" s="73">
        <f>IFERROR(LOOKUP(Tabla22[[#This Row],[Product]],$R$18:$R$23,$T$18:$T$23)*Tabla22[[#This Row],[QualityBonus]]*Tabla22[[#This Row],[Base price1]]*Tabla22[[#This Row],[Req.]],0)</f>
        <v>0</v>
      </c>
      <c r="L175" s="73">
        <f>IF(Tabla22[[#This Row],[Req.2]]&gt;0,LOOKUP(Tabla22[[#This Row],[Product2]],$R$18:$R$23,$T$18:$T$23)*Tabla22[[#This Row],[Base price2]]*Tabla22[[#This Row],[Req.2]]*Tabla22[[#This Row],[QualityBonus]],0)</f>
        <v>0</v>
      </c>
      <c r="M175" s="74">
        <f>IFERROR((Tabla22[[#This Row],[Base price1]]-LOOKUP(Tabla22[[#This Row],[Product]],$R$18:$R$23,$S$18:$S$23))*Tabla22[[#This Row],[Req.]],0)</f>
        <v>0</v>
      </c>
      <c r="N175" s="79">
        <f>IF(Tabla22[[#This Row],[Req.2]]&gt;0,(Tabla22[[#This Row],[Base price2]]-LOOKUP(Tabla22[[#This Row],[Product2]],$R$18:$R$23,$S$18:$S$23))*Tabla22[[#This Row],[Req.2]],0)</f>
        <v>0</v>
      </c>
      <c r="O175" s="73">
        <f>SUM(Tabla22[[#This Row],[Bonus1]:[p2]])</f>
        <v>0</v>
      </c>
      <c r="P175" s="73" t="str">
        <f>IF(Tabla22[[#This Row],[QualityBonus]]&gt;0,Tabla22[[#This Row],[No wages]]-$C$4,"")</f>
        <v/>
      </c>
    </row>
    <row r="176" spans="1:16" x14ac:dyDescent="0.25">
      <c r="A176" s="13">
        <v>160</v>
      </c>
      <c r="B176" s="13"/>
      <c r="C176" s="66"/>
      <c r="D176" s="2"/>
      <c r="E176" s="73"/>
      <c r="G176" s="2"/>
      <c r="H176" s="73"/>
      <c r="I176" s="5"/>
      <c r="J176" s="74">
        <f>Tabla22[[#This Row],[Base price1]]*Tabla22[[#This Row],[Req.]]+Tabla22[[#This Row],[Base price2]]*Tabla22[[#This Row],[Req.2]]</f>
        <v>0</v>
      </c>
      <c r="K176" s="73">
        <f>IFERROR(LOOKUP(Tabla22[[#This Row],[Product]],$R$18:$R$23,$T$18:$T$23)*Tabla22[[#This Row],[QualityBonus]]*Tabla22[[#This Row],[Base price1]]*Tabla22[[#This Row],[Req.]],0)</f>
        <v>0</v>
      </c>
      <c r="L176" s="73">
        <f>IF(Tabla22[[#This Row],[Req.2]]&gt;0,LOOKUP(Tabla22[[#This Row],[Product2]],$R$18:$R$23,$T$18:$T$23)*Tabla22[[#This Row],[Base price2]]*Tabla22[[#This Row],[Req.2]]*Tabla22[[#This Row],[QualityBonus]],0)</f>
        <v>0</v>
      </c>
      <c r="M176" s="74">
        <f>IFERROR((Tabla22[[#This Row],[Base price1]]-LOOKUP(Tabla22[[#This Row],[Product]],$R$18:$R$23,$S$18:$S$23))*Tabla22[[#This Row],[Req.]],0)</f>
        <v>0</v>
      </c>
      <c r="N176" s="79">
        <f>IF(Tabla22[[#This Row],[Req.2]]&gt;0,(Tabla22[[#This Row],[Base price2]]-LOOKUP(Tabla22[[#This Row],[Product2]],$R$18:$R$23,$S$18:$S$23))*Tabla22[[#This Row],[Req.2]],0)</f>
        <v>0</v>
      </c>
      <c r="O176" s="73">
        <f>SUM(Tabla22[[#This Row],[Bonus1]:[p2]])</f>
        <v>0</v>
      </c>
      <c r="P176" s="73" t="str">
        <f>IF(Tabla22[[#This Row],[QualityBonus]]&gt;0,Tabla22[[#This Row],[No wages]]-$C$4,"")</f>
        <v/>
      </c>
    </row>
    <row r="177" spans="1:16" x14ac:dyDescent="0.25">
      <c r="A177" s="13">
        <v>161</v>
      </c>
      <c r="B177" s="13"/>
      <c r="C177" s="66"/>
      <c r="D177" s="2"/>
      <c r="E177" s="73"/>
      <c r="G177" s="2"/>
      <c r="H177" s="73"/>
      <c r="I177" s="5"/>
      <c r="J177" s="74">
        <f>Tabla22[[#This Row],[Base price1]]*Tabla22[[#This Row],[Req.]]+Tabla22[[#This Row],[Base price2]]*Tabla22[[#This Row],[Req.2]]</f>
        <v>0</v>
      </c>
      <c r="K177" s="73">
        <f>IFERROR(LOOKUP(Tabla22[[#This Row],[Product]],$R$18:$R$23,$T$18:$T$23)*Tabla22[[#This Row],[QualityBonus]]*Tabla22[[#This Row],[Base price1]]*Tabla22[[#This Row],[Req.]],0)</f>
        <v>0</v>
      </c>
      <c r="L177" s="73">
        <f>IF(Tabla22[[#This Row],[Req.2]]&gt;0,LOOKUP(Tabla22[[#This Row],[Product2]],$R$18:$R$23,$T$18:$T$23)*Tabla22[[#This Row],[Base price2]]*Tabla22[[#This Row],[Req.2]]*Tabla22[[#This Row],[QualityBonus]],0)</f>
        <v>0</v>
      </c>
      <c r="M177" s="74">
        <f>IFERROR((Tabla22[[#This Row],[Base price1]]-LOOKUP(Tabla22[[#This Row],[Product]],$R$18:$R$23,$S$18:$S$23))*Tabla22[[#This Row],[Req.]],0)</f>
        <v>0</v>
      </c>
      <c r="N177" s="79">
        <f>IF(Tabla22[[#This Row],[Req.2]]&gt;0,(Tabla22[[#This Row],[Base price2]]-LOOKUP(Tabla22[[#This Row],[Product2]],$R$18:$R$23,$S$18:$S$23))*Tabla22[[#This Row],[Req.2]],0)</f>
        <v>0</v>
      </c>
      <c r="O177" s="73">
        <f>SUM(Tabla22[[#This Row],[Bonus1]:[p2]])</f>
        <v>0</v>
      </c>
      <c r="P177" s="73" t="str">
        <f>IF(Tabla22[[#This Row],[QualityBonus]]&gt;0,Tabla22[[#This Row],[No wages]]-$C$4,"")</f>
        <v/>
      </c>
    </row>
    <row r="178" spans="1:16" x14ac:dyDescent="0.25">
      <c r="A178" s="13">
        <v>162</v>
      </c>
      <c r="B178" s="13"/>
      <c r="C178" s="66"/>
      <c r="D178" s="2"/>
      <c r="E178" s="73"/>
      <c r="G178" s="2"/>
      <c r="H178" s="73"/>
      <c r="I178" s="5"/>
      <c r="J178" s="74">
        <f>Tabla22[[#This Row],[Base price1]]*Tabla22[[#This Row],[Req.]]+Tabla22[[#This Row],[Base price2]]*Tabla22[[#This Row],[Req.2]]</f>
        <v>0</v>
      </c>
      <c r="K178" s="73">
        <f>IFERROR(LOOKUP(Tabla22[[#This Row],[Product]],$R$18:$R$23,$T$18:$T$23)*Tabla22[[#This Row],[QualityBonus]]*Tabla22[[#This Row],[Base price1]]*Tabla22[[#This Row],[Req.]],0)</f>
        <v>0</v>
      </c>
      <c r="L178" s="73">
        <f>IF(Tabla22[[#This Row],[Req.2]]&gt;0,LOOKUP(Tabla22[[#This Row],[Product2]],$R$18:$R$23,$T$18:$T$23)*Tabla22[[#This Row],[Base price2]]*Tabla22[[#This Row],[Req.2]]*Tabla22[[#This Row],[QualityBonus]],0)</f>
        <v>0</v>
      </c>
      <c r="M178" s="74">
        <f>IFERROR((Tabla22[[#This Row],[Base price1]]-LOOKUP(Tabla22[[#This Row],[Product]],$R$18:$R$23,$S$18:$S$23))*Tabla22[[#This Row],[Req.]],0)</f>
        <v>0</v>
      </c>
      <c r="N178" s="79">
        <f>IF(Tabla22[[#This Row],[Req.2]]&gt;0,(Tabla22[[#This Row],[Base price2]]-LOOKUP(Tabla22[[#This Row],[Product2]],$R$18:$R$23,$S$18:$S$23))*Tabla22[[#This Row],[Req.2]],0)</f>
        <v>0</v>
      </c>
      <c r="O178" s="73">
        <f>SUM(Tabla22[[#This Row],[Bonus1]:[p2]])</f>
        <v>0</v>
      </c>
      <c r="P178" s="73" t="str">
        <f>IF(Tabla22[[#This Row],[QualityBonus]]&gt;0,Tabla22[[#This Row],[No wages]]-$C$4,"")</f>
        <v/>
      </c>
    </row>
    <row r="179" spans="1:16" x14ac:dyDescent="0.25">
      <c r="A179" s="13">
        <v>163</v>
      </c>
      <c r="B179" s="13"/>
      <c r="C179" s="66"/>
      <c r="D179" s="2"/>
      <c r="E179" s="73"/>
      <c r="G179" s="2"/>
      <c r="H179" s="73"/>
      <c r="I179" s="5"/>
      <c r="J179" s="74">
        <f>Tabla22[[#This Row],[Base price1]]*Tabla22[[#This Row],[Req.]]+Tabla22[[#This Row],[Base price2]]*Tabla22[[#This Row],[Req.2]]</f>
        <v>0</v>
      </c>
      <c r="K179" s="73">
        <f>IFERROR(LOOKUP(Tabla22[[#This Row],[Product]],$R$18:$R$23,$T$18:$T$23)*Tabla22[[#This Row],[QualityBonus]]*Tabla22[[#This Row],[Base price1]]*Tabla22[[#This Row],[Req.]],0)</f>
        <v>0</v>
      </c>
      <c r="L179" s="73">
        <f>IF(Tabla22[[#This Row],[Req.2]]&gt;0,LOOKUP(Tabla22[[#This Row],[Product2]],$R$18:$R$23,$T$18:$T$23)*Tabla22[[#This Row],[Base price2]]*Tabla22[[#This Row],[Req.2]]*Tabla22[[#This Row],[QualityBonus]],0)</f>
        <v>0</v>
      </c>
      <c r="M179" s="74">
        <f>IFERROR((Tabla22[[#This Row],[Base price1]]-LOOKUP(Tabla22[[#This Row],[Product]],$R$18:$R$23,$S$18:$S$23))*Tabla22[[#This Row],[Req.]],0)</f>
        <v>0</v>
      </c>
      <c r="N179" s="79">
        <f>IF(Tabla22[[#This Row],[Req.2]]&gt;0,(Tabla22[[#This Row],[Base price2]]-LOOKUP(Tabla22[[#This Row],[Product2]],$R$18:$R$23,$S$18:$S$23))*Tabla22[[#This Row],[Req.2]],0)</f>
        <v>0</v>
      </c>
      <c r="O179" s="73">
        <f>SUM(Tabla22[[#This Row],[Bonus1]:[p2]])</f>
        <v>0</v>
      </c>
      <c r="P179" s="73" t="str">
        <f>IF(Tabla22[[#This Row],[QualityBonus]]&gt;0,Tabla22[[#This Row],[No wages]]-$C$4,"")</f>
        <v/>
      </c>
    </row>
    <row r="180" spans="1:16" x14ac:dyDescent="0.25">
      <c r="A180" s="13">
        <v>164</v>
      </c>
      <c r="B180" s="13"/>
      <c r="C180" s="66"/>
      <c r="D180" s="2"/>
      <c r="E180" s="73"/>
      <c r="G180" s="2"/>
      <c r="H180" s="73"/>
      <c r="I180" s="5"/>
      <c r="J180" s="74">
        <f>Tabla22[[#This Row],[Base price1]]*Tabla22[[#This Row],[Req.]]+Tabla22[[#This Row],[Base price2]]*Tabla22[[#This Row],[Req.2]]</f>
        <v>0</v>
      </c>
      <c r="K180" s="73">
        <f>IFERROR(LOOKUP(Tabla22[[#This Row],[Product]],$R$18:$R$23,$T$18:$T$23)*Tabla22[[#This Row],[QualityBonus]]*Tabla22[[#This Row],[Base price1]]*Tabla22[[#This Row],[Req.]],0)</f>
        <v>0</v>
      </c>
      <c r="L180" s="73">
        <f>IF(Tabla22[[#This Row],[Req.2]]&gt;0,LOOKUP(Tabla22[[#This Row],[Product2]],$R$18:$R$23,$T$18:$T$23)*Tabla22[[#This Row],[Base price2]]*Tabla22[[#This Row],[Req.2]]*Tabla22[[#This Row],[QualityBonus]],0)</f>
        <v>0</v>
      </c>
      <c r="M180" s="74">
        <f>IFERROR((Tabla22[[#This Row],[Base price1]]-LOOKUP(Tabla22[[#This Row],[Product]],$R$18:$R$23,$S$18:$S$23))*Tabla22[[#This Row],[Req.]],0)</f>
        <v>0</v>
      </c>
      <c r="N180" s="79">
        <f>IF(Tabla22[[#This Row],[Req.2]]&gt;0,(Tabla22[[#This Row],[Base price2]]-LOOKUP(Tabla22[[#This Row],[Product2]],$R$18:$R$23,$S$18:$S$23))*Tabla22[[#This Row],[Req.2]],0)</f>
        <v>0</v>
      </c>
      <c r="O180" s="73">
        <f>SUM(Tabla22[[#This Row],[Bonus1]:[p2]])</f>
        <v>0</v>
      </c>
      <c r="P180" s="73" t="str">
        <f>IF(Tabla22[[#This Row],[QualityBonus]]&gt;0,Tabla22[[#This Row],[No wages]]-$C$4,"")</f>
        <v/>
      </c>
    </row>
    <row r="181" spans="1:16" x14ac:dyDescent="0.25">
      <c r="A181" s="13">
        <v>165</v>
      </c>
      <c r="B181" s="13"/>
      <c r="C181" s="66"/>
      <c r="D181" s="2"/>
      <c r="E181" s="73"/>
      <c r="G181" s="2"/>
      <c r="H181" s="73"/>
      <c r="I181" s="5"/>
      <c r="J181" s="74">
        <f>Tabla22[[#This Row],[Base price1]]*Tabla22[[#This Row],[Req.]]+Tabla22[[#This Row],[Base price2]]*Tabla22[[#This Row],[Req.2]]</f>
        <v>0</v>
      </c>
      <c r="K181" s="73">
        <f>IFERROR(LOOKUP(Tabla22[[#This Row],[Product]],$R$18:$R$23,$T$18:$T$23)*Tabla22[[#This Row],[QualityBonus]]*Tabla22[[#This Row],[Base price1]]*Tabla22[[#This Row],[Req.]],0)</f>
        <v>0</v>
      </c>
      <c r="L181" s="73">
        <f>IF(Tabla22[[#This Row],[Req.2]]&gt;0,LOOKUP(Tabla22[[#This Row],[Product2]],$R$18:$R$23,$T$18:$T$23)*Tabla22[[#This Row],[Base price2]]*Tabla22[[#This Row],[Req.2]]*Tabla22[[#This Row],[QualityBonus]],0)</f>
        <v>0</v>
      </c>
      <c r="M181" s="74">
        <f>IFERROR((Tabla22[[#This Row],[Base price1]]-LOOKUP(Tabla22[[#This Row],[Product]],$R$18:$R$23,$S$18:$S$23))*Tabla22[[#This Row],[Req.]],0)</f>
        <v>0</v>
      </c>
      <c r="N181" s="79">
        <f>IF(Tabla22[[#This Row],[Req.2]]&gt;0,(Tabla22[[#This Row],[Base price2]]-LOOKUP(Tabla22[[#This Row],[Product2]],$R$18:$R$23,$S$18:$S$23))*Tabla22[[#This Row],[Req.2]],0)</f>
        <v>0</v>
      </c>
      <c r="O181" s="73">
        <f>SUM(Tabla22[[#This Row],[Bonus1]:[p2]])</f>
        <v>0</v>
      </c>
      <c r="P181" s="73" t="str">
        <f>IF(Tabla22[[#This Row],[QualityBonus]]&gt;0,Tabla22[[#This Row],[No wages]]-$C$4,"")</f>
        <v/>
      </c>
    </row>
    <row r="182" spans="1:16" x14ac:dyDescent="0.25">
      <c r="A182" s="13">
        <v>166</v>
      </c>
      <c r="B182" s="13"/>
      <c r="C182" s="66"/>
      <c r="D182" s="2"/>
      <c r="E182" s="73"/>
      <c r="G182" s="2"/>
      <c r="H182" s="73"/>
      <c r="I182" s="5"/>
      <c r="J182" s="74">
        <f>Tabla22[[#This Row],[Base price1]]*Tabla22[[#This Row],[Req.]]+Tabla22[[#This Row],[Base price2]]*Tabla22[[#This Row],[Req.2]]</f>
        <v>0</v>
      </c>
      <c r="K182" s="73">
        <f>IFERROR(LOOKUP(Tabla22[[#This Row],[Product]],$R$18:$R$23,$T$18:$T$23)*Tabla22[[#This Row],[QualityBonus]]*Tabla22[[#This Row],[Base price1]]*Tabla22[[#This Row],[Req.]],0)</f>
        <v>0</v>
      </c>
      <c r="L182" s="73">
        <f>IF(Tabla22[[#This Row],[Req.2]]&gt;0,LOOKUP(Tabla22[[#This Row],[Product2]],$R$18:$R$23,$T$18:$T$23)*Tabla22[[#This Row],[Base price2]]*Tabla22[[#This Row],[Req.2]]*Tabla22[[#This Row],[QualityBonus]],0)</f>
        <v>0</v>
      </c>
      <c r="M182" s="74">
        <f>IFERROR((Tabla22[[#This Row],[Base price1]]-LOOKUP(Tabla22[[#This Row],[Product]],$R$18:$R$23,$S$18:$S$23))*Tabla22[[#This Row],[Req.]],0)</f>
        <v>0</v>
      </c>
      <c r="N182" s="79">
        <f>IF(Tabla22[[#This Row],[Req.2]]&gt;0,(Tabla22[[#This Row],[Base price2]]-LOOKUP(Tabla22[[#This Row],[Product2]],$R$18:$R$23,$S$18:$S$23))*Tabla22[[#This Row],[Req.2]],0)</f>
        <v>0</v>
      </c>
      <c r="O182" s="73">
        <f>SUM(Tabla22[[#This Row],[Bonus1]:[p2]])</f>
        <v>0</v>
      </c>
      <c r="P182" s="73" t="str">
        <f>IF(Tabla22[[#This Row],[QualityBonus]]&gt;0,Tabla22[[#This Row],[No wages]]-$C$4,"")</f>
        <v/>
      </c>
    </row>
    <row r="183" spans="1:16" x14ac:dyDescent="0.25">
      <c r="A183" s="13">
        <v>167</v>
      </c>
      <c r="B183" s="13"/>
      <c r="C183" s="66"/>
      <c r="D183" s="2"/>
      <c r="E183" s="73"/>
      <c r="G183" s="2"/>
      <c r="H183" s="73"/>
      <c r="I183" s="5"/>
      <c r="J183" s="74">
        <f>Tabla22[[#This Row],[Base price1]]*Tabla22[[#This Row],[Req.]]+Tabla22[[#This Row],[Base price2]]*Tabla22[[#This Row],[Req.2]]</f>
        <v>0</v>
      </c>
      <c r="K183" s="73">
        <f>IFERROR(LOOKUP(Tabla22[[#This Row],[Product]],$R$18:$R$23,$T$18:$T$23)*Tabla22[[#This Row],[QualityBonus]]*Tabla22[[#This Row],[Base price1]]*Tabla22[[#This Row],[Req.]],0)</f>
        <v>0</v>
      </c>
      <c r="L183" s="73">
        <f>IF(Tabla22[[#This Row],[Req.2]]&gt;0,LOOKUP(Tabla22[[#This Row],[Product2]],$R$18:$R$23,$T$18:$T$23)*Tabla22[[#This Row],[Base price2]]*Tabla22[[#This Row],[Req.2]]*Tabla22[[#This Row],[QualityBonus]],0)</f>
        <v>0</v>
      </c>
      <c r="M183" s="74">
        <f>IFERROR((Tabla22[[#This Row],[Base price1]]-LOOKUP(Tabla22[[#This Row],[Product]],$R$18:$R$23,$S$18:$S$23))*Tabla22[[#This Row],[Req.]],0)</f>
        <v>0</v>
      </c>
      <c r="N183" s="79">
        <f>IF(Tabla22[[#This Row],[Req.2]]&gt;0,(Tabla22[[#This Row],[Base price2]]-LOOKUP(Tabla22[[#This Row],[Product2]],$R$18:$R$23,$S$18:$S$23))*Tabla22[[#This Row],[Req.2]],0)</f>
        <v>0</v>
      </c>
      <c r="O183" s="73">
        <f>SUM(Tabla22[[#This Row],[Bonus1]:[p2]])</f>
        <v>0</v>
      </c>
      <c r="P183" s="73" t="str">
        <f>IF(Tabla22[[#This Row],[QualityBonus]]&gt;0,Tabla22[[#This Row],[No wages]]-$C$4,"")</f>
        <v/>
      </c>
    </row>
    <row r="184" spans="1:16" x14ac:dyDescent="0.25">
      <c r="A184" s="13">
        <v>168</v>
      </c>
      <c r="B184" s="13"/>
      <c r="C184" s="66"/>
      <c r="D184" s="2"/>
      <c r="E184" s="73"/>
      <c r="G184" s="2"/>
      <c r="H184" s="73"/>
      <c r="I184" s="5"/>
      <c r="J184" s="74">
        <f>Tabla22[[#This Row],[Base price1]]*Tabla22[[#This Row],[Req.]]+Tabla22[[#This Row],[Base price2]]*Tabla22[[#This Row],[Req.2]]</f>
        <v>0</v>
      </c>
      <c r="K184" s="73">
        <f>IFERROR(LOOKUP(Tabla22[[#This Row],[Product]],$R$18:$R$23,$T$18:$T$23)*Tabla22[[#This Row],[QualityBonus]]*Tabla22[[#This Row],[Base price1]]*Tabla22[[#This Row],[Req.]],0)</f>
        <v>0</v>
      </c>
      <c r="L184" s="73">
        <f>IF(Tabla22[[#This Row],[Req.2]]&gt;0,LOOKUP(Tabla22[[#This Row],[Product2]],$R$18:$R$23,$T$18:$T$23)*Tabla22[[#This Row],[Base price2]]*Tabla22[[#This Row],[Req.2]]*Tabla22[[#This Row],[QualityBonus]],0)</f>
        <v>0</v>
      </c>
      <c r="M184" s="74">
        <f>IFERROR((Tabla22[[#This Row],[Base price1]]-LOOKUP(Tabla22[[#This Row],[Product]],$R$18:$R$23,$S$18:$S$23))*Tabla22[[#This Row],[Req.]],0)</f>
        <v>0</v>
      </c>
      <c r="N184" s="79">
        <f>IF(Tabla22[[#This Row],[Req.2]]&gt;0,(Tabla22[[#This Row],[Base price2]]-LOOKUP(Tabla22[[#This Row],[Product2]],$R$18:$R$23,$S$18:$S$23))*Tabla22[[#This Row],[Req.2]],0)</f>
        <v>0</v>
      </c>
      <c r="O184" s="73">
        <f>SUM(Tabla22[[#This Row],[Bonus1]:[p2]])</f>
        <v>0</v>
      </c>
      <c r="P184" s="73" t="str">
        <f>IF(Tabla22[[#This Row],[QualityBonus]]&gt;0,Tabla22[[#This Row],[No wages]]-$C$4,"")</f>
        <v/>
      </c>
    </row>
    <row r="185" spans="1:16" x14ac:dyDescent="0.25">
      <c r="A185" s="13">
        <v>169</v>
      </c>
      <c r="B185" s="13"/>
      <c r="C185" s="66"/>
      <c r="D185" s="2"/>
      <c r="E185" s="73"/>
      <c r="G185" s="2"/>
      <c r="H185" s="73"/>
      <c r="I185" s="5"/>
      <c r="J185" s="74">
        <f>Tabla22[[#This Row],[Base price1]]*Tabla22[[#This Row],[Req.]]+Tabla22[[#This Row],[Base price2]]*Tabla22[[#This Row],[Req.2]]</f>
        <v>0</v>
      </c>
      <c r="K185" s="73">
        <f>IFERROR(LOOKUP(Tabla22[[#This Row],[Product]],$R$18:$R$23,$T$18:$T$23)*Tabla22[[#This Row],[QualityBonus]]*Tabla22[[#This Row],[Base price1]]*Tabla22[[#This Row],[Req.]],0)</f>
        <v>0</v>
      </c>
      <c r="L185" s="73">
        <f>IF(Tabla22[[#This Row],[Req.2]]&gt;0,LOOKUP(Tabla22[[#This Row],[Product2]],$R$18:$R$23,$T$18:$T$23)*Tabla22[[#This Row],[Base price2]]*Tabla22[[#This Row],[Req.2]]*Tabla22[[#This Row],[QualityBonus]],0)</f>
        <v>0</v>
      </c>
      <c r="M185" s="74">
        <f>IFERROR((Tabla22[[#This Row],[Base price1]]-LOOKUP(Tabla22[[#This Row],[Product]],$R$18:$R$23,$S$18:$S$23))*Tabla22[[#This Row],[Req.]],0)</f>
        <v>0</v>
      </c>
      <c r="N185" s="79">
        <f>IF(Tabla22[[#This Row],[Req.2]]&gt;0,(Tabla22[[#This Row],[Base price2]]-LOOKUP(Tabla22[[#This Row],[Product2]],$R$18:$R$23,$S$18:$S$23))*Tabla22[[#This Row],[Req.2]],0)</f>
        <v>0</v>
      </c>
      <c r="O185" s="73">
        <f>SUM(Tabla22[[#This Row],[Bonus1]:[p2]])</f>
        <v>0</v>
      </c>
      <c r="P185" s="73" t="str">
        <f>IF(Tabla22[[#This Row],[QualityBonus]]&gt;0,Tabla22[[#This Row],[No wages]]-$C$4,"")</f>
        <v/>
      </c>
    </row>
    <row r="186" spans="1:16" x14ac:dyDescent="0.25">
      <c r="A186" s="13">
        <v>170</v>
      </c>
      <c r="B186" s="13"/>
      <c r="C186" s="66"/>
      <c r="D186" s="2"/>
      <c r="E186" s="73"/>
      <c r="G186" s="2"/>
      <c r="H186" s="73"/>
      <c r="I186" s="5"/>
      <c r="J186" s="74">
        <f>Tabla22[[#This Row],[Base price1]]*Tabla22[[#This Row],[Req.]]+Tabla22[[#This Row],[Base price2]]*Tabla22[[#This Row],[Req.2]]</f>
        <v>0</v>
      </c>
      <c r="K186" s="73">
        <f>IFERROR(LOOKUP(Tabla22[[#This Row],[Product]],$R$18:$R$23,$T$18:$T$23)*Tabla22[[#This Row],[QualityBonus]]*Tabla22[[#This Row],[Base price1]]*Tabla22[[#This Row],[Req.]],0)</f>
        <v>0</v>
      </c>
      <c r="L186" s="73">
        <f>IF(Tabla22[[#This Row],[Req.2]]&gt;0,LOOKUP(Tabla22[[#This Row],[Product2]],$R$18:$R$23,$T$18:$T$23)*Tabla22[[#This Row],[Base price2]]*Tabla22[[#This Row],[Req.2]]*Tabla22[[#This Row],[QualityBonus]],0)</f>
        <v>0</v>
      </c>
      <c r="M186" s="74">
        <f>IFERROR((Tabla22[[#This Row],[Base price1]]-LOOKUP(Tabla22[[#This Row],[Product]],$R$18:$R$23,$S$18:$S$23))*Tabla22[[#This Row],[Req.]],0)</f>
        <v>0</v>
      </c>
      <c r="N186" s="79">
        <f>IF(Tabla22[[#This Row],[Req.2]]&gt;0,(Tabla22[[#This Row],[Base price2]]-LOOKUP(Tabla22[[#This Row],[Product2]],$R$18:$R$23,$S$18:$S$23))*Tabla22[[#This Row],[Req.2]],0)</f>
        <v>0</v>
      </c>
      <c r="O186" s="73">
        <f>SUM(Tabla22[[#This Row],[Bonus1]:[p2]])</f>
        <v>0</v>
      </c>
      <c r="P186" s="73" t="str">
        <f>IF(Tabla22[[#This Row],[QualityBonus]]&gt;0,Tabla22[[#This Row],[No wages]]-$C$4,"")</f>
        <v/>
      </c>
    </row>
    <row r="187" spans="1:16" x14ac:dyDescent="0.25">
      <c r="A187" s="13">
        <v>171</v>
      </c>
      <c r="B187" s="13"/>
      <c r="C187" s="66"/>
      <c r="D187" s="2"/>
      <c r="E187" s="73"/>
      <c r="G187" s="2"/>
      <c r="H187" s="73"/>
      <c r="I187" s="5"/>
      <c r="J187" s="74">
        <f>Tabla22[[#This Row],[Base price1]]*Tabla22[[#This Row],[Req.]]+Tabla22[[#This Row],[Base price2]]*Tabla22[[#This Row],[Req.2]]</f>
        <v>0</v>
      </c>
      <c r="K187" s="73">
        <f>IFERROR(LOOKUP(Tabla22[[#This Row],[Product]],$R$18:$R$23,$T$18:$T$23)*Tabla22[[#This Row],[QualityBonus]]*Tabla22[[#This Row],[Base price1]]*Tabla22[[#This Row],[Req.]],0)</f>
        <v>0</v>
      </c>
      <c r="L187" s="73">
        <f>IF(Tabla22[[#This Row],[Req.2]]&gt;0,LOOKUP(Tabla22[[#This Row],[Product2]],$R$18:$R$23,$T$18:$T$23)*Tabla22[[#This Row],[Base price2]]*Tabla22[[#This Row],[Req.2]]*Tabla22[[#This Row],[QualityBonus]],0)</f>
        <v>0</v>
      </c>
      <c r="M187" s="74">
        <f>IFERROR((Tabla22[[#This Row],[Base price1]]-LOOKUP(Tabla22[[#This Row],[Product]],$R$18:$R$23,$S$18:$S$23))*Tabla22[[#This Row],[Req.]],0)</f>
        <v>0</v>
      </c>
      <c r="N187" s="79">
        <f>IF(Tabla22[[#This Row],[Req.2]]&gt;0,(Tabla22[[#This Row],[Base price2]]-LOOKUP(Tabla22[[#This Row],[Product2]],$R$18:$R$23,$S$18:$S$23))*Tabla22[[#This Row],[Req.2]],0)</f>
        <v>0</v>
      </c>
      <c r="O187" s="73">
        <f>SUM(Tabla22[[#This Row],[Bonus1]:[p2]])</f>
        <v>0</v>
      </c>
      <c r="P187" s="73" t="str">
        <f>IF(Tabla22[[#This Row],[QualityBonus]]&gt;0,Tabla22[[#This Row],[No wages]]-$C$4,"")</f>
        <v/>
      </c>
    </row>
    <row r="188" spans="1:16" x14ac:dyDescent="0.25">
      <c r="A188" s="13">
        <v>172</v>
      </c>
      <c r="B188" s="13"/>
      <c r="C188" s="66"/>
      <c r="D188" s="2"/>
      <c r="E188" s="73"/>
      <c r="G188" s="2"/>
      <c r="H188" s="73"/>
      <c r="I188" s="5"/>
      <c r="J188" s="74">
        <f>Tabla22[[#This Row],[Base price1]]*Tabla22[[#This Row],[Req.]]+Tabla22[[#This Row],[Base price2]]*Tabla22[[#This Row],[Req.2]]</f>
        <v>0</v>
      </c>
      <c r="K188" s="73">
        <f>IFERROR(LOOKUP(Tabla22[[#This Row],[Product]],$R$18:$R$23,$T$18:$T$23)*Tabla22[[#This Row],[QualityBonus]]*Tabla22[[#This Row],[Base price1]]*Tabla22[[#This Row],[Req.]],0)</f>
        <v>0</v>
      </c>
      <c r="L188" s="73">
        <f>IF(Tabla22[[#This Row],[Req.2]]&gt;0,LOOKUP(Tabla22[[#This Row],[Product2]],$R$18:$R$23,$T$18:$T$23)*Tabla22[[#This Row],[Base price2]]*Tabla22[[#This Row],[Req.2]]*Tabla22[[#This Row],[QualityBonus]],0)</f>
        <v>0</v>
      </c>
      <c r="M188" s="74">
        <f>IFERROR((Tabla22[[#This Row],[Base price1]]-LOOKUP(Tabla22[[#This Row],[Product]],$R$18:$R$23,$S$18:$S$23))*Tabla22[[#This Row],[Req.]],0)</f>
        <v>0</v>
      </c>
      <c r="N188" s="79">
        <f>IF(Tabla22[[#This Row],[Req.2]]&gt;0,(Tabla22[[#This Row],[Base price2]]-LOOKUP(Tabla22[[#This Row],[Product2]],$R$18:$R$23,$S$18:$S$23))*Tabla22[[#This Row],[Req.2]],0)</f>
        <v>0</v>
      </c>
      <c r="O188" s="73">
        <f>SUM(Tabla22[[#This Row],[Bonus1]:[p2]])</f>
        <v>0</v>
      </c>
      <c r="P188" s="73" t="str">
        <f>IF(Tabla22[[#This Row],[QualityBonus]]&gt;0,Tabla22[[#This Row],[No wages]]-$C$4,"")</f>
        <v/>
      </c>
    </row>
    <row r="189" spans="1:16" x14ac:dyDescent="0.25">
      <c r="A189" s="13">
        <v>173</v>
      </c>
      <c r="B189" s="13"/>
      <c r="C189" s="66"/>
      <c r="D189" s="2"/>
      <c r="E189" s="73"/>
      <c r="G189" s="2"/>
      <c r="H189" s="73"/>
      <c r="I189" s="5"/>
      <c r="J189" s="74">
        <f>Tabla22[[#This Row],[Base price1]]*Tabla22[[#This Row],[Req.]]+Tabla22[[#This Row],[Base price2]]*Tabla22[[#This Row],[Req.2]]</f>
        <v>0</v>
      </c>
      <c r="K189" s="73">
        <f>IFERROR(LOOKUP(Tabla22[[#This Row],[Product]],$R$18:$R$23,$T$18:$T$23)*Tabla22[[#This Row],[QualityBonus]]*Tabla22[[#This Row],[Base price1]]*Tabla22[[#This Row],[Req.]],0)</f>
        <v>0</v>
      </c>
      <c r="L189" s="73">
        <f>IF(Tabla22[[#This Row],[Req.2]]&gt;0,LOOKUP(Tabla22[[#This Row],[Product2]],$R$18:$R$23,$T$18:$T$23)*Tabla22[[#This Row],[Base price2]]*Tabla22[[#This Row],[Req.2]]*Tabla22[[#This Row],[QualityBonus]],0)</f>
        <v>0</v>
      </c>
      <c r="M189" s="74">
        <f>IFERROR((Tabla22[[#This Row],[Base price1]]-LOOKUP(Tabla22[[#This Row],[Product]],$R$18:$R$23,$S$18:$S$23))*Tabla22[[#This Row],[Req.]],0)</f>
        <v>0</v>
      </c>
      <c r="N189" s="79">
        <f>IF(Tabla22[[#This Row],[Req.2]]&gt;0,(Tabla22[[#This Row],[Base price2]]-LOOKUP(Tabla22[[#This Row],[Product2]],$R$18:$R$23,$S$18:$S$23))*Tabla22[[#This Row],[Req.2]],0)</f>
        <v>0</v>
      </c>
      <c r="O189" s="73">
        <f>SUM(Tabla22[[#This Row],[Bonus1]:[p2]])</f>
        <v>0</v>
      </c>
      <c r="P189" s="73" t="str">
        <f>IF(Tabla22[[#This Row],[QualityBonus]]&gt;0,Tabla22[[#This Row],[No wages]]-$C$4,"")</f>
        <v/>
      </c>
    </row>
    <row r="190" spans="1:16" x14ac:dyDescent="0.25">
      <c r="A190" s="13">
        <v>174</v>
      </c>
      <c r="B190" s="13"/>
      <c r="C190" s="66"/>
      <c r="D190" s="2"/>
      <c r="E190" s="73"/>
      <c r="G190" s="2"/>
      <c r="H190" s="73"/>
      <c r="I190" s="5"/>
      <c r="J190" s="74">
        <f>Tabla22[[#This Row],[Base price1]]*Tabla22[[#This Row],[Req.]]+Tabla22[[#This Row],[Base price2]]*Tabla22[[#This Row],[Req.2]]</f>
        <v>0</v>
      </c>
      <c r="K190" s="73">
        <f>IFERROR(LOOKUP(Tabla22[[#This Row],[Product]],$R$18:$R$23,$T$18:$T$23)*Tabla22[[#This Row],[QualityBonus]]*Tabla22[[#This Row],[Base price1]]*Tabla22[[#This Row],[Req.]],0)</f>
        <v>0</v>
      </c>
      <c r="L190" s="73">
        <f>IF(Tabla22[[#This Row],[Req.2]]&gt;0,LOOKUP(Tabla22[[#This Row],[Product2]],$R$18:$R$23,$T$18:$T$23)*Tabla22[[#This Row],[Base price2]]*Tabla22[[#This Row],[Req.2]]*Tabla22[[#This Row],[QualityBonus]],0)</f>
        <v>0</v>
      </c>
      <c r="M190" s="74">
        <f>IFERROR((Tabla22[[#This Row],[Base price1]]-LOOKUP(Tabla22[[#This Row],[Product]],$R$18:$R$23,$S$18:$S$23))*Tabla22[[#This Row],[Req.]],0)</f>
        <v>0</v>
      </c>
      <c r="N190" s="79">
        <f>IF(Tabla22[[#This Row],[Req.2]]&gt;0,(Tabla22[[#This Row],[Base price2]]-LOOKUP(Tabla22[[#This Row],[Product2]],$R$18:$R$23,$S$18:$S$23))*Tabla22[[#This Row],[Req.2]],0)</f>
        <v>0</v>
      </c>
      <c r="O190" s="73">
        <f>SUM(Tabla22[[#This Row],[Bonus1]:[p2]])</f>
        <v>0</v>
      </c>
      <c r="P190" s="73" t="str">
        <f>IF(Tabla22[[#This Row],[QualityBonus]]&gt;0,Tabla22[[#This Row],[No wages]]-$C$4,"")</f>
        <v/>
      </c>
    </row>
    <row r="191" spans="1:16" x14ac:dyDescent="0.25">
      <c r="A191" s="13">
        <v>175</v>
      </c>
      <c r="B191" s="13"/>
      <c r="C191" s="66"/>
      <c r="D191" s="2"/>
      <c r="E191" s="73"/>
      <c r="G191" s="2"/>
      <c r="H191" s="73"/>
      <c r="I191" s="5"/>
      <c r="J191" s="74">
        <f>Tabla22[[#This Row],[Base price1]]*Tabla22[[#This Row],[Req.]]+Tabla22[[#This Row],[Base price2]]*Tabla22[[#This Row],[Req.2]]</f>
        <v>0</v>
      </c>
      <c r="K191" s="73">
        <f>IFERROR(LOOKUP(Tabla22[[#This Row],[Product]],$R$18:$R$23,$T$18:$T$23)*Tabla22[[#This Row],[QualityBonus]]*Tabla22[[#This Row],[Base price1]]*Tabla22[[#This Row],[Req.]],0)</f>
        <v>0</v>
      </c>
      <c r="L191" s="73">
        <f>IF(Tabla22[[#This Row],[Req.2]]&gt;0,LOOKUP(Tabla22[[#This Row],[Product2]],$R$18:$R$23,$T$18:$T$23)*Tabla22[[#This Row],[Base price2]]*Tabla22[[#This Row],[Req.2]]*Tabla22[[#This Row],[QualityBonus]],0)</f>
        <v>0</v>
      </c>
      <c r="M191" s="74">
        <f>IFERROR((Tabla22[[#This Row],[Base price1]]-LOOKUP(Tabla22[[#This Row],[Product]],$R$18:$R$23,$S$18:$S$23))*Tabla22[[#This Row],[Req.]],0)</f>
        <v>0</v>
      </c>
      <c r="N191" s="79">
        <f>IF(Tabla22[[#This Row],[Req.2]]&gt;0,(Tabla22[[#This Row],[Base price2]]-LOOKUP(Tabla22[[#This Row],[Product2]],$R$18:$R$23,$S$18:$S$23))*Tabla22[[#This Row],[Req.2]],0)</f>
        <v>0</v>
      </c>
      <c r="O191" s="73">
        <f>SUM(Tabla22[[#This Row],[Bonus1]:[p2]])</f>
        <v>0</v>
      </c>
      <c r="P191" s="73" t="str">
        <f>IF(Tabla22[[#This Row],[QualityBonus]]&gt;0,Tabla22[[#This Row],[No wages]]-$C$4,"")</f>
        <v/>
      </c>
    </row>
    <row r="192" spans="1:16" x14ac:dyDescent="0.25">
      <c r="A192" s="13">
        <v>176</v>
      </c>
      <c r="B192" s="13"/>
      <c r="C192" s="66"/>
      <c r="D192" s="2"/>
      <c r="E192" s="73"/>
      <c r="G192" s="2"/>
      <c r="H192" s="73"/>
      <c r="I192" s="5"/>
      <c r="J192" s="74">
        <f>Tabla22[[#This Row],[Base price1]]*Tabla22[[#This Row],[Req.]]+Tabla22[[#This Row],[Base price2]]*Tabla22[[#This Row],[Req.2]]</f>
        <v>0</v>
      </c>
      <c r="K192" s="73">
        <f>IFERROR(LOOKUP(Tabla22[[#This Row],[Product]],$R$18:$R$23,$T$18:$T$23)*Tabla22[[#This Row],[QualityBonus]]*Tabla22[[#This Row],[Base price1]]*Tabla22[[#This Row],[Req.]],0)</f>
        <v>0</v>
      </c>
      <c r="L192" s="73">
        <f>IF(Tabla22[[#This Row],[Req.2]]&gt;0,LOOKUP(Tabla22[[#This Row],[Product2]],$R$18:$R$23,$T$18:$T$23)*Tabla22[[#This Row],[Base price2]]*Tabla22[[#This Row],[Req.2]]*Tabla22[[#This Row],[QualityBonus]],0)</f>
        <v>0</v>
      </c>
      <c r="M192" s="74">
        <f>IFERROR((Tabla22[[#This Row],[Base price1]]-LOOKUP(Tabla22[[#This Row],[Product]],$R$18:$R$23,$S$18:$S$23))*Tabla22[[#This Row],[Req.]],0)</f>
        <v>0</v>
      </c>
      <c r="N192" s="79">
        <f>IF(Tabla22[[#This Row],[Req.2]]&gt;0,(Tabla22[[#This Row],[Base price2]]-LOOKUP(Tabla22[[#This Row],[Product2]],$R$18:$R$23,$S$18:$S$23))*Tabla22[[#This Row],[Req.2]],0)</f>
        <v>0</v>
      </c>
      <c r="O192" s="73">
        <f>SUM(Tabla22[[#This Row],[Bonus1]:[p2]])</f>
        <v>0</v>
      </c>
      <c r="P192" s="73" t="str">
        <f>IF(Tabla22[[#This Row],[QualityBonus]]&gt;0,Tabla22[[#This Row],[No wages]]-$C$4,"")</f>
        <v/>
      </c>
    </row>
    <row r="193" spans="1:16" x14ac:dyDescent="0.25">
      <c r="A193" s="13">
        <v>177</v>
      </c>
      <c r="B193" s="13"/>
      <c r="C193" s="66"/>
      <c r="D193" s="2"/>
      <c r="E193" s="73"/>
      <c r="G193" s="2"/>
      <c r="H193" s="73"/>
      <c r="I193" s="5"/>
      <c r="J193" s="74">
        <f>Tabla22[[#This Row],[Base price1]]*Tabla22[[#This Row],[Req.]]+Tabla22[[#This Row],[Base price2]]*Tabla22[[#This Row],[Req.2]]</f>
        <v>0</v>
      </c>
      <c r="K193" s="73">
        <f>IFERROR(LOOKUP(Tabla22[[#This Row],[Product]],$R$18:$R$23,$T$18:$T$23)*Tabla22[[#This Row],[QualityBonus]]*Tabla22[[#This Row],[Base price1]]*Tabla22[[#This Row],[Req.]],0)</f>
        <v>0</v>
      </c>
      <c r="L193" s="73">
        <f>IF(Tabla22[[#This Row],[Req.2]]&gt;0,LOOKUP(Tabla22[[#This Row],[Product2]],$R$18:$R$23,$T$18:$T$23)*Tabla22[[#This Row],[Base price2]]*Tabla22[[#This Row],[Req.2]]*Tabla22[[#This Row],[QualityBonus]],0)</f>
        <v>0</v>
      </c>
      <c r="M193" s="74">
        <f>IFERROR((Tabla22[[#This Row],[Base price1]]-LOOKUP(Tabla22[[#This Row],[Product]],$R$18:$R$23,$S$18:$S$23))*Tabla22[[#This Row],[Req.]],0)</f>
        <v>0</v>
      </c>
      <c r="N193" s="79">
        <f>IF(Tabla22[[#This Row],[Req.2]]&gt;0,(Tabla22[[#This Row],[Base price2]]-LOOKUP(Tabla22[[#This Row],[Product2]],$R$18:$R$23,$S$18:$S$23))*Tabla22[[#This Row],[Req.2]],0)</f>
        <v>0</v>
      </c>
      <c r="O193" s="73">
        <f>SUM(Tabla22[[#This Row],[Bonus1]:[p2]])</f>
        <v>0</v>
      </c>
      <c r="P193" s="73" t="str">
        <f>IF(Tabla22[[#This Row],[QualityBonus]]&gt;0,Tabla22[[#This Row],[No wages]]-$C$4,"")</f>
        <v/>
      </c>
    </row>
    <row r="194" spans="1:16" x14ac:dyDescent="0.25">
      <c r="A194" s="13">
        <v>178</v>
      </c>
      <c r="B194" s="13"/>
      <c r="C194" s="66"/>
      <c r="D194" s="2"/>
      <c r="E194" s="73"/>
      <c r="G194" s="2"/>
      <c r="H194" s="73"/>
      <c r="I194" s="5"/>
      <c r="J194" s="74">
        <f>Tabla22[[#This Row],[Base price1]]*Tabla22[[#This Row],[Req.]]+Tabla22[[#This Row],[Base price2]]*Tabla22[[#This Row],[Req.2]]</f>
        <v>0</v>
      </c>
      <c r="K194" s="73">
        <f>IFERROR(LOOKUP(Tabla22[[#This Row],[Product]],$R$18:$R$23,$T$18:$T$23)*Tabla22[[#This Row],[QualityBonus]]*Tabla22[[#This Row],[Base price1]]*Tabla22[[#This Row],[Req.]],0)</f>
        <v>0</v>
      </c>
      <c r="L194" s="73">
        <f>IF(Tabla22[[#This Row],[Req.2]]&gt;0,LOOKUP(Tabla22[[#This Row],[Product2]],$R$18:$R$23,$T$18:$T$23)*Tabla22[[#This Row],[Base price2]]*Tabla22[[#This Row],[Req.2]]*Tabla22[[#This Row],[QualityBonus]],0)</f>
        <v>0</v>
      </c>
      <c r="M194" s="74">
        <f>IFERROR((Tabla22[[#This Row],[Base price1]]-LOOKUP(Tabla22[[#This Row],[Product]],$R$18:$R$23,$S$18:$S$23))*Tabla22[[#This Row],[Req.]],0)</f>
        <v>0</v>
      </c>
      <c r="N194" s="79">
        <f>IF(Tabla22[[#This Row],[Req.2]]&gt;0,(Tabla22[[#This Row],[Base price2]]-LOOKUP(Tabla22[[#This Row],[Product2]],$R$18:$R$23,$S$18:$S$23))*Tabla22[[#This Row],[Req.2]],0)</f>
        <v>0</v>
      </c>
      <c r="O194" s="73">
        <f>SUM(Tabla22[[#This Row],[Bonus1]:[p2]])</f>
        <v>0</v>
      </c>
      <c r="P194" s="73" t="str">
        <f>IF(Tabla22[[#This Row],[QualityBonus]]&gt;0,Tabla22[[#This Row],[No wages]]-$C$4,"")</f>
        <v/>
      </c>
    </row>
    <row r="195" spans="1:16" x14ac:dyDescent="0.25">
      <c r="A195" s="13">
        <v>179</v>
      </c>
      <c r="B195" s="13"/>
      <c r="C195" s="66"/>
      <c r="D195" s="2"/>
      <c r="E195" s="73"/>
      <c r="G195" s="2"/>
      <c r="H195" s="73"/>
      <c r="I195" s="5"/>
      <c r="J195" s="74">
        <f>Tabla22[[#This Row],[Base price1]]*Tabla22[[#This Row],[Req.]]+Tabla22[[#This Row],[Base price2]]*Tabla22[[#This Row],[Req.2]]</f>
        <v>0</v>
      </c>
      <c r="K195" s="73">
        <f>IFERROR(LOOKUP(Tabla22[[#This Row],[Product]],$R$18:$R$23,$T$18:$T$23)*Tabla22[[#This Row],[QualityBonus]]*Tabla22[[#This Row],[Base price1]]*Tabla22[[#This Row],[Req.]],0)</f>
        <v>0</v>
      </c>
      <c r="L195" s="73">
        <f>IF(Tabla22[[#This Row],[Req.2]]&gt;0,LOOKUP(Tabla22[[#This Row],[Product2]],$R$18:$R$23,$T$18:$T$23)*Tabla22[[#This Row],[Base price2]]*Tabla22[[#This Row],[Req.2]]*Tabla22[[#This Row],[QualityBonus]],0)</f>
        <v>0</v>
      </c>
      <c r="M195" s="74">
        <f>IFERROR((Tabla22[[#This Row],[Base price1]]-LOOKUP(Tabla22[[#This Row],[Product]],$R$18:$R$23,$S$18:$S$23))*Tabla22[[#This Row],[Req.]],0)</f>
        <v>0</v>
      </c>
      <c r="N195" s="79">
        <f>IF(Tabla22[[#This Row],[Req.2]]&gt;0,(Tabla22[[#This Row],[Base price2]]-LOOKUP(Tabla22[[#This Row],[Product2]],$R$18:$R$23,$S$18:$S$23))*Tabla22[[#This Row],[Req.2]],0)</f>
        <v>0</v>
      </c>
      <c r="O195" s="73">
        <f>SUM(Tabla22[[#This Row],[Bonus1]:[p2]])</f>
        <v>0</v>
      </c>
      <c r="P195" s="73" t="str">
        <f>IF(Tabla22[[#This Row],[QualityBonus]]&gt;0,Tabla22[[#This Row],[No wages]]-$C$4,"")</f>
        <v/>
      </c>
    </row>
    <row r="196" spans="1:16" x14ac:dyDescent="0.25">
      <c r="A196" s="13">
        <v>180</v>
      </c>
      <c r="B196" s="13"/>
      <c r="C196" s="66"/>
      <c r="D196" s="2"/>
      <c r="E196" s="73"/>
      <c r="G196" s="2"/>
      <c r="H196" s="73"/>
      <c r="I196" s="5"/>
      <c r="J196" s="74">
        <f>Tabla22[[#This Row],[Base price1]]*Tabla22[[#This Row],[Req.]]+Tabla22[[#This Row],[Base price2]]*Tabla22[[#This Row],[Req.2]]</f>
        <v>0</v>
      </c>
      <c r="K196" s="73">
        <f>IFERROR(LOOKUP(Tabla22[[#This Row],[Product]],$R$18:$R$23,$T$18:$T$23)*Tabla22[[#This Row],[QualityBonus]]*Tabla22[[#This Row],[Base price1]]*Tabla22[[#This Row],[Req.]],0)</f>
        <v>0</v>
      </c>
      <c r="L196" s="73">
        <f>IF(Tabla22[[#This Row],[Req.2]]&gt;0,LOOKUP(Tabla22[[#This Row],[Product2]],$R$18:$R$23,$T$18:$T$23)*Tabla22[[#This Row],[Base price2]]*Tabla22[[#This Row],[Req.2]]*Tabla22[[#This Row],[QualityBonus]],0)</f>
        <v>0</v>
      </c>
      <c r="M196" s="74">
        <f>IFERROR((Tabla22[[#This Row],[Base price1]]-LOOKUP(Tabla22[[#This Row],[Product]],$R$18:$R$23,$S$18:$S$23))*Tabla22[[#This Row],[Req.]],0)</f>
        <v>0</v>
      </c>
      <c r="N196" s="79">
        <f>IF(Tabla22[[#This Row],[Req.2]]&gt;0,(Tabla22[[#This Row],[Base price2]]-LOOKUP(Tabla22[[#This Row],[Product2]],$R$18:$R$23,$S$18:$S$23))*Tabla22[[#This Row],[Req.2]],0)</f>
        <v>0</v>
      </c>
      <c r="O196" s="73">
        <f>SUM(Tabla22[[#This Row],[Bonus1]:[p2]])</f>
        <v>0</v>
      </c>
      <c r="P196" s="73" t="str">
        <f>IF(Tabla22[[#This Row],[QualityBonus]]&gt;0,Tabla22[[#This Row],[No wages]]-$C$4,"")</f>
        <v/>
      </c>
    </row>
    <row r="197" spans="1:16" x14ac:dyDescent="0.25">
      <c r="A197" s="13">
        <v>181</v>
      </c>
      <c r="B197" s="13"/>
      <c r="C197" s="66"/>
      <c r="D197" s="2"/>
      <c r="E197" s="73"/>
      <c r="G197" s="2"/>
      <c r="H197" s="73"/>
      <c r="I197" s="5"/>
      <c r="J197" s="74">
        <f>Tabla22[[#This Row],[Base price1]]*Tabla22[[#This Row],[Req.]]+Tabla22[[#This Row],[Base price2]]*Tabla22[[#This Row],[Req.2]]</f>
        <v>0</v>
      </c>
      <c r="K197" s="73">
        <f>IFERROR(LOOKUP(Tabla22[[#This Row],[Product]],$R$18:$R$23,$T$18:$T$23)*Tabla22[[#This Row],[QualityBonus]]*Tabla22[[#This Row],[Base price1]]*Tabla22[[#This Row],[Req.]],0)</f>
        <v>0</v>
      </c>
      <c r="L197" s="73">
        <f>IF(Tabla22[[#This Row],[Req.2]]&gt;0,LOOKUP(Tabla22[[#This Row],[Product2]],$R$18:$R$23,$T$18:$T$23)*Tabla22[[#This Row],[Base price2]]*Tabla22[[#This Row],[Req.2]]*Tabla22[[#This Row],[QualityBonus]],0)</f>
        <v>0</v>
      </c>
      <c r="M197" s="74">
        <f>IFERROR((Tabla22[[#This Row],[Base price1]]-LOOKUP(Tabla22[[#This Row],[Product]],$R$18:$R$23,$S$18:$S$23))*Tabla22[[#This Row],[Req.]],0)</f>
        <v>0</v>
      </c>
      <c r="N197" s="79">
        <f>IF(Tabla22[[#This Row],[Req.2]]&gt;0,(Tabla22[[#This Row],[Base price2]]-LOOKUP(Tabla22[[#This Row],[Product2]],$R$18:$R$23,$S$18:$S$23))*Tabla22[[#This Row],[Req.2]],0)</f>
        <v>0</v>
      </c>
      <c r="O197" s="73">
        <f>SUM(Tabla22[[#This Row],[Bonus1]:[p2]])</f>
        <v>0</v>
      </c>
      <c r="P197" s="73" t="str">
        <f>IF(Tabla22[[#This Row],[QualityBonus]]&gt;0,Tabla22[[#This Row],[No wages]]-$C$4,"")</f>
        <v/>
      </c>
    </row>
    <row r="198" spans="1:16" x14ac:dyDescent="0.25">
      <c r="A198" s="13">
        <v>182</v>
      </c>
      <c r="B198" s="13"/>
      <c r="C198" s="66"/>
      <c r="D198" s="2"/>
      <c r="E198" s="73"/>
      <c r="G198" s="2"/>
      <c r="H198" s="73"/>
      <c r="I198" s="5"/>
      <c r="J198" s="74">
        <f>Tabla22[[#This Row],[Base price1]]*Tabla22[[#This Row],[Req.]]+Tabla22[[#This Row],[Base price2]]*Tabla22[[#This Row],[Req.2]]</f>
        <v>0</v>
      </c>
      <c r="K198" s="73">
        <f>IFERROR(LOOKUP(Tabla22[[#This Row],[Product]],$R$18:$R$23,$T$18:$T$23)*Tabla22[[#This Row],[QualityBonus]]*Tabla22[[#This Row],[Base price1]]*Tabla22[[#This Row],[Req.]],0)</f>
        <v>0</v>
      </c>
      <c r="L198" s="73">
        <f>IF(Tabla22[[#This Row],[Req.2]]&gt;0,LOOKUP(Tabla22[[#This Row],[Product2]],$R$18:$R$23,$T$18:$T$23)*Tabla22[[#This Row],[Base price2]]*Tabla22[[#This Row],[Req.2]]*Tabla22[[#This Row],[QualityBonus]],0)</f>
        <v>0</v>
      </c>
      <c r="M198" s="74">
        <f>IFERROR((Tabla22[[#This Row],[Base price1]]-LOOKUP(Tabla22[[#This Row],[Product]],$R$18:$R$23,$S$18:$S$23))*Tabla22[[#This Row],[Req.]],0)</f>
        <v>0</v>
      </c>
      <c r="N198" s="79">
        <f>IF(Tabla22[[#This Row],[Req.2]]&gt;0,(Tabla22[[#This Row],[Base price2]]-LOOKUP(Tabla22[[#This Row],[Product2]],$R$18:$R$23,$S$18:$S$23))*Tabla22[[#This Row],[Req.2]],0)</f>
        <v>0</v>
      </c>
      <c r="O198" s="73">
        <f>SUM(Tabla22[[#This Row],[Bonus1]:[p2]])</f>
        <v>0</v>
      </c>
      <c r="P198" s="73" t="str">
        <f>IF(Tabla22[[#This Row],[QualityBonus]]&gt;0,Tabla22[[#This Row],[No wages]]-$C$4,"")</f>
        <v/>
      </c>
    </row>
    <row r="199" spans="1:16" x14ac:dyDescent="0.25">
      <c r="A199" s="13">
        <v>183</v>
      </c>
      <c r="B199" s="13"/>
      <c r="C199" s="66"/>
      <c r="D199" s="2"/>
      <c r="E199" s="73"/>
      <c r="G199" s="2"/>
      <c r="H199" s="73"/>
      <c r="I199" s="5"/>
      <c r="J199" s="74">
        <f>Tabla22[[#This Row],[Base price1]]*Tabla22[[#This Row],[Req.]]+Tabla22[[#This Row],[Base price2]]*Tabla22[[#This Row],[Req.2]]</f>
        <v>0</v>
      </c>
      <c r="K199" s="73">
        <f>IFERROR(LOOKUP(Tabla22[[#This Row],[Product]],$R$18:$R$23,$T$18:$T$23)*Tabla22[[#This Row],[QualityBonus]]*Tabla22[[#This Row],[Base price1]]*Tabla22[[#This Row],[Req.]],0)</f>
        <v>0</v>
      </c>
      <c r="L199" s="73">
        <f>IF(Tabla22[[#This Row],[Req.2]]&gt;0,LOOKUP(Tabla22[[#This Row],[Product2]],$R$18:$R$23,$T$18:$T$23)*Tabla22[[#This Row],[Base price2]]*Tabla22[[#This Row],[Req.2]]*Tabla22[[#This Row],[QualityBonus]],0)</f>
        <v>0</v>
      </c>
      <c r="M199" s="74">
        <f>IFERROR((Tabla22[[#This Row],[Base price1]]-LOOKUP(Tabla22[[#This Row],[Product]],$R$18:$R$23,$S$18:$S$23))*Tabla22[[#This Row],[Req.]],0)</f>
        <v>0</v>
      </c>
      <c r="N199" s="79">
        <f>IF(Tabla22[[#This Row],[Req.2]]&gt;0,(Tabla22[[#This Row],[Base price2]]-LOOKUP(Tabla22[[#This Row],[Product2]],$R$18:$R$23,$S$18:$S$23))*Tabla22[[#This Row],[Req.2]],0)</f>
        <v>0</v>
      </c>
      <c r="O199" s="73">
        <f>SUM(Tabla22[[#This Row],[Bonus1]:[p2]])</f>
        <v>0</v>
      </c>
      <c r="P199" s="73" t="str">
        <f>IF(Tabla22[[#This Row],[QualityBonus]]&gt;0,Tabla22[[#This Row],[No wages]]-$C$4,"")</f>
        <v/>
      </c>
    </row>
    <row r="200" spans="1:16" x14ac:dyDescent="0.25">
      <c r="A200" s="13">
        <v>184</v>
      </c>
      <c r="B200" s="13"/>
      <c r="C200" s="66"/>
      <c r="D200" s="2"/>
      <c r="E200" s="73"/>
      <c r="G200" s="2"/>
      <c r="H200" s="73"/>
      <c r="I200" s="5"/>
      <c r="J200" s="74">
        <f>Tabla22[[#This Row],[Base price1]]*Tabla22[[#This Row],[Req.]]+Tabla22[[#This Row],[Base price2]]*Tabla22[[#This Row],[Req.2]]</f>
        <v>0</v>
      </c>
      <c r="K200" s="73">
        <f>IFERROR(LOOKUP(Tabla22[[#This Row],[Product]],$R$18:$R$23,$T$18:$T$23)*Tabla22[[#This Row],[QualityBonus]]*Tabla22[[#This Row],[Base price1]]*Tabla22[[#This Row],[Req.]],0)</f>
        <v>0</v>
      </c>
      <c r="L200" s="73">
        <f>IF(Tabla22[[#This Row],[Req.2]]&gt;0,LOOKUP(Tabla22[[#This Row],[Product2]],$R$18:$R$23,$T$18:$T$23)*Tabla22[[#This Row],[Base price2]]*Tabla22[[#This Row],[Req.2]]*Tabla22[[#This Row],[QualityBonus]],0)</f>
        <v>0</v>
      </c>
      <c r="M200" s="74">
        <f>IFERROR((Tabla22[[#This Row],[Base price1]]-LOOKUP(Tabla22[[#This Row],[Product]],$R$18:$R$23,$S$18:$S$23))*Tabla22[[#This Row],[Req.]],0)</f>
        <v>0</v>
      </c>
      <c r="N200" s="79">
        <f>IF(Tabla22[[#This Row],[Req.2]]&gt;0,(Tabla22[[#This Row],[Base price2]]-LOOKUP(Tabla22[[#This Row],[Product2]],$R$18:$R$23,$S$18:$S$23))*Tabla22[[#This Row],[Req.2]],0)</f>
        <v>0</v>
      </c>
      <c r="O200" s="73">
        <f>SUM(Tabla22[[#This Row],[Bonus1]:[p2]])</f>
        <v>0</v>
      </c>
      <c r="P200" s="73" t="str">
        <f>IF(Tabla22[[#This Row],[QualityBonus]]&gt;0,Tabla22[[#This Row],[No wages]]-$C$4,"")</f>
        <v/>
      </c>
    </row>
  </sheetData>
  <mergeCells count="6">
    <mergeCell ref="W3:AD3"/>
    <mergeCell ref="D15:F15"/>
    <mergeCell ref="G15:I15"/>
    <mergeCell ref="F3:L3"/>
    <mergeCell ref="N3:U3"/>
    <mergeCell ref="J15:P15"/>
  </mergeCells>
  <conditionalFormatting sqref="G5:H10">
    <cfRule type="colorScale" priority="49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48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47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46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43">
      <colorScale>
        <cfvo type="min"/>
        <cfvo type="max"/>
        <color rgb="FFFFEF9C"/>
        <color rgb="FF63BE7B"/>
      </colorScale>
    </cfRule>
  </conditionalFormatting>
  <conditionalFormatting sqref="P5:Q10 P12">
    <cfRule type="colorScale" priority="2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2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21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20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7:P200">
    <cfRule type="cellIs" dxfId="23" priority="17" operator="lessThan">
      <formula>0</formula>
    </cfRule>
  </conditionalFormatting>
  <conditionalFormatting sqref="H5:H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Y5:Z10">
    <cfRule type="colorScale" priority="7">
      <colorScale>
        <cfvo type="min"/>
        <cfvo type="max"/>
        <color rgb="FFFFEF9C"/>
        <color rgb="FF63BE7B"/>
      </colorScale>
    </cfRule>
  </conditionalFormatting>
  <conditionalFormatting sqref="AA5:AA10">
    <cfRule type="colorScale" priority="6">
      <colorScale>
        <cfvo type="min"/>
        <cfvo type="max"/>
        <color rgb="FFFFEF9C"/>
        <color rgb="FF63BE7B"/>
      </colorScale>
    </cfRule>
  </conditionalFormatting>
  <conditionalFormatting sqref="AB5:AB10">
    <cfRule type="colorScale" priority="5">
      <colorScale>
        <cfvo type="min"/>
        <cfvo type="max"/>
        <color rgb="FFFFEF9C"/>
        <color rgb="FF63BE7B"/>
      </colorScale>
    </cfRule>
  </conditionalFormatting>
  <conditionalFormatting sqref="AD5:AD10">
    <cfRule type="colorScale" priority="4">
      <colorScale>
        <cfvo type="min"/>
        <cfvo type="max"/>
        <color rgb="FFFFEF9C"/>
        <color rgb="FF63BE7B"/>
      </colorScale>
    </cfRule>
  </conditionalFormatting>
  <conditionalFormatting sqref="AC5:AC10">
    <cfRule type="colorScale" priority="3">
      <colorScale>
        <cfvo type="min"/>
        <cfvo type="max"/>
        <color rgb="FFFFEF9C"/>
        <color rgb="FF63BE7B"/>
      </colorScale>
    </cfRule>
  </conditionalFormatting>
  <conditionalFormatting sqref="X5:X10">
    <cfRule type="colorScale" priority="2">
      <colorScale>
        <cfvo type="min"/>
        <cfvo type="max"/>
        <color rgb="FFFFEF9C"/>
        <color rgb="FF63BE7B"/>
      </colorScale>
    </cfRule>
  </conditionalFormatting>
  <conditionalFormatting sqref="Z5:Z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O2 B17:B200 X2">
      <formula1>$B$10:$B$12</formula1>
    </dataValidation>
    <dataValidation type="list" allowBlank="1" showInputMessage="1" showErrorMessage="1" sqref="D17:D200 G17:G200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103" t="s">
        <v>14</v>
      </c>
      <c r="J5" s="103"/>
      <c r="K5" s="103"/>
      <c r="L5" s="103"/>
      <c r="M5" s="103"/>
      <c r="N5" s="103"/>
      <c r="O5" s="103"/>
      <c r="P5" s="103"/>
      <c r="Q5" s="103"/>
      <c r="R5" s="103"/>
      <c r="S5" s="104"/>
      <c r="U5" s="12"/>
      <c r="V5" s="103" t="s">
        <v>16</v>
      </c>
      <c r="W5" s="103"/>
      <c r="X5" s="103"/>
      <c r="Y5" s="103"/>
      <c r="Z5" s="103"/>
      <c r="AA5" s="103"/>
      <c r="AB5" s="103"/>
      <c r="AC5" s="103"/>
      <c r="AD5" s="103"/>
      <c r="AE5" s="103"/>
      <c r="AF5" s="104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34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38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39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35</v>
      </c>
      <c r="D27" s="21" t="s">
        <v>36</v>
      </c>
      <c r="E27" s="31" t="s">
        <v>37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40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41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42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103" t="s">
        <v>17</v>
      </c>
      <c r="J30" s="103"/>
      <c r="K30" s="103"/>
      <c r="L30" s="103"/>
      <c r="M30" s="103"/>
      <c r="N30" s="103"/>
      <c r="O30" s="103"/>
      <c r="P30" s="103"/>
      <c r="Q30" s="103"/>
      <c r="R30" s="103"/>
      <c r="S30" s="104"/>
      <c r="U30" s="12"/>
      <c r="V30" s="103" t="s">
        <v>15</v>
      </c>
      <c r="W30" s="103"/>
      <c r="X30" s="103"/>
      <c r="Y30" s="103"/>
      <c r="Z30" s="103"/>
      <c r="AA30" s="103"/>
      <c r="AB30" s="103"/>
      <c r="AC30" s="103"/>
      <c r="AD30" s="103"/>
      <c r="AE30" s="103"/>
      <c r="AF30" s="104"/>
    </row>
    <row r="31" spans="2:32" x14ac:dyDescent="0.25">
      <c r="B31" s="29" t="s">
        <v>43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22" workbookViewId="0">
      <selection activeCell="G59" sqref="G59"/>
    </sheetView>
  </sheetViews>
  <sheetFormatPr baseColWidth="10" defaultRowHeight="15" x14ac:dyDescent="0.25"/>
  <cols>
    <col min="3" max="3" width="11.7109375" customWidth="1"/>
    <col min="4" max="7" width="15.85546875" customWidth="1"/>
    <col min="8" max="9" width="11.7109375" customWidth="1"/>
    <col min="10" max="10" width="23" customWidth="1"/>
  </cols>
  <sheetData>
    <row r="1" spans="3:14" x14ac:dyDescent="0.25">
      <c r="C1" s="105" t="s">
        <v>31</v>
      </c>
      <c r="D1" s="105"/>
      <c r="E1" s="105"/>
      <c r="F1" s="105"/>
      <c r="G1" s="105"/>
      <c r="H1" s="105"/>
    </row>
    <row r="2" spans="3:14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L2" t="s">
        <v>29</v>
      </c>
      <c r="N2" s="58">
        <f>Archive!G11</f>
        <v>4.6956521739130439</v>
      </c>
    </row>
    <row r="3" spans="3:14" x14ac:dyDescent="0.25">
      <c r="C3">
        <v>18445</v>
      </c>
      <c r="D3">
        <v>20460</v>
      </c>
      <c r="E3">
        <v>7336</v>
      </c>
      <c r="F3">
        <v>9072</v>
      </c>
      <c r="G3">
        <v>4574</v>
      </c>
      <c r="H3">
        <v>635</v>
      </c>
      <c r="L3" t="s">
        <v>30</v>
      </c>
      <c r="N3" s="7">
        <v>42</v>
      </c>
    </row>
    <row r="4" spans="3:14" x14ac:dyDescent="0.25">
      <c r="C4">
        <v>29891</v>
      </c>
      <c r="D4">
        <v>9445</v>
      </c>
      <c r="E4">
        <v>13242</v>
      </c>
      <c r="F4">
        <v>4651</v>
      </c>
      <c r="G4">
        <v>2510</v>
      </c>
      <c r="H4">
        <v>1188</v>
      </c>
    </row>
    <row r="5" spans="3:14" x14ac:dyDescent="0.25">
      <c r="C5">
        <v>19315</v>
      </c>
      <c r="D5">
        <v>19653</v>
      </c>
      <c r="E5">
        <v>6885</v>
      </c>
      <c r="F5">
        <v>9083</v>
      </c>
      <c r="G5">
        <v>3910</v>
      </c>
      <c r="H5">
        <v>600</v>
      </c>
    </row>
    <row r="6" spans="3:14" x14ac:dyDescent="0.25">
      <c r="C6">
        <v>29235</v>
      </c>
      <c r="D6">
        <v>9778</v>
      </c>
      <c r="E6">
        <v>13148</v>
      </c>
      <c r="F6">
        <v>4597</v>
      </c>
      <c r="G6">
        <v>3034</v>
      </c>
      <c r="H6">
        <v>1508</v>
      </c>
    </row>
    <row r="7" spans="3:14" x14ac:dyDescent="0.25">
      <c r="C7">
        <v>21002</v>
      </c>
      <c r="D7">
        <v>18773</v>
      </c>
      <c r="E7">
        <v>7065</v>
      </c>
      <c r="F7">
        <v>8771</v>
      </c>
      <c r="G7">
        <v>4191</v>
      </c>
      <c r="H7">
        <v>640</v>
      </c>
    </row>
    <row r="8" spans="3:14" x14ac:dyDescent="0.25">
      <c r="C8">
        <v>27283</v>
      </c>
      <c r="D8">
        <v>11070</v>
      </c>
      <c r="E8">
        <v>14108</v>
      </c>
      <c r="F8">
        <v>5558</v>
      </c>
      <c r="G8">
        <v>2836</v>
      </c>
      <c r="H8">
        <v>1088</v>
      </c>
    </row>
    <row r="9" spans="3:14" x14ac:dyDescent="0.25">
      <c r="C9">
        <v>22479</v>
      </c>
      <c r="D9">
        <v>19404</v>
      </c>
      <c r="E9">
        <v>6940</v>
      </c>
      <c r="F9">
        <v>8009</v>
      </c>
      <c r="G9">
        <v>4114</v>
      </c>
      <c r="H9">
        <v>820</v>
      </c>
    </row>
    <row r="10" spans="3:14" x14ac:dyDescent="0.25">
      <c r="C10">
        <v>27783</v>
      </c>
      <c r="D10">
        <v>12290</v>
      </c>
      <c r="E10">
        <v>13147</v>
      </c>
      <c r="F10">
        <v>6203</v>
      </c>
      <c r="G10">
        <v>3097</v>
      </c>
      <c r="H10">
        <v>1316</v>
      </c>
    </row>
    <row r="11" spans="3:14" x14ac:dyDescent="0.25">
      <c r="C11">
        <v>22991</v>
      </c>
      <c r="D11">
        <v>18022</v>
      </c>
      <c r="E11">
        <v>6987</v>
      </c>
      <c r="F11">
        <v>8034</v>
      </c>
      <c r="G11">
        <v>4352</v>
      </c>
      <c r="H11">
        <v>726</v>
      </c>
    </row>
    <row r="12" spans="3:14" x14ac:dyDescent="0.25">
      <c r="C12">
        <v>25478</v>
      </c>
      <c r="D12">
        <v>11329</v>
      </c>
      <c r="E12">
        <v>14167</v>
      </c>
      <c r="F12">
        <v>5533</v>
      </c>
      <c r="G12">
        <v>2912</v>
      </c>
      <c r="H12">
        <v>924</v>
      </c>
    </row>
    <row r="13" spans="3:14" x14ac:dyDescent="0.25">
      <c r="C13">
        <v>23336</v>
      </c>
      <c r="D13">
        <v>16534</v>
      </c>
      <c r="E13">
        <v>6269</v>
      </c>
      <c r="F13">
        <v>7335</v>
      </c>
      <c r="G13">
        <v>3293</v>
      </c>
      <c r="H13">
        <v>987</v>
      </c>
    </row>
    <row r="14" spans="3:14" x14ac:dyDescent="0.25">
      <c r="C14" s="24">
        <v>26263</v>
      </c>
      <c r="D14" s="24">
        <v>13461</v>
      </c>
      <c r="E14" s="24">
        <v>11141</v>
      </c>
      <c r="F14" s="24">
        <v>6447</v>
      </c>
      <c r="G14" s="24">
        <v>3054</v>
      </c>
      <c r="H14" s="24">
        <v>1011</v>
      </c>
      <c r="I14" s="24"/>
    </row>
    <row r="15" spans="3:14" x14ac:dyDescent="0.25">
      <c r="C15" s="25">
        <f>SUM(C3:C14)</f>
        <v>293501</v>
      </c>
      <c r="D15" s="25">
        <f t="shared" ref="D15:H15" si="0">SUM(D3:D14)</f>
        <v>180219</v>
      </c>
      <c r="E15" s="25">
        <f t="shared" si="0"/>
        <v>120435</v>
      </c>
      <c r="F15" s="25">
        <f t="shared" si="0"/>
        <v>83293</v>
      </c>
      <c r="G15" s="25">
        <f t="shared" si="0"/>
        <v>41877</v>
      </c>
      <c r="H15" s="25">
        <f t="shared" si="0"/>
        <v>11443</v>
      </c>
      <c r="I15" s="26">
        <f>SUM(C15:H15)</f>
        <v>730768</v>
      </c>
      <c r="J15" t="s">
        <v>32</v>
      </c>
    </row>
    <row r="16" spans="3:14" x14ac:dyDescent="0.25">
      <c r="C16" s="27">
        <f>C15/$I$15</f>
        <v>0.40163362380399797</v>
      </c>
      <c r="D16" s="27">
        <f t="shared" ref="D16:H16" si="1">D15/$I$15</f>
        <v>0.24661588903728679</v>
      </c>
      <c r="E16" s="27">
        <f t="shared" si="1"/>
        <v>0.16480606704179712</v>
      </c>
      <c r="F16" s="27">
        <f t="shared" si="1"/>
        <v>0.11398008670330392</v>
      </c>
      <c r="G16" s="27">
        <f t="shared" si="1"/>
        <v>5.7305464935519891E-2</v>
      </c>
      <c r="H16" s="27">
        <f t="shared" si="1"/>
        <v>1.5658868478094279E-2</v>
      </c>
      <c r="I16" t="s">
        <v>33</v>
      </c>
    </row>
    <row r="18" spans="3:10" x14ac:dyDescent="0.25">
      <c r="C18" s="25">
        <f t="shared" ref="C18:H18" si="2">C16*$N$2*$N$3</f>
        <v>79.209135546736306</v>
      </c>
      <c r="D18" s="25">
        <f t="shared" si="2"/>
        <v>48.636942290136219</v>
      </c>
      <c r="E18" s="25">
        <f t="shared" si="2"/>
        <v>32.502622613112685</v>
      </c>
      <c r="F18" s="25">
        <f t="shared" si="2"/>
        <v>22.478855360268984</v>
      </c>
      <c r="G18" s="25">
        <f t="shared" si="2"/>
        <v>11.301634302066011</v>
      </c>
      <c r="H18" s="25">
        <f t="shared" si="2"/>
        <v>3.0882011920276371</v>
      </c>
      <c r="I18" t="s">
        <v>28</v>
      </c>
    </row>
    <row r="19" spans="3:10" x14ac:dyDescent="0.25">
      <c r="C19" s="25">
        <f>C18/2</f>
        <v>39.604567773368153</v>
      </c>
      <c r="D19" s="25">
        <f t="shared" ref="D19:G19" si="3">D18/2</f>
        <v>24.318471145068109</v>
      </c>
      <c r="E19" s="25">
        <f t="shared" si="3"/>
        <v>16.251311306556342</v>
      </c>
      <c r="F19" s="25">
        <f t="shared" si="3"/>
        <v>11.239427680134492</v>
      </c>
      <c r="G19" s="25">
        <f t="shared" si="3"/>
        <v>5.6508171510330056</v>
      </c>
      <c r="H19" s="25">
        <f>H18/2</f>
        <v>1.5441005960138185</v>
      </c>
      <c r="I19" t="s">
        <v>83</v>
      </c>
    </row>
    <row r="21" spans="3:10" x14ac:dyDescent="0.25">
      <c r="C21" s="10">
        <f>C16/$H$16</f>
        <v>25.648955693437035</v>
      </c>
      <c r="D21" s="10">
        <f t="shared" ref="D21:H21" si="4">D16/$H$16</f>
        <v>15.749279035218036</v>
      </c>
      <c r="E21" s="10">
        <f t="shared" si="4"/>
        <v>10.524774971598356</v>
      </c>
      <c r="F21" s="10">
        <f t="shared" si="4"/>
        <v>7.2789478283666869</v>
      </c>
      <c r="G21" s="10">
        <f t="shared" si="4"/>
        <v>3.6596172332430306</v>
      </c>
      <c r="H21" s="10">
        <f t="shared" si="4"/>
        <v>1</v>
      </c>
      <c r="I21" t="s">
        <v>73</v>
      </c>
    </row>
    <row r="22" spans="3:10" x14ac:dyDescent="0.25">
      <c r="C22" s="64">
        <f>1/C21</f>
        <v>3.8987942119447637E-2</v>
      </c>
      <c r="D22" s="64">
        <f t="shared" ref="D22:H22" si="5">1/D21</f>
        <v>6.3494970008711626E-2</v>
      </c>
      <c r="E22" s="64">
        <f t="shared" si="5"/>
        <v>9.5013907917133725E-2</v>
      </c>
      <c r="F22" s="64">
        <f t="shared" si="5"/>
        <v>0.13738249312667331</v>
      </c>
      <c r="G22" s="64">
        <f t="shared" si="5"/>
        <v>0.27325262077035128</v>
      </c>
      <c r="H22" s="64">
        <f t="shared" si="5"/>
        <v>1</v>
      </c>
      <c r="I22" t="s">
        <v>74</v>
      </c>
    </row>
    <row r="24" spans="3:10" x14ac:dyDescent="0.25">
      <c r="C24" s="82" t="s">
        <v>81</v>
      </c>
      <c r="D24" s="83"/>
      <c r="E24" s="83"/>
      <c r="F24" s="83"/>
      <c r="G24" s="83"/>
      <c r="H24" s="83"/>
      <c r="I24" s="21"/>
      <c r="J24" s="31"/>
    </row>
    <row r="25" spans="3:10" x14ac:dyDescent="0.25">
      <c r="C25" s="1">
        <v>25.36</v>
      </c>
      <c r="D25" s="13">
        <v>15.5</v>
      </c>
      <c r="E25" s="13">
        <v>10.47</v>
      </c>
      <c r="F25" s="13">
        <v>7.12</v>
      </c>
      <c r="G25" s="13">
        <v>3.65</v>
      </c>
      <c r="H25" s="84">
        <v>1</v>
      </c>
      <c r="I25" s="13" t="s">
        <v>82</v>
      </c>
      <c r="J25" s="14"/>
    </row>
    <row r="26" spans="3:10" x14ac:dyDescent="0.25">
      <c r="C26" s="85">
        <f>C25/SUM($C$25:$H$25)</f>
        <v>0.40190174326465927</v>
      </c>
      <c r="D26" s="36">
        <f t="shared" ref="D26:H26" si="6">D25/SUM($C$25:$H$25)</f>
        <v>0.24564183835182252</v>
      </c>
      <c r="E26" s="36">
        <f t="shared" si="6"/>
        <v>0.16592709984152143</v>
      </c>
      <c r="F26" s="36">
        <f t="shared" si="6"/>
        <v>0.1128367670364501</v>
      </c>
      <c r="G26" s="36">
        <f t="shared" si="6"/>
        <v>5.7844690966719493E-2</v>
      </c>
      <c r="H26" s="36">
        <f t="shared" si="6"/>
        <v>1.5847860538827259E-2</v>
      </c>
      <c r="I26" s="13"/>
      <c r="J26" s="14"/>
    </row>
    <row r="27" spans="3:10" x14ac:dyDescent="0.25">
      <c r="C27" s="86">
        <f>C26*$N$2*$N$3</f>
        <v>79.262013367325849</v>
      </c>
      <c r="D27" s="87">
        <f t="shared" ref="D27:H27" si="7">D26*$N$2*$N$3</f>
        <v>48.444842554950746</v>
      </c>
      <c r="E27" s="87">
        <f t="shared" si="7"/>
        <v>32.723709777440924</v>
      </c>
      <c r="F27" s="87">
        <f t="shared" si="7"/>
        <v>22.253372838145118</v>
      </c>
      <c r="G27" s="87">
        <f t="shared" si="7"/>
        <v>11.407979053262594</v>
      </c>
      <c r="H27" s="87">
        <f t="shared" si="7"/>
        <v>3.1254737132226285</v>
      </c>
      <c r="I27" s="13" t="s">
        <v>28</v>
      </c>
      <c r="J27" s="14"/>
    </row>
    <row r="28" spans="3:10" x14ac:dyDescent="0.25">
      <c r="C28" s="88">
        <f>C27/47*24</f>
        <v>40.474219591825964</v>
      </c>
      <c r="D28" s="88">
        <f t="shared" ref="D28:H28" si="8">D27/47*24</f>
        <v>24.737791942953571</v>
      </c>
      <c r="E28" s="88">
        <f t="shared" si="8"/>
        <v>16.709979460820897</v>
      </c>
      <c r="F28" s="88">
        <f t="shared" si="8"/>
        <v>11.363424427988996</v>
      </c>
      <c r="G28" s="88">
        <f t="shared" si="8"/>
        <v>5.8253510059213243</v>
      </c>
      <c r="H28" s="88">
        <f t="shared" si="8"/>
        <v>1.5959865769647466</v>
      </c>
      <c r="I28" s="24" t="s">
        <v>84</v>
      </c>
      <c r="J28" s="34"/>
    </row>
    <row r="32" spans="3:10" x14ac:dyDescent="0.25">
      <c r="C32" t="s">
        <v>85</v>
      </c>
      <c r="D32" t="s">
        <v>88</v>
      </c>
      <c r="E32" t="s">
        <v>89</v>
      </c>
      <c r="F32" t="s">
        <v>90</v>
      </c>
      <c r="G32" t="s">
        <v>91</v>
      </c>
    </row>
    <row r="33" spans="1:9" x14ac:dyDescent="0.25">
      <c r="C33" t="s">
        <v>22</v>
      </c>
      <c r="D33">
        <v>0.17</v>
      </c>
      <c r="E33">
        <v>0.24</v>
      </c>
      <c r="F33">
        <v>0.44</v>
      </c>
      <c r="G33">
        <v>0.61</v>
      </c>
    </row>
    <row r="34" spans="1:9" x14ac:dyDescent="0.25">
      <c r="C34" t="s">
        <v>23</v>
      </c>
      <c r="D34">
        <v>1.64</v>
      </c>
      <c r="F34">
        <f>1.49+0.62+8.06</f>
        <v>10.17</v>
      </c>
    </row>
    <row r="35" spans="1:9" x14ac:dyDescent="0.25">
      <c r="C35" t="s">
        <v>86</v>
      </c>
      <c r="D35">
        <v>2.72</v>
      </c>
      <c r="E35">
        <v>0.24</v>
      </c>
      <c r="F35">
        <v>0.44</v>
      </c>
      <c r="G35">
        <v>5.88</v>
      </c>
    </row>
    <row r="36" spans="1:9" x14ac:dyDescent="0.25">
      <c r="C36" t="s">
        <v>87</v>
      </c>
      <c r="D36">
        <v>4.54</v>
      </c>
      <c r="E36">
        <v>1.23</v>
      </c>
      <c r="F36">
        <v>0.88</v>
      </c>
      <c r="G36">
        <v>14.28</v>
      </c>
    </row>
    <row r="38" spans="1:9" x14ac:dyDescent="0.25">
      <c r="C38" t="s">
        <v>92</v>
      </c>
      <c r="D38" t="s">
        <v>88</v>
      </c>
      <c r="E38" t="s">
        <v>89</v>
      </c>
      <c r="F38" t="s">
        <v>90</v>
      </c>
      <c r="G38" t="s">
        <v>91</v>
      </c>
    </row>
    <row r="39" spans="1:9" x14ac:dyDescent="0.25">
      <c r="C39" t="s">
        <v>22</v>
      </c>
      <c r="D39">
        <f>D33*$C$28/24</f>
        <v>0.28669238877543396</v>
      </c>
      <c r="E39">
        <f t="shared" ref="E39:G39" si="9">E33*$C$28/24</f>
        <v>0.40474219591825961</v>
      </c>
      <c r="F39">
        <f t="shared" si="9"/>
        <v>0.74202735918347607</v>
      </c>
      <c r="G39">
        <f t="shared" si="9"/>
        <v>1.0287197479589099</v>
      </c>
    </row>
    <row r="40" spans="1:9" x14ac:dyDescent="0.25">
      <c r="C40" t="s">
        <v>23</v>
      </c>
      <c r="D40">
        <f>D34*$D$28/24</f>
        <v>1.690415782768494</v>
      </c>
      <c r="E40">
        <f t="shared" ref="E40:G40" si="10">E34*$D$28/24</f>
        <v>0</v>
      </c>
      <c r="F40">
        <f t="shared" si="10"/>
        <v>10.482639335826576</v>
      </c>
      <c r="G40">
        <f t="shared" si="10"/>
        <v>0</v>
      </c>
    </row>
    <row r="41" spans="1:9" x14ac:dyDescent="0.25">
      <c r="C41" t="s">
        <v>86</v>
      </c>
      <c r="D41">
        <f>D35*$E$28/24</f>
        <v>1.8937976722263683</v>
      </c>
      <c r="E41">
        <f t="shared" ref="E41:G41" si="11">E35*$E$28/24</f>
        <v>0.16709979460820898</v>
      </c>
      <c r="F41">
        <f t="shared" si="11"/>
        <v>0.30634962344838312</v>
      </c>
      <c r="G41">
        <f t="shared" si="11"/>
        <v>4.0939449679011197</v>
      </c>
    </row>
    <row r="42" spans="1:9" x14ac:dyDescent="0.25">
      <c r="C42" t="s">
        <v>87</v>
      </c>
      <c r="D42" s="24">
        <f>D36*$G$28/24</f>
        <v>1.1019622319534506</v>
      </c>
      <c r="E42" s="24">
        <f t="shared" ref="E42:G42" si="12">E36*$G$28/24</f>
        <v>0.29854923905346786</v>
      </c>
      <c r="F42" s="24">
        <f t="shared" si="12"/>
        <v>0.21359620355044853</v>
      </c>
      <c r="G42" s="24">
        <f t="shared" si="12"/>
        <v>3.4660838485231875</v>
      </c>
    </row>
    <row r="43" spans="1:9" x14ac:dyDescent="0.25">
      <c r="D43">
        <f>SUM(D39:D42)</f>
        <v>4.9728680757237473</v>
      </c>
      <c r="E43">
        <f t="shared" ref="E43:G43" si="13">SUM(E39:E42)</f>
        <v>0.87039122957993642</v>
      </c>
      <c r="F43">
        <f t="shared" si="13"/>
        <v>11.744612522008884</v>
      </c>
      <c r="G43">
        <f t="shared" si="13"/>
        <v>8.5887485643832164</v>
      </c>
      <c r="H43">
        <f>SUM(D43:G43)</f>
        <v>26.176620391695785</v>
      </c>
    </row>
    <row r="46" spans="1:9" x14ac:dyDescent="0.25">
      <c r="C46" t="s">
        <v>92</v>
      </c>
      <c r="D46" t="s">
        <v>88</v>
      </c>
      <c r="E46" t="s">
        <v>89</v>
      </c>
      <c r="F46" t="s">
        <v>90</v>
      </c>
      <c r="G46" t="s">
        <v>91</v>
      </c>
    </row>
    <row r="47" spans="1:9" x14ac:dyDescent="0.25">
      <c r="A47">
        <v>1</v>
      </c>
      <c r="B47">
        <f>C28*A47</f>
        <v>40.474219591825964</v>
      </c>
      <c r="C47" s="12" t="s">
        <v>22</v>
      </c>
      <c r="D47" s="89">
        <v>7.0833333333333338E-3</v>
      </c>
      <c r="E47" s="89">
        <v>0.01</v>
      </c>
      <c r="F47" s="89">
        <v>1.8333333333333333E-2</v>
      </c>
      <c r="G47" s="90">
        <v>2.5416666666666667E-2</v>
      </c>
      <c r="I47">
        <f>G47*B47</f>
        <v>1.0287197479589099</v>
      </c>
    </row>
    <row r="48" spans="1:9" x14ac:dyDescent="0.25">
      <c r="A48">
        <v>1</v>
      </c>
      <c r="B48">
        <f>D28*A48</f>
        <v>24.737791942953571</v>
      </c>
      <c r="C48" s="1" t="s">
        <v>23</v>
      </c>
      <c r="D48" s="91">
        <v>6.8333333333333329E-2</v>
      </c>
      <c r="E48" s="91">
        <v>0</v>
      </c>
      <c r="F48" s="91">
        <f>0.0879166666666667+0.335833333333333</f>
        <v>0.42374999999999968</v>
      </c>
      <c r="G48" s="92"/>
    </row>
    <row r="49" spans="1:9" x14ac:dyDescent="0.25">
      <c r="A49">
        <v>1</v>
      </c>
      <c r="B49">
        <f>E28*A49</f>
        <v>16.709979460820897</v>
      </c>
      <c r="C49" s="1" t="s">
        <v>86</v>
      </c>
      <c r="D49" s="91">
        <v>0.11333333333333334</v>
      </c>
      <c r="E49" s="91">
        <v>0.01</v>
      </c>
      <c r="F49" s="91">
        <v>1.8333333333333333E-2</v>
      </c>
      <c r="G49" s="92">
        <v>0.245</v>
      </c>
      <c r="I49">
        <f>G49*B49</f>
        <v>4.0939449679011197</v>
      </c>
    </row>
    <row r="50" spans="1:9" x14ac:dyDescent="0.25">
      <c r="A50">
        <v>1</v>
      </c>
      <c r="B50">
        <f>G28*A50</f>
        <v>5.8253510059213243</v>
      </c>
      <c r="C50" s="29" t="s">
        <v>87</v>
      </c>
      <c r="D50" s="93">
        <v>0.18916666666666668</v>
      </c>
      <c r="E50" s="93">
        <v>5.1249999999999997E-2</v>
      </c>
      <c r="F50" s="93">
        <v>3.6666666666666667E-2</v>
      </c>
      <c r="G50" s="94">
        <v>0.59499999999999997</v>
      </c>
      <c r="I50">
        <f>G50*B50</f>
        <v>3.466083848523188</v>
      </c>
    </row>
    <row r="51" spans="1:9" x14ac:dyDescent="0.25">
      <c r="D51">
        <f>SUMPRODUCT($B$47:$B$50,D47:D50)</f>
        <v>4.9728680757237473</v>
      </c>
      <c r="E51">
        <f t="shared" ref="E51:G51" si="14">SUMPRODUCT($B$47:$B$50,E47:E50)</f>
        <v>0.87039122957993653</v>
      </c>
      <c r="F51">
        <f t="shared" si="14"/>
        <v>11.744612522008875</v>
      </c>
      <c r="G51">
        <f t="shared" si="14"/>
        <v>8.5887485643832164</v>
      </c>
      <c r="H51">
        <f>SUM(D51:G51)</f>
        <v>26.176620391695778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2021-09-01T15:44:03Z</dcterms:modified>
</cp:coreProperties>
</file>