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0490" windowHeight="7650" firstSheet="6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production'!$C$21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'Rocket production'!$B$31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500000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F31" i="14" l="1"/>
  <c r="I31" i="14" s="1"/>
  <c r="F30" i="16"/>
  <c r="I30" i="16" s="1"/>
  <c r="K3" i="13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D4" i="16"/>
  <c r="D5" i="16"/>
  <c r="B5" i="16"/>
  <c r="B3" i="16"/>
  <c r="B4" i="16"/>
  <c r="J2" i="16" l="1"/>
  <c r="J4" i="16" s="1"/>
  <c r="J5" i="16" s="1"/>
  <c r="H30" i="16" s="1"/>
  <c r="E3" i="16"/>
  <c r="F3" i="16"/>
  <c r="F5" i="16"/>
  <c r="G5" i="16" s="1"/>
  <c r="E5" i="16"/>
  <c r="F4" i="16"/>
  <c r="G4" i="16" s="1"/>
  <c r="E4" i="16"/>
  <c r="H23" i="16" l="1"/>
  <c r="H22" i="16"/>
  <c r="H18" i="16"/>
  <c r="J18" i="16" s="1"/>
  <c r="E22" i="16" s="1"/>
  <c r="J22" i="16" s="1"/>
  <c r="F11" i="16"/>
  <c r="G11" i="16" s="1"/>
  <c r="G3" i="16"/>
  <c r="C19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E23" i="16" l="1"/>
  <c r="J23" i="16" s="1"/>
  <c r="E27" i="16" s="1"/>
  <c r="J27" i="16" s="1"/>
  <c r="B8" i="15"/>
  <c r="B10" i="15"/>
  <c r="B7" i="15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C36" i="16" l="1"/>
  <c r="C37" i="16" s="1"/>
  <c r="E30" i="16"/>
  <c r="J30" i="16" s="1"/>
  <c r="F6" i="14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J4" i="15" s="1"/>
  <c r="J5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H23" i="15" l="1"/>
  <c r="H22" i="15"/>
  <c r="H18" i="15"/>
  <c r="C44" i="16"/>
  <c r="C45" i="16" s="1"/>
  <c r="F9" i="14"/>
  <c r="G9" i="14" s="1"/>
  <c r="E9" i="14"/>
  <c r="F8" i="14"/>
  <c r="G8" i="14" s="1"/>
  <c r="E8" i="14"/>
  <c r="F7" i="14"/>
  <c r="G7" i="14" s="1"/>
  <c r="E7" i="14"/>
  <c r="F10" i="14"/>
  <c r="G10" i="14" s="1"/>
  <c r="E10" i="14"/>
  <c r="J18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J4" i="14" s="1"/>
  <c r="J5" i="14" s="1"/>
  <c r="D5" i="14"/>
  <c r="H18" i="14" l="1"/>
  <c r="J18" i="14" s="1"/>
  <c r="H31" i="14"/>
  <c r="H23" i="14"/>
  <c r="H22" i="14"/>
  <c r="H27" i="14"/>
  <c r="F3" i="14"/>
  <c r="G3" i="14" s="1"/>
  <c r="E3" i="14"/>
  <c r="F5" i="14"/>
  <c r="G5" i="14" s="1"/>
  <c r="E5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E31" i="14" s="1"/>
  <c r="J31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C45" i="14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G4" i="13"/>
  <c r="L25" i="9"/>
  <c r="J2" i="13" l="1"/>
  <c r="J4" i="13" s="1"/>
  <c r="J5" i="13" s="1"/>
  <c r="H13" i="13" s="1"/>
  <c r="F6" i="13" s="1"/>
  <c r="G6" i="13" s="1"/>
  <c r="G7" i="13" s="1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F7" i="13" l="1"/>
  <c r="J13" i="13"/>
  <c r="C20" i="13" s="1"/>
  <c r="C21" i="13" s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B31" i="13" l="1"/>
  <c r="C18" i="13"/>
  <c r="N25" i="9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<sst xmlns="http://schemas.openxmlformats.org/spreadsheetml/2006/main" count="573" uniqueCount="161">
  <si>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</si>
  <si>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</si>
  <si>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</si>
  <si>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</si>
  <si>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</si>
  <si>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</si>
  <si>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</si>
  <si>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</si>
  <si>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</si>
  <si>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</si>
  <si>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</si>
  <si>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</si>
  <si>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</si>
  <si>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</si>
  <si>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</si>
  <si>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</si>
  <si>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</si>
  <si>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</si>
  <si>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</si>
  <si>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</si>
  <si>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</si>
  <si>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</si>
  <si>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</si>
  <si>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</si>
  <si>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</si>
  <si>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</si>
  <si>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</si>
  <si>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</si>
  <si>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</si>
  <si>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</si>
  <si>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</si>
  <si>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</si>
  <si>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</si>
  <si>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</si>
  <si>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</si>
  <si>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</si>
  <si>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</si>
  <si>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</si>
  <si>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</si>
  <si>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</si>
  <si>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</si>
  <si>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</si>
  <si>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</si>
  <si>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</si>
  <si>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</si>
  <si>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</si>
  <si>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</si>
  <si>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</si>
  <si>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</si>
  <si>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</si>
  <si>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</si>
  <si>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</si>
  <si>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</si>
  <si>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</si>
  <si>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</si>
  <si>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</si>
  <si>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</si>
  <si>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</si>
  <si>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</si>
  <si>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</si>
  <si>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</si>
  <si>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</si>
  <si>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</si>
  <si>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</si>
  <si>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</si>
  <si>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</si>
  <si>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</si>
  <si>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</si>
  <si>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</si>
  <si>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</si>
  <si>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</si>
  <si>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</si>
  <si>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</si>
  <si>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</si>
  <si>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</si>
  <si>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</si>
  <si>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</si>
  <si>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</si>
  <si>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</si>
  <si>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</si>
  <si>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</si>
  <si>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</si>
  <si>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</si>
  <si>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</si>
  <si>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</si>
  <si>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</si>
  <si>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</si>
  <si>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</si>
  <si>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</si>
  <si>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</si>
  <si>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</si>
  <si>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</si>
  <si>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</si>
  <si>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</si>
  <si>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</si>
  <si>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</si>
  <si>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</si>
  <si>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</si>
  <si>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</si>
  <si>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</si>
  <si>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</si>
  <si>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</si>
  <si>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</si>
  <si>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</si>
  <si>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</si>
  <si>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</si>
  <si>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</si>
  <si>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</si>
  <si>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</si>
  <si>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</si>
  <si>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</si>
  <si>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</si>
  <si>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</si>
  <si>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</si>
  <si>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</si>
  <si>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</si>
  <si>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</si>
  <si>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</si>
  <si>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</si>
  <si>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</si>
  <si>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</si>
  <si>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</si>
  <si>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</si>
  <si>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</si>
  <si>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</si>
  <si>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</si>
  <si>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</si>
  <si>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</si>
  <si>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</si>
  <si>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</si>
  <si>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</si>
  <si>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</si>
  <si>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</si>
  <si>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</si>
  <si>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</si>
  <si>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</si>
  <si>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</si>
  <si>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</si>
  <si>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</si>
  <si>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</si>
  <si>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</si>
  <si>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</si>
  <si>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</si>
  <si>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</si>
  <si>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</si>
  <si>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</si>
  <si>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</si>
  <si>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</si>
  <si>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</si>
  <si>
    <t xml:space="preserve">(only changes through economy situation; recession/normal/boom) </t>
  </si>
  <si>
    <t xml:space="preserve">PRODUCED UNITS per hour </t>
  </si>
  <si>
    <t>Required amount of money required to build the propulsion factories up to the production desired</t>
  </si>
  <si>
    <t>(Launchpad lvl)</t>
  </si>
  <si>
    <t xml:space="preserve">Launchpad </t>
  </si>
  <si>
    <t>PRICE</t>
  </si>
  <si>
    <t xml:space="preserve">color codes: </t>
  </si>
  <si>
    <t>changes constantly, adjusted manually is permited and suggested</t>
  </si>
  <si>
    <t>Is not common to change, but it changes. Does not depend on the person, it is given by the game</t>
  </si>
  <si>
    <t xml:space="preserve">Partial results or final results </t>
  </si>
  <si>
    <t>gross profit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</si>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</sst>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164" fontId="0" fillId="6" borderId="0" xfId="2" applyFont="1" applyFill="1" applyBorder="1"/>
    <xf numFmtId="164" fontId="0" fillId="11" borderId="0" xfId="2" applyFont="1" applyFill="1" applyBorder="1"/>
    <xf numFmtId="164" fontId="0" fillId="11" borderId="0" xfId="2" applyFont="1" applyFill="1"/>
    <xf numFmtId="44" fontId="0" fillId="0" borderId="0" xfId="0" applyNumberFormat="1"/>
    <xf numFmtId="164" fontId="0" fillId="2" borderId="0" xfId="2" applyFont="1" applyFill="1"/>
    <xf numFmtId="164" fontId="0" fillId="0" borderId="0" xfId="0" applyNumberFormat="1"/>
    <xf numFmtId="0" fontId="0" fillId="12" borderId="0" xfId="0" applyFill="1" applyBorder="1"/>
    <xf numFmtId="0" fontId="2" fillId="12" borderId="0" xfId="0" applyFont="1" applyFill="1" applyBorder="1"/>
    <xf numFmtId="0" fontId="2" fillId="0" borderId="0" xfId="0" applyFont="1" applyFill="1" applyBorder="1"/>
    <xf numFmtId="0" fontId="0" fillId="11" borderId="0" xfId="0" applyFill="1"/>
    <xf numFmtId="0" fontId="0" fillId="2" borderId="0" xfId="0" applyFill="1"/>
    <xf numFmtId="0" fontId="0" fillId="12" borderId="0" xfId="0" applyFill="1"/>
    <xf numFmtId="164" fontId="0" fillId="0" borderId="0" xfId="0" applyNumberForma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2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9" x14ac:dyDescent="0.25">
      <c r="A23" s="26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2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2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2" t="s">
        <v>13</v>
      </c>
      <c r="B26" s="22">
        <v>1</v>
      </c>
      <c r="C26" s="24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2" t="s">
        <v>18</v>
      </c>
      <c r="B27" s="4">
        <v>1</v>
      </c>
      <c r="C27" s="24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2" t="s">
        <v>20</v>
      </c>
      <c r="B28" s="4">
        <v>20</v>
      </c>
      <c r="C28" s="24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2" t="s">
        <v>24</v>
      </c>
      <c r="B29" s="4">
        <v>100</v>
      </c>
      <c r="C29" s="24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2" t="s">
        <v>23</v>
      </c>
      <c r="B30" s="4">
        <v>100</v>
      </c>
      <c r="C30" s="24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2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6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2" t="s">
        <v>27</v>
      </c>
      <c r="B33" s="4">
        <v>1</v>
      </c>
      <c r="C33" s="24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2" t="s">
        <v>29</v>
      </c>
      <c r="B34" s="4">
        <v>1</v>
      </c>
      <c r="C34" s="24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2" t="s">
        <v>31</v>
      </c>
      <c r="B35" s="4">
        <v>1</v>
      </c>
      <c r="C35" s="24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2" t="s">
        <v>33</v>
      </c>
      <c r="B36" s="4">
        <v>10</v>
      </c>
      <c r="C36" s="24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2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6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2" t="s">
        <v>36</v>
      </c>
      <c r="B39" s="4">
        <v>1</v>
      </c>
      <c r="C39" s="24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2" t="s">
        <v>38</v>
      </c>
      <c r="B40" s="4">
        <v>1</v>
      </c>
      <c r="C40" s="24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2" t="s">
        <v>40</v>
      </c>
      <c r="B41" s="4">
        <v>1</v>
      </c>
      <c r="C41" s="24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2" t="s">
        <v>42</v>
      </c>
      <c r="B42" s="4">
        <v>1</v>
      </c>
      <c r="C42" s="24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2" t="s">
        <v>66</v>
      </c>
      <c r="B43" s="4">
        <v>2</v>
      </c>
      <c r="C43" s="24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2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6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2" t="s">
        <v>45</v>
      </c>
      <c r="B46" s="4">
        <v>20</v>
      </c>
      <c r="C46" s="24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2" t="s">
        <v>47</v>
      </c>
      <c r="B47" s="4">
        <v>2000</v>
      </c>
      <c r="C47" s="24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2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6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2" t="s">
        <v>50</v>
      </c>
      <c r="B50" s="4">
        <v>2000</v>
      </c>
      <c r="C50" s="24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2" t="s">
        <v>52</v>
      </c>
      <c r="B51" s="4">
        <v>1000</v>
      </c>
      <c r="C51" s="24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2" t="s">
        <v>54</v>
      </c>
      <c r="B52" s="22">
        <v>100</v>
      </c>
      <c r="C52" s="24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2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zoomScale="55" zoomScaleNormal="55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4.140625" customWidth="1"/>
    <col min="4" max="4" width="75.140625" bestFit="1" customWidth="1"/>
    <col min="5" max="5" width="28.85546875" bestFit="1" customWidth="1"/>
    <col min="6" max="6" width="23.28515625" bestFit="1" customWidth="1"/>
    <col min="7" max="7" width="17.7109375" customWidth="1"/>
    <col min="8" max="8" width="34.28515625" customWidth="1"/>
    <col min="9" max="9" width="15.28515625" customWidth="1"/>
    <col min="10" max="10" width="17.710937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(I20+I25+I29+B31)/170</f>
        <v>0.49757377187354962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0.13310098397617451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0.36447278789737514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SUM(G3:G10)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5">
        <v>1989.41</v>
      </c>
      <c r="H18" s="22">
        <f>$J$5*G18</f>
        <v>725.08580897091713</v>
      </c>
      <c r="I18">
        <f>C18/F18</f>
        <v>70.689655172413794</v>
      </c>
      <c r="J18" s="39">
        <f>E18+G18+H18</f>
        <v>10232.495808970916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11</v>
      </c>
      <c r="H19" s="36" t="s">
        <v>101</v>
      </c>
      <c r="I19" s="36">
        <f>I18/G19</f>
        <v>6.4263322884012544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596704.85750501114</v>
      </c>
      <c r="F22" s="4">
        <v>1.67</v>
      </c>
      <c r="G22" s="45">
        <v>351.65</v>
      </c>
      <c r="H22" s="4">
        <f>$J$5*G22</f>
        <v>128.16685586411197</v>
      </c>
      <c r="I22">
        <f>C22/F22</f>
        <v>0.29940119760479045</v>
      </c>
      <c r="J22" s="39">
        <f>E22+G22+H22</f>
        <v>597184.67436087527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147937.4706627964</v>
      </c>
      <c r="F23" s="4">
        <v>0.33</v>
      </c>
      <c r="G23" s="45">
        <v>1758.23</v>
      </c>
      <c r="H23" s="4">
        <f>$J$5*G23</f>
        <v>640.82698986480193</v>
      </c>
      <c r="I23">
        <f>C23/F23</f>
        <v>1.5151515151515151</v>
      </c>
      <c r="J23" s="39">
        <f>E23+G23+H23</f>
        <v>150336.52765266123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47</v>
      </c>
      <c r="B27" s="12">
        <v>4</v>
      </c>
      <c r="C27" s="12">
        <v>0.5</v>
      </c>
      <c r="D27" s="25" t="s">
        <v>48</v>
      </c>
      <c r="E27" s="22">
        <f>J22+J23</f>
        <v>747521.20201353647</v>
      </c>
      <c r="F27" s="22">
        <v>0.24</v>
      </c>
      <c r="G27" s="45">
        <v>3170.85</v>
      </c>
      <c r="H27" s="22">
        <f>$J$5*G27</f>
        <v>1155.6885395043919</v>
      </c>
      <c r="I27">
        <f>C27/F27</f>
        <v>2.0833333333333335</v>
      </c>
      <c r="J27" s="39">
        <f>E27+G27+H27</f>
        <v>751847.74055304087</v>
      </c>
      <c r="L27" s="4"/>
      <c r="M27" s="4"/>
    </row>
    <row r="28" spans="1:13" x14ac:dyDescent="0.25">
      <c r="A28" s="22"/>
      <c r="B28" s="22"/>
      <c r="C28" s="22"/>
      <c r="D28" s="24"/>
      <c r="E28" s="4"/>
      <c r="F28" s="35" t="s">
        <v>100</v>
      </c>
      <c r="G28" s="37">
        <v>1</v>
      </c>
      <c r="H28" s="36" t="s">
        <v>101</v>
      </c>
      <c r="I28" s="36">
        <f>I27/G28</f>
        <v>2.0833333333333335</v>
      </c>
      <c r="K28" t="s">
        <v>127</v>
      </c>
      <c r="L28" s="4"/>
      <c r="M28" s="4"/>
    </row>
    <row r="29" spans="1:13" x14ac:dyDescent="0.25">
      <c r="A29" s="22"/>
      <c r="B29" s="22"/>
      <c r="C29" s="22"/>
      <c r="D29" s="24"/>
      <c r="E29" s="4"/>
      <c r="F29" s="4"/>
      <c r="G29" s="4"/>
      <c r="H29" s="36" t="s">
        <v>107</v>
      </c>
      <c r="I29" s="36">
        <f>I28*G28</f>
        <v>2.0833333333333335</v>
      </c>
      <c r="K29" s="4"/>
      <c r="L29" s="4"/>
      <c r="M29" s="4"/>
    </row>
    <row r="30" spans="1:13" x14ac:dyDescent="0.25">
      <c r="A30" s="26" t="s">
        <v>115</v>
      </c>
      <c r="B30" s="29" t="s">
        <v>152</v>
      </c>
      <c r="C30" s="26"/>
      <c r="D30" s="22"/>
      <c r="E30" s="22"/>
      <c r="F30" s="22"/>
      <c r="G30" s="22"/>
      <c r="H30" s="22"/>
      <c r="J30" s="22"/>
      <c r="K30" s="4"/>
      <c r="L30" s="4"/>
      <c r="M30" s="4"/>
    </row>
    <row r="31" spans="1:13" x14ac:dyDescent="0.25">
      <c r="A31" s="22" t="s">
        <v>153</v>
      </c>
      <c r="B31" s="12">
        <v>10</v>
      </c>
      <c r="C31" s="22"/>
      <c r="D31" s="25" t="s">
        <v>116</v>
      </c>
      <c r="E31" s="50">
        <f>J27</f>
        <v>751847.74055304087</v>
      </c>
      <c r="F31" s="22">
        <f>1/(128/(2^(B31-1)))</f>
        <v>4</v>
      </c>
      <c r="G31" s="45">
        <v>518</v>
      </c>
      <c r="H31" s="46">
        <f>G31*J5</f>
        <v>188.79690413084032</v>
      </c>
      <c r="I31">
        <f>C28/F31</f>
        <v>0</v>
      </c>
      <c r="J31" s="39">
        <f>E31+(H31+G31)/F31</f>
        <v>752024.43977907358</v>
      </c>
      <c r="K31" t="s">
        <v>129</v>
      </c>
    </row>
    <row r="32" spans="1:13" x14ac:dyDescent="0.25">
      <c r="A32" s="22"/>
      <c r="B32" s="22"/>
      <c r="C32" s="22"/>
      <c r="D32" s="24"/>
      <c r="E32" s="4"/>
      <c r="F32" s="35" t="s">
        <v>100</v>
      </c>
      <c r="G32" s="37">
        <v>1</v>
      </c>
      <c r="H32" s="36"/>
      <c r="I32" s="36"/>
    </row>
    <row r="33" spans="1:11" x14ac:dyDescent="0.25">
      <c r="A33" s="22"/>
      <c r="B33" s="22"/>
      <c r="C33" s="22"/>
      <c r="D33" s="24"/>
      <c r="E33" s="4"/>
      <c r="G33" s="4"/>
      <c r="H33" s="36"/>
      <c r="I33" s="36"/>
    </row>
    <row r="34" spans="1:11" x14ac:dyDescent="0.25">
      <c r="A34" s="22"/>
      <c r="B34" s="22" t="s">
        <v>108</v>
      </c>
      <c r="C34" s="22"/>
      <c r="D34" s="24"/>
      <c r="E34" s="4"/>
      <c r="F34" s="4"/>
      <c r="G34" s="4"/>
      <c r="H34" s="4"/>
      <c r="I34" s="22"/>
    </row>
    <row r="35" spans="1:11" x14ac:dyDescent="0.25">
      <c r="A35" s="22"/>
      <c r="B35" s="22" t="s">
        <v>104</v>
      </c>
      <c r="C35" s="12">
        <f>790000+15000*B27</f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/>
      <c r="I36" s="1"/>
    </row>
    <row r="37" spans="1:11" x14ac:dyDescent="0.25">
      <c r="A37" s="22"/>
      <c r="B37" s="22" t="s">
        <v>105</v>
      </c>
      <c r="C37" s="39">
        <f>(C35-J27)*C27</f>
        <v>49076.129723479564</v>
      </c>
      <c r="D37" s="22"/>
      <c r="E37" s="22"/>
      <c r="I37" s="1"/>
    </row>
    <row r="38" spans="1:11" x14ac:dyDescent="0.25">
      <c r="A38" s="22"/>
      <c r="B38" s="22" t="s">
        <v>106</v>
      </c>
      <c r="C38" s="39">
        <f>C37*24</f>
        <v>1177827.1133635095</v>
      </c>
      <c r="D38" s="22"/>
      <c r="E38" s="22"/>
    </row>
    <row r="39" spans="1:11" x14ac:dyDescent="0.25">
      <c r="A39" s="22"/>
      <c r="B39" s="22"/>
      <c r="C39" s="22"/>
      <c r="D39" s="22"/>
      <c r="E39" s="22"/>
    </row>
    <row r="40" spans="1:11" x14ac:dyDescent="0.25">
      <c r="A40" s="22"/>
      <c r="B40" s="22" t="s">
        <v>109</v>
      </c>
      <c r="C40" s="22"/>
      <c r="D40" s="22"/>
      <c r="E40" s="22"/>
      <c r="K40" t="s">
        <v>155</v>
      </c>
    </row>
    <row r="41" spans="1:11" x14ac:dyDescent="0.25">
      <c r="A41" s="22"/>
      <c r="B41" s="22" t="s">
        <v>104</v>
      </c>
      <c r="C41" s="12">
        <v>316</v>
      </c>
      <c r="D41" s="22"/>
      <c r="E41" s="22"/>
      <c r="K41" s="48" t="s">
        <v>156</v>
      </c>
    </row>
    <row r="42" spans="1:11" x14ac:dyDescent="0.25">
      <c r="A42" s="22"/>
      <c r="B42" s="22" t="s">
        <v>110</v>
      </c>
      <c r="C42" s="22">
        <v>2800</v>
      </c>
      <c r="D42" s="22"/>
      <c r="E42" s="22"/>
      <c r="K42" s="49" t="s">
        <v>157</v>
      </c>
    </row>
    <row r="43" spans="1:11" x14ac:dyDescent="0.25">
      <c r="A43" s="22"/>
      <c r="B43" s="22" t="s">
        <v>111</v>
      </c>
      <c r="C43" s="22">
        <f>(0.5)^(B27+1)</f>
        <v>3.125E-2</v>
      </c>
      <c r="D43" s="22"/>
      <c r="E43" s="22"/>
      <c r="K43" s="47" t="s">
        <v>158</v>
      </c>
    </row>
    <row r="44" spans="1:11" x14ac:dyDescent="0.25">
      <c r="B44" s="22" t="s">
        <v>112</v>
      </c>
      <c r="C44" s="1">
        <f>C41*C42*(1-C43)</f>
        <v>857150</v>
      </c>
    </row>
    <row r="45" spans="1:11" x14ac:dyDescent="0.25">
      <c r="B45" s="22" t="s">
        <v>113</v>
      </c>
      <c r="C45" s="40">
        <f>(C44-J31)*C27</f>
        <v>52562.780110463209</v>
      </c>
    </row>
    <row r="46" spans="1:11" x14ac:dyDescent="0.25">
      <c r="B46" s="22" t="s">
        <v>114</v>
      </c>
      <c r="C46" s="40">
        <f>C45*24</f>
        <v>1261506.722651117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50</v>
      </c>
      <c r="B34" s="4">
        <v>2000</v>
      </c>
      <c r="C34" s="24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52</v>
      </c>
      <c r="B34" s="4">
        <v>1000</v>
      </c>
      <c r="C34" s="24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7" t="s">
        <v>66</v>
      </c>
      <c r="B31" s="4">
        <v>2</v>
      </c>
      <c r="C31" s="24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28" t="s">
        <v>54</v>
      </c>
      <c r="B34" s="22">
        <v>100</v>
      </c>
      <c r="C34" s="24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29" zoomScale="70" zoomScaleNormal="70" workbookViewId="0">
      <selection activeCell="D40" sqref="D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2"/>
      <c r="B22" s="22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2" t="s">
        <v>55</v>
      </c>
      <c r="J22" s="22" t="s">
        <v>85</v>
      </c>
    </row>
    <row r="23" spans="1:14" x14ac:dyDescent="0.25">
      <c r="A23" s="26" t="s">
        <v>3</v>
      </c>
      <c r="B23" s="26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29">
        <f>IF(B27&gt;0,B27-1,0)</f>
        <v>3</v>
      </c>
      <c r="C24" s="4">
        <v>2</v>
      </c>
      <c r="D24" s="24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19">
        <f t="shared" ref="N24:N27" si="1">L24/$M$41</f>
        <v>6.5144391691523473E-2</v>
      </c>
    </row>
    <row r="25" spans="1:14" x14ac:dyDescent="0.25">
      <c r="A25" s="11" t="s">
        <v>13</v>
      </c>
      <c r="B25" s="29">
        <f>IF(B27&gt;0,B27-1,0)</f>
        <v>3</v>
      </c>
      <c r="C25" s="22">
        <v>1</v>
      </c>
      <c r="D25" s="24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19">
        <f t="shared" si="1"/>
        <v>2.6298790925868024E-2</v>
      </c>
    </row>
    <row r="26" spans="1:14" x14ac:dyDescent="0.25">
      <c r="A26" s="30" t="s">
        <v>18</v>
      </c>
      <c r="B26" s="29">
        <f>IF(B28&gt;0,B28-1,0)</f>
        <v>3</v>
      </c>
      <c r="C26" s="4">
        <v>1</v>
      </c>
      <c r="D26" s="24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19">
        <f t="shared" si="1"/>
        <v>4.4805081991733725E-3</v>
      </c>
    </row>
    <row r="27" spans="1:14" x14ac:dyDescent="0.25">
      <c r="A27" s="31" t="s">
        <v>24</v>
      </c>
      <c r="B27" s="29">
        <f>IF(B38&gt;0,B38-1,0)</f>
        <v>4</v>
      </c>
      <c r="C27" s="4">
        <v>100</v>
      </c>
      <c r="D27" s="24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19">
        <f t="shared" si="1"/>
        <v>3.5790406812558555E-3</v>
      </c>
    </row>
    <row r="28" spans="1:14" x14ac:dyDescent="0.25">
      <c r="A28" s="32" t="s">
        <v>23</v>
      </c>
      <c r="B28" s="29">
        <f>IF(B38&gt;0,B38-1,0)</f>
        <v>4</v>
      </c>
      <c r="C28" s="4">
        <v>100</v>
      </c>
      <c r="D28" s="24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19">
        <f>L28/$M$41</f>
        <v>1.8112114962719025E-2</v>
      </c>
    </row>
    <row r="29" spans="1:14" x14ac:dyDescent="0.25">
      <c r="A29" s="22"/>
      <c r="B29" s="29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0">
        <f>M29/$M$41</f>
        <v>0.11761484646053975</v>
      </c>
    </row>
    <row r="30" spans="1:14" x14ac:dyDescent="0.25">
      <c r="A30" s="26" t="s">
        <v>26</v>
      </c>
      <c r="B30" s="26"/>
      <c r="C30" s="4"/>
      <c r="D30" s="4"/>
      <c r="E30" s="4"/>
      <c r="F30" s="4"/>
      <c r="G30" s="4"/>
      <c r="H30" s="4"/>
      <c r="I30" s="4"/>
      <c r="J30" s="4"/>
      <c r="M30" s="5"/>
      <c r="N30" s="19"/>
    </row>
    <row r="31" spans="1:14" x14ac:dyDescent="0.25">
      <c r="A31" s="30" t="s">
        <v>29</v>
      </c>
      <c r="B31" s="29">
        <f>IF(B28&gt;0,B28-1,0)</f>
        <v>3</v>
      </c>
      <c r="C31" s="4">
        <v>1</v>
      </c>
      <c r="D31" s="24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19">
        <f t="shared" ref="N31:N32" si="3">L31/$M$41</f>
        <v>4.6695296388259986E-3</v>
      </c>
    </row>
    <row r="32" spans="1:14" x14ac:dyDescent="0.25">
      <c r="A32" s="30" t="s">
        <v>31</v>
      </c>
      <c r="B32" s="29">
        <f>IF(B28&gt;0,B28-1,0)</f>
        <v>3</v>
      </c>
      <c r="C32" s="4">
        <v>1</v>
      </c>
      <c r="D32" s="24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19">
        <f t="shared" si="3"/>
        <v>7.7876194627977567E-3</v>
      </c>
    </row>
    <row r="33" spans="1:14" x14ac:dyDescent="0.25">
      <c r="A33" s="22"/>
      <c r="B33" s="29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0">
        <f t="shared" ref="N33:N39" si="4">M33/$M$41</f>
        <v>1.2457149101623755E-2</v>
      </c>
    </row>
    <row r="34" spans="1:14" x14ac:dyDescent="0.25">
      <c r="A34" s="26" t="s">
        <v>35</v>
      </c>
      <c r="B34" s="26"/>
      <c r="C34" s="4"/>
      <c r="D34" s="4"/>
      <c r="E34" s="4"/>
      <c r="F34" s="4"/>
      <c r="G34" s="4"/>
      <c r="H34" s="4"/>
      <c r="I34" s="4"/>
      <c r="J34" s="4"/>
      <c r="M34" s="4"/>
      <c r="N34" s="19"/>
    </row>
    <row r="35" spans="1:14" x14ac:dyDescent="0.25">
      <c r="A35" s="11" t="s">
        <v>38</v>
      </c>
      <c r="B35" s="29">
        <f>IF(B27&gt;0,B27-1,0)</f>
        <v>3</v>
      </c>
      <c r="C35" s="22">
        <v>1</v>
      </c>
      <c r="D35" s="24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19">
        <f t="shared" ref="N35" si="5">L35/$M$41</f>
        <v>0.84502384636409789</v>
      </c>
    </row>
    <row r="36" spans="1:14" x14ac:dyDescent="0.25">
      <c r="A36" s="22"/>
      <c r="B36" s="29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0">
        <f t="shared" si="4"/>
        <v>0.84502384636409789</v>
      </c>
    </row>
    <row r="37" spans="1:14" x14ac:dyDescent="0.25">
      <c r="A37" s="26" t="s">
        <v>44</v>
      </c>
      <c r="B37" s="26"/>
      <c r="C37" s="4"/>
      <c r="D37" s="4"/>
      <c r="E37" s="4"/>
      <c r="F37" s="4"/>
      <c r="G37" s="4"/>
      <c r="H37" s="4"/>
      <c r="I37" s="4"/>
      <c r="J37" s="4"/>
      <c r="N37" s="19"/>
    </row>
    <row r="38" spans="1:14" x14ac:dyDescent="0.25">
      <c r="A38" s="28" t="s">
        <v>47</v>
      </c>
      <c r="B38" s="12">
        <v>5</v>
      </c>
      <c r="C38" s="4">
        <v>2000</v>
      </c>
      <c r="D38" s="24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19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0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3" t="s">
        <v>91</v>
      </c>
      <c r="B44" s="14"/>
      <c r="C44" s="14"/>
      <c r="D44" s="15"/>
    </row>
    <row r="45" spans="1:14" x14ac:dyDescent="0.25">
      <c r="A45" s="16"/>
      <c r="B45" s="4" t="s">
        <v>88</v>
      </c>
      <c r="C45" s="4">
        <f>346*0.985</f>
        <v>340.81</v>
      </c>
      <c r="D45" s="18"/>
    </row>
    <row r="46" spans="1:14" x14ac:dyDescent="0.25">
      <c r="A46" s="16"/>
      <c r="B46" s="4" t="s">
        <v>89</v>
      </c>
      <c r="C46" s="4">
        <v>2800</v>
      </c>
      <c r="D46" s="18"/>
    </row>
    <row r="47" spans="1:14" x14ac:dyDescent="0.25">
      <c r="A47" s="16"/>
      <c r="B47" s="4"/>
      <c r="C47" s="4"/>
      <c r="D47" s="18"/>
    </row>
    <row r="48" spans="1:14" x14ac:dyDescent="0.25">
      <c r="A48" s="16"/>
      <c r="B48" s="4"/>
      <c r="C48" s="4"/>
      <c r="D48" s="18"/>
    </row>
    <row r="49" spans="1:4" x14ac:dyDescent="0.25">
      <c r="A49" s="16" t="s">
        <v>90</v>
      </c>
      <c r="B49" s="4" t="s">
        <v>87</v>
      </c>
      <c r="C49" s="4" t="s">
        <v>92</v>
      </c>
      <c r="D49" s="23" t="s">
        <v>93</v>
      </c>
    </row>
    <row r="50" spans="1:4" x14ac:dyDescent="0.25">
      <c r="A50" s="16">
        <v>0</v>
      </c>
      <c r="B50" s="4">
        <f>$C$45*$C$46*(1-1/2^(A50+1))</f>
        <v>477134</v>
      </c>
      <c r="C50" s="4"/>
      <c r="D50" s="18"/>
    </row>
    <row r="51" spans="1:4" x14ac:dyDescent="0.25">
      <c r="A51" s="16">
        <v>1</v>
      </c>
      <c r="B51" s="4">
        <f t="shared" ref="B51:B60" si="7">$C$45*$C$46*(1-1/2^(A51+1))</f>
        <v>715701</v>
      </c>
      <c r="C51" s="4">
        <f>B51-B50</f>
        <v>238567</v>
      </c>
      <c r="D51" s="18"/>
    </row>
    <row r="52" spans="1:4" x14ac:dyDescent="0.25">
      <c r="A52" s="16">
        <v>2</v>
      </c>
      <c r="B52" s="4">
        <f t="shared" si="7"/>
        <v>834984.5</v>
      </c>
      <c r="C52" s="4">
        <f t="shared" ref="C52:D60" si="8">B52-B51</f>
        <v>119283.5</v>
      </c>
      <c r="D52" s="18">
        <f>C52-C51</f>
        <v>-119283.5</v>
      </c>
    </row>
    <row r="53" spans="1:4" x14ac:dyDescent="0.25">
      <c r="A53" s="16">
        <v>3</v>
      </c>
      <c r="B53" s="4">
        <f t="shared" si="7"/>
        <v>894626.25</v>
      </c>
      <c r="C53" s="4">
        <f t="shared" si="8"/>
        <v>59641.75</v>
      </c>
      <c r="D53" s="18">
        <f t="shared" si="8"/>
        <v>-59641.75</v>
      </c>
    </row>
    <row r="54" spans="1:4" x14ac:dyDescent="0.25">
      <c r="A54" s="16">
        <v>4</v>
      </c>
      <c r="B54" s="4">
        <f t="shared" si="7"/>
        <v>924447.125</v>
      </c>
      <c r="C54" s="4">
        <f t="shared" si="8"/>
        <v>29820.875</v>
      </c>
      <c r="D54" s="18">
        <f t="shared" si="8"/>
        <v>-29820.875</v>
      </c>
    </row>
    <row r="55" spans="1:4" x14ac:dyDescent="0.25">
      <c r="A55" s="16">
        <v>5</v>
      </c>
      <c r="B55" s="4">
        <f t="shared" si="7"/>
        <v>939357.5625</v>
      </c>
      <c r="C55" s="4">
        <f t="shared" si="8"/>
        <v>14910.4375</v>
      </c>
      <c r="D55" s="18">
        <f t="shared" si="8"/>
        <v>-14910.4375</v>
      </c>
    </row>
    <row r="56" spans="1:4" x14ac:dyDescent="0.25">
      <c r="A56" s="16">
        <v>6</v>
      </c>
      <c r="B56" s="4">
        <f t="shared" si="7"/>
        <v>946812.78125</v>
      </c>
      <c r="C56" s="4">
        <f t="shared" si="8"/>
        <v>7455.21875</v>
      </c>
      <c r="D56" s="18">
        <f t="shared" si="8"/>
        <v>-7455.21875</v>
      </c>
    </row>
    <row r="57" spans="1:4" x14ac:dyDescent="0.25">
      <c r="A57" s="16">
        <v>7</v>
      </c>
      <c r="B57" s="4">
        <f t="shared" si="7"/>
        <v>950540.390625</v>
      </c>
      <c r="C57" s="4">
        <f t="shared" si="8"/>
        <v>3727.609375</v>
      </c>
      <c r="D57" s="18">
        <f t="shared" si="8"/>
        <v>-3727.609375</v>
      </c>
    </row>
    <row r="58" spans="1:4" x14ac:dyDescent="0.25">
      <c r="A58" s="16">
        <v>8</v>
      </c>
      <c r="B58" s="4">
        <f t="shared" si="7"/>
        <v>952404.1953125</v>
      </c>
      <c r="C58" s="4">
        <f t="shared" si="8"/>
        <v>1863.8046875</v>
      </c>
      <c r="D58" s="18">
        <f t="shared" si="8"/>
        <v>-1863.8046875</v>
      </c>
    </row>
    <row r="59" spans="1:4" x14ac:dyDescent="0.25">
      <c r="A59" s="16">
        <v>9</v>
      </c>
      <c r="B59" s="4">
        <f t="shared" si="7"/>
        <v>953336.09765625</v>
      </c>
      <c r="C59" s="4">
        <f t="shared" si="8"/>
        <v>931.90234375</v>
      </c>
      <c r="D59" s="18">
        <f t="shared" si="8"/>
        <v>-931.90234375</v>
      </c>
    </row>
    <row r="60" spans="1:4" x14ac:dyDescent="0.25">
      <c r="A60" s="17">
        <v>10</v>
      </c>
      <c r="B60" s="3">
        <f t="shared" si="7"/>
        <v>953802.048828125</v>
      </c>
      <c r="C60" s="3">
        <f t="shared" si="8"/>
        <v>465.951171875</v>
      </c>
      <c r="D60" s="21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2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K22" t="s">
        <v>81</v>
      </c>
      <c r="L22" t="s">
        <v>82</v>
      </c>
    </row>
    <row r="23" spans="1:12" x14ac:dyDescent="0.25">
      <c r="A23" s="26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0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0" t="s">
        <v>13</v>
      </c>
      <c r="B25" s="4">
        <v>1</v>
      </c>
      <c r="C25" s="24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2" t="s">
        <v>20</v>
      </c>
      <c r="B26" s="4">
        <v>20</v>
      </c>
      <c r="C26" s="24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6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0" t="s">
        <v>27</v>
      </c>
      <c r="B29" s="4">
        <v>1</v>
      </c>
      <c r="C29" s="24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0" t="s">
        <v>31</v>
      </c>
      <c r="B30" s="4">
        <v>1</v>
      </c>
      <c r="C30" s="24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2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6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3" t="s">
        <v>36</v>
      </c>
      <c r="B33" s="4">
        <v>1</v>
      </c>
      <c r="C33" s="24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0" t="s">
        <v>40</v>
      </c>
      <c r="B34" s="4">
        <v>1</v>
      </c>
      <c r="C34" s="24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6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4" t="s">
        <v>45</v>
      </c>
      <c r="B37" s="4">
        <v>20</v>
      </c>
      <c r="C37" s="24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60" zoomScaleNormal="60" workbookViewId="0">
      <selection activeCell="D27" sqref="D2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7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22" t="s">
        <v>124</v>
      </c>
      <c r="F2" s="4" t="s">
        <v>118</v>
      </c>
      <c r="G2" s="4" t="s">
        <v>119</v>
      </c>
      <c r="H2" s="4"/>
      <c r="I2" s="22" t="s">
        <v>9</v>
      </c>
      <c r="J2" s="4">
        <f>I15/170</f>
        <v>0.30588235294117649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301.59999999999997</v>
      </c>
      <c r="E3">
        <f>D3*24</f>
        <v>7238.4</v>
      </c>
      <c r="F3" s="38">
        <f>D3*C3</f>
        <v>3287.4399999999996</v>
      </c>
      <c r="G3" s="38">
        <f>F3*24</f>
        <v>78898.559999999998</v>
      </c>
      <c r="H3" s="4"/>
      <c r="I3" s="4" t="s">
        <v>145</v>
      </c>
      <c r="J3" s="12">
        <v>26</v>
      </c>
      <c r="K3">
        <f>18+(16+7+12)/4</f>
        <v>26.75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120.63999999999999</v>
      </c>
      <c r="E4">
        <f t="shared" ref="E4:E5" si="0">D4*24</f>
        <v>2895.3599999999997</v>
      </c>
      <c r="F4" s="38">
        <f>D4*C4</f>
        <v>107369.59999999999</v>
      </c>
      <c r="G4" s="38">
        <f t="shared" ref="G4:G5" si="1">F4*24</f>
        <v>2576870.3999999999</v>
      </c>
      <c r="H4" s="4"/>
      <c r="I4" t="s">
        <v>147</v>
      </c>
      <c r="J4">
        <f>J3*J2/100</f>
        <v>7.952941176470589E-2</v>
      </c>
      <c r="L4" t="s">
        <v>96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150.79999999999998</v>
      </c>
      <c r="E5">
        <f t="shared" si="0"/>
        <v>3619.2</v>
      </c>
      <c r="F5" s="38">
        <f>D5*C5</f>
        <v>2714.3999999999996</v>
      </c>
      <c r="G5" s="38">
        <f t="shared" si="1"/>
        <v>65145.599999999991</v>
      </c>
      <c r="H5" s="4"/>
      <c r="I5" s="4" t="s">
        <v>146</v>
      </c>
      <c r="J5" s="4">
        <f>J2-J4</f>
        <v>0.22635294117647059</v>
      </c>
      <c r="L5" t="s">
        <v>97</v>
      </c>
    </row>
    <row r="6" spans="1:13" x14ac:dyDescent="0.25">
      <c r="A6" s="22" t="s">
        <v>160</v>
      </c>
      <c r="B6" s="4"/>
      <c r="C6" s="4"/>
      <c r="D6" s="4"/>
      <c r="F6" s="38">
        <f>(G13+H13)*C13</f>
        <v>41073.846625882354</v>
      </c>
      <c r="G6" s="38">
        <f>F6*24</f>
        <v>985772.31902117655</v>
      </c>
      <c r="H6" s="4"/>
    </row>
    <row r="7" spans="1:13" x14ac:dyDescent="0.25">
      <c r="A7" s="22" t="s">
        <v>123</v>
      </c>
      <c r="B7" s="4"/>
      <c r="C7" s="4"/>
      <c r="D7" s="4"/>
      <c r="F7" s="39">
        <f>SUM(F3:F6)</f>
        <v>154445.28662588235</v>
      </c>
      <c r="G7" s="39">
        <f>SUM(G3:G6)</f>
        <v>3706686.8790211766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2"/>
      <c r="B11" s="22" t="s">
        <v>99</v>
      </c>
      <c r="C11" s="22" t="s">
        <v>150</v>
      </c>
      <c r="D11" s="22" t="s">
        <v>4</v>
      </c>
      <c r="E11" s="22" t="s">
        <v>84</v>
      </c>
      <c r="F11" s="22" t="s">
        <v>6</v>
      </c>
      <c r="G11" s="22" t="s">
        <v>7</v>
      </c>
      <c r="H11" s="22" t="s">
        <v>8</v>
      </c>
      <c r="I11" s="22" t="s">
        <v>98</v>
      </c>
      <c r="J11" s="22" t="s">
        <v>55</v>
      </c>
      <c r="K11" s="22"/>
      <c r="L11" s="4"/>
      <c r="M11" s="4"/>
    </row>
    <row r="12" spans="1:13" x14ac:dyDescent="0.25">
      <c r="A12" s="26" t="s">
        <v>35</v>
      </c>
      <c r="B12" s="26"/>
      <c r="C12" s="22"/>
      <c r="D12" s="22"/>
      <c r="E12" s="22"/>
      <c r="F12" s="22"/>
      <c r="G12" s="22" t="s">
        <v>149</v>
      </c>
      <c r="H12" s="22"/>
      <c r="J12" s="22"/>
      <c r="K12" s="22"/>
      <c r="L12" s="5"/>
      <c r="M12" s="4"/>
    </row>
    <row r="13" spans="1:13" x14ac:dyDescent="0.25">
      <c r="A13" s="22" t="s">
        <v>38</v>
      </c>
      <c r="B13" s="12">
        <v>3</v>
      </c>
      <c r="C13" s="12">
        <f>0.29*52</f>
        <v>15.079999999999998</v>
      </c>
      <c r="D13" s="25" t="s">
        <v>39</v>
      </c>
      <c r="E13" s="22">
        <f>20*C3+8*C4+10*C5</f>
        <v>7518</v>
      </c>
      <c r="F13" s="22">
        <v>0.28999999999999998</v>
      </c>
      <c r="G13" s="44">
        <v>2221</v>
      </c>
      <c r="H13" s="22">
        <f>$J$5*G13</f>
        <v>502.72988235294116</v>
      </c>
      <c r="I13">
        <f>C13/F13</f>
        <v>52</v>
      </c>
      <c r="J13" s="39">
        <f>E13+G13+H13</f>
        <v>10241.729882352942</v>
      </c>
      <c r="K13" s="22"/>
      <c r="L13" s="4"/>
      <c r="M13" s="4"/>
    </row>
    <row r="14" spans="1:13" x14ac:dyDescent="0.25">
      <c r="A14" s="22"/>
      <c r="B14" s="22"/>
      <c r="C14" s="22"/>
      <c r="D14" s="25"/>
      <c r="E14" s="22"/>
      <c r="F14" s="35" t="s">
        <v>100</v>
      </c>
      <c r="G14" s="37">
        <v>13</v>
      </c>
      <c r="H14" s="36" t="s">
        <v>101</v>
      </c>
      <c r="I14" s="36">
        <f>I13/G14</f>
        <v>4</v>
      </c>
      <c r="J14" s="22"/>
      <c r="K14" s="22" t="s">
        <v>103</v>
      </c>
      <c r="L14" s="4"/>
      <c r="M14" s="4"/>
    </row>
    <row r="15" spans="1:13" x14ac:dyDescent="0.25">
      <c r="A15" s="22"/>
      <c r="B15" s="22"/>
      <c r="C15" s="22"/>
      <c r="D15" s="22"/>
      <c r="E15" s="22"/>
      <c r="H15" s="36" t="s">
        <v>107</v>
      </c>
      <c r="I15" s="36">
        <f>I14*G14</f>
        <v>52</v>
      </c>
    </row>
    <row r="16" spans="1:13" x14ac:dyDescent="0.25">
      <c r="A16" s="22"/>
      <c r="B16" s="22"/>
      <c r="C16" s="22"/>
      <c r="D16" s="22"/>
      <c r="E16" s="22"/>
    </row>
    <row r="17" spans="1:11" x14ac:dyDescent="0.25">
      <c r="A17" s="22"/>
      <c r="B17" s="22" t="s">
        <v>104</v>
      </c>
      <c r="C17" s="12">
        <v>11500</v>
      </c>
      <c r="D17" s="22"/>
      <c r="E17" s="22"/>
    </row>
    <row r="18" spans="1:11" x14ac:dyDescent="0.25">
      <c r="A18" s="22"/>
      <c r="B18" t="s">
        <v>159</v>
      </c>
      <c r="C18" s="19">
        <f>C21/C19/C17</f>
        <v>0.10941479283887463</v>
      </c>
      <c r="D18" s="22"/>
      <c r="E18" s="22"/>
    </row>
    <row r="19" spans="1:11" x14ac:dyDescent="0.25">
      <c r="A19" s="22"/>
      <c r="B19" s="22" t="s">
        <v>122</v>
      </c>
      <c r="C19" s="22">
        <f>C13*24</f>
        <v>361.91999999999996</v>
      </c>
      <c r="D19" s="22"/>
      <c r="E19" s="22"/>
    </row>
    <row r="20" spans="1:11" x14ac:dyDescent="0.25">
      <c r="A20" s="22"/>
      <c r="B20" s="22" t="s">
        <v>105</v>
      </c>
      <c r="C20" s="39">
        <f>(C17-J13)*C13</f>
        <v>18974.713374117637</v>
      </c>
      <c r="D20" s="22"/>
      <c r="E20" s="22"/>
    </row>
    <row r="21" spans="1:11" x14ac:dyDescent="0.25">
      <c r="A21" s="22"/>
      <c r="B21" s="22" t="s">
        <v>106</v>
      </c>
      <c r="C21" s="39">
        <f>C20*24</f>
        <v>455393.12097882328</v>
      </c>
      <c r="D21" s="22"/>
      <c r="E21" s="22"/>
    </row>
    <row r="22" spans="1:11" x14ac:dyDescent="0.25">
      <c r="A22" s="22"/>
      <c r="B22" s="22"/>
      <c r="C22" s="22"/>
      <c r="D22" s="22"/>
      <c r="E22" s="22"/>
    </row>
    <row r="23" spans="1:11" x14ac:dyDescent="0.25">
      <c r="K23" t="s">
        <v>155</v>
      </c>
    </row>
    <row r="24" spans="1:11" x14ac:dyDescent="0.25">
      <c r="K24" s="48" t="s">
        <v>156</v>
      </c>
    </row>
    <row r="25" spans="1:11" x14ac:dyDescent="0.25">
      <c r="K25" s="49" t="s">
        <v>157</v>
      </c>
    </row>
    <row r="26" spans="1:11" x14ac:dyDescent="0.25">
      <c r="K26" s="47" t="s">
        <v>158</v>
      </c>
    </row>
    <row r="29" spans="1:11" x14ac:dyDescent="0.25">
      <c r="A29" t="s">
        <v>143</v>
      </c>
      <c r="B29" s="42">
        <v>105000</v>
      </c>
    </row>
    <row r="30" spans="1:11" x14ac:dyDescent="0.25">
      <c r="A30" t="s">
        <v>144</v>
      </c>
      <c r="B30" s="43">
        <f>(1+((I14/2)*(I14-1)))*B29*G14</f>
        <v>9555000</v>
      </c>
      <c r="C30" t="s">
        <v>151</v>
      </c>
    </row>
    <row r="31" spans="1:11" x14ac:dyDescent="0.25">
      <c r="A31" t="s">
        <v>148</v>
      </c>
      <c r="B31" s="19">
        <f>C21/B30</f>
        <v>4.7660190578631426E-2</v>
      </c>
    </row>
    <row r="34" spans="2:3" x14ac:dyDescent="0.25">
      <c r="C34" s="43"/>
    </row>
    <row r="37" spans="2:3" x14ac:dyDescent="0.25">
      <c r="B37" s="43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5" zoomScaleNormal="55" workbookViewId="0">
      <selection activeCell="D14" sqref="D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(I20+I25)/170</f>
        <v>0.42649534050100063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0.11408750358401766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0.31240783691698298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 t="s">
        <v>149</v>
      </c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718.53802490906082</v>
      </c>
      <c r="I18">
        <f>C18/F18</f>
        <v>70.689655172413794</v>
      </c>
      <c r="J18" s="39">
        <f>E18+G18+H18</f>
        <v>10536.538024909061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13</v>
      </c>
      <c r="H19" s="36" t="s">
        <v>101</v>
      </c>
      <c r="I19" s="36">
        <f>I18/G19</f>
        <v>5.4376657824933687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607042.29284690809</v>
      </c>
      <c r="F22" s="4">
        <v>1.67</v>
      </c>
      <c r="G22" s="44">
        <v>351.65</v>
      </c>
      <c r="H22" s="4">
        <f>$J$5*G22</f>
        <v>109.85821585185705</v>
      </c>
      <c r="I22">
        <f>C22/F22</f>
        <v>0.29940119760479045</v>
      </c>
      <c r="J22" s="39">
        <f>E22+G22+H22</f>
        <v>607503.80106275994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150065.76617436344</v>
      </c>
      <c r="F23" s="4">
        <v>0.33</v>
      </c>
      <c r="G23" s="44">
        <v>1758.23</v>
      </c>
      <c r="H23" s="4">
        <f>$J$5*G23</f>
        <v>549.28483110254695</v>
      </c>
      <c r="I23">
        <f>C23/F23</f>
        <v>1.5151515151515151</v>
      </c>
      <c r="J23" s="39">
        <f>E23+G23+H23</f>
        <v>152373.28100546601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759877.08206822595</v>
      </c>
      <c r="F27" s="22">
        <f>C27</f>
        <v>0.5</v>
      </c>
      <c r="G27" s="22">
        <v>12500</v>
      </c>
      <c r="H27" s="22"/>
      <c r="I27">
        <f>C27/F27</f>
        <v>1</v>
      </c>
      <c r="J27" s="39">
        <f>E27+G27+H27</f>
        <v>772377.08206822595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2"/>
      <c r="D29" s="24"/>
      <c r="E29" s="4"/>
      <c r="F29" s="4"/>
      <c r="G29" s="4"/>
      <c r="H29" s="4"/>
      <c r="I29" s="22"/>
    </row>
    <row r="30" spans="1:13" x14ac:dyDescent="0.25">
      <c r="A30" s="22"/>
      <c r="D30" s="22"/>
      <c r="E30" s="22"/>
      <c r="I30" s="1"/>
    </row>
    <row r="31" spans="1:13" x14ac:dyDescent="0.25">
      <c r="A31" s="22"/>
      <c r="D31" s="22"/>
    </row>
    <row r="32" spans="1:13" x14ac:dyDescent="0.25">
      <c r="A32" s="22"/>
      <c r="D32" s="22"/>
    </row>
    <row r="33" spans="1:11" x14ac:dyDescent="0.25">
      <c r="A33" s="22"/>
      <c r="D33" s="22"/>
    </row>
    <row r="34" spans="1:11" x14ac:dyDescent="0.25">
      <c r="A34" s="22"/>
      <c r="B34" s="22" t="s">
        <v>108</v>
      </c>
      <c r="C34" s="22"/>
      <c r="D34" s="22"/>
    </row>
    <row r="35" spans="1:11" x14ac:dyDescent="0.25">
      <c r="A35" s="22"/>
      <c r="B35" s="22" t="s">
        <v>104</v>
      </c>
      <c r="C35" s="12"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 t="s">
        <v>130</v>
      </c>
      <c r="F36" t="s">
        <v>132</v>
      </c>
      <c r="I36" s="1"/>
    </row>
    <row r="37" spans="1:11" x14ac:dyDescent="0.25">
      <c r="A37" s="22"/>
      <c r="B37" s="22" t="s">
        <v>105</v>
      </c>
      <c r="C37" s="39">
        <f>(C35-J27)*C27</f>
        <v>38811.458965887025</v>
      </c>
      <c r="D37" s="22"/>
      <c r="E37" s="22" t="s">
        <v>99</v>
      </c>
      <c r="F37" t="s">
        <v>131</v>
      </c>
      <c r="G37" t="s">
        <v>134</v>
      </c>
      <c r="H37" t="s">
        <v>135</v>
      </c>
      <c r="I37" t="s">
        <v>136</v>
      </c>
      <c r="K37" t="s">
        <v>142</v>
      </c>
    </row>
    <row r="38" spans="1:11" x14ac:dyDescent="0.25">
      <c r="A38" s="22"/>
      <c r="B38" s="22" t="s">
        <v>106</v>
      </c>
      <c r="C38" s="39">
        <f>C37*24</f>
        <v>931475.01518128859</v>
      </c>
      <c r="D38" s="22"/>
      <c r="E38" s="22">
        <v>2</v>
      </c>
      <c r="F38" s="48">
        <v>2426</v>
      </c>
      <c r="G38" s="41">
        <f t="shared" ref="G38:H42" si="3">$J$27/2800/F52</f>
        <v>318.37472467775183</v>
      </c>
      <c r="H38" s="41">
        <f t="shared" si="3"/>
        <v>315.25595186458202</v>
      </c>
      <c r="I38">
        <f>(G38-H38)*$C$42</f>
        <v>8732.5638768754743</v>
      </c>
    </row>
    <row r="39" spans="1:11" x14ac:dyDescent="0.25">
      <c r="B39" s="22"/>
      <c r="C39" s="22"/>
      <c r="E39" s="22">
        <v>3</v>
      </c>
      <c r="F39" s="48">
        <v>2604</v>
      </c>
      <c r="G39" s="41">
        <f t="shared" si="3"/>
        <v>296.61178266828949</v>
      </c>
      <c r="H39" s="41">
        <f t="shared" si="3"/>
        <v>294.2388884069432</v>
      </c>
      <c r="I39">
        <f t="shared" ref="I39:I42" si="4">(G39-H39)*$C$42</f>
        <v>6644.1039317696095</v>
      </c>
    </row>
    <row r="40" spans="1:11" x14ac:dyDescent="0.25">
      <c r="B40" s="22" t="s">
        <v>109</v>
      </c>
      <c r="C40" s="22"/>
      <c r="E40" s="22">
        <v>4</v>
      </c>
      <c r="F40" s="48">
        <v>2699</v>
      </c>
      <c r="G40" s="41">
        <f t="shared" si="3"/>
        <v>286.17157542357387</v>
      </c>
      <c r="H40" s="41">
        <f t="shared" si="3"/>
        <v>284.74731136155793</v>
      </c>
      <c r="I40">
        <f t="shared" si="4"/>
        <v>3987.9393736446218</v>
      </c>
    </row>
    <row r="41" spans="1:11" x14ac:dyDescent="0.25">
      <c r="B41" s="22" t="s">
        <v>104</v>
      </c>
      <c r="C41" s="12">
        <v>316</v>
      </c>
      <c r="E41" s="22">
        <v>5</v>
      </c>
      <c r="F41" s="48">
        <v>2742</v>
      </c>
      <c r="G41" s="41">
        <f t="shared" si="3"/>
        <v>281.68383736988545</v>
      </c>
      <c r="H41" s="41">
        <f t="shared" si="3"/>
        <v>280.22751276851733</v>
      </c>
      <c r="I41">
        <f t="shared" si="4"/>
        <v>4077.7088838307463</v>
      </c>
    </row>
    <row r="42" spans="1:11" x14ac:dyDescent="0.25">
      <c r="B42" s="22" t="s">
        <v>110</v>
      </c>
      <c r="C42" s="22">
        <v>2800</v>
      </c>
      <c r="E42" s="22">
        <v>6</v>
      </c>
      <c r="F42" s="48">
        <v>2765</v>
      </c>
      <c r="G42" s="41">
        <f t="shared" si="3"/>
        <v>279.34071684203468</v>
      </c>
      <c r="H42" s="41">
        <f t="shared" si="3"/>
        <v>278.02099691994636</v>
      </c>
      <c r="I42">
        <f t="shared" si="4"/>
        <v>3695.2157818473097</v>
      </c>
      <c r="K42" t="s">
        <v>155</v>
      </c>
    </row>
    <row r="43" spans="1:11" x14ac:dyDescent="0.25">
      <c r="B43" s="22" t="s">
        <v>111</v>
      </c>
      <c r="C43" s="22">
        <f>LOOKUP(B27,E38:E42,F45:F49)</f>
        <v>3.6071428571428532E-2</v>
      </c>
      <c r="K43" s="48" t="s">
        <v>156</v>
      </c>
    </row>
    <row r="44" spans="1:11" x14ac:dyDescent="0.25">
      <c r="B44" s="22" t="s">
        <v>112</v>
      </c>
      <c r="C44" s="1">
        <f>C42*C41*(1-C43)</f>
        <v>852884</v>
      </c>
      <c r="F44" t="s">
        <v>139</v>
      </c>
      <c r="G44" t="s">
        <v>138</v>
      </c>
      <c r="K44" s="49" t="s">
        <v>157</v>
      </c>
    </row>
    <row r="45" spans="1:11" x14ac:dyDescent="0.25">
      <c r="B45" s="22" t="s">
        <v>113</v>
      </c>
      <c r="C45" s="40">
        <f>(C44-J27)*C27</f>
        <v>40253.458965887025</v>
      </c>
      <c r="E45" s="22">
        <v>2</v>
      </c>
      <c r="F45">
        <f t="shared" ref="F45:G49" si="5">1-F52</f>
        <v>0.13357142857142856</v>
      </c>
      <c r="G45">
        <f t="shared" si="5"/>
        <v>0.125</v>
      </c>
      <c r="K45" s="47" t="s">
        <v>158</v>
      </c>
    </row>
    <row r="46" spans="1:11" x14ac:dyDescent="0.25">
      <c r="B46" s="22" t="s">
        <v>114</v>
      </c>
      <c r="C46" s="40">
        <f>C45*24</f>
        <v>966083.01518128859</v>
      </c>
      <c r="E46" s="22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2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2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2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137</v>
      </c>
      <c r="G51" t="s">
        <v>133</v>
      </c>
    </row>
    <row r="52" spans="5:7" x14ac:dyDescent="0.25">
      <c r="E52" s="22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2">
        <v>3</v>
      </c>
      <c r="F53">
        <f>F39/2800</f>
        <v>0.93</v>
      </c>
      <c r="G53">
        <f>1- (0.5)^(E39+1)</f>
        <v>0.9375</v>
      </c>
    </row>
    <row r="54" spans="5:7" x14ac:dyDescent="0.25">
      <c r="E54" s="22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2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2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55" zoomScaleNormal="55" workbookViewId="0">
      <selection activeCell="G44" sqref="G4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5.7109375" customWidth="1"/>
    <col min="8" max="8" width="22" bestFit="1" customWidth="1"/>
    <col min="9" max="9" width="19.5703125" bestFit="1" customWidth="1"/>
    <col min="10" max="10" width="2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(I20+I25+B30)/170</f>
        <v>0.48531886991276529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0.12982279770166472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0.35549607221110058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817.64096608553132</v>
      </c>
      <c r="I18">
        <f>C18/F18</f>
        <v>70.689655172413794</v>
      </c>
      <c r="J18" s="39">
        <f>E18+G18+H18</f>
        <v>10635.640966085532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12</v>
      </c>
      <c r="H19" s="36" t="s">
        <v>101</v>
      </c>
      <c r="I19" s="36">
        <f>I18/G19</f>
        <v>5.8908045977011492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610411.79284690809</v>
      </c>
      <c r="F22" s="4">
        <v>1.67</v>
      </c>
      <c r="G22" s="44">
        <v>351.65</v>
      </c>
      <c r="H22" s="4">
        <f>$J$5*G22</f>
        <v>125.01019379303351</v>
      </c>
      <c r="I22">
        <f>C22/F22</f>
        <v>0.29940119760479045</v>
      </c>
      <c r="J22" s="39">
        <f>E22+G22+H22</f>
        <v>610888.4530407011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150759.48676259874</v>
      </c>
      <c r="F23" s="4">
        <v>0.33</v>
      </c>
      <c r="G23" s="44">
        <v>1758.23</v>
      </c>
      <c r="H23" s="4">
        <f>$J$5*G23</f>
        <v>625.04385904372339</v>
      </c>
      <c r="I23">
        <f>C23/F23</f>
        <v>1.5151515151515151</v>
      </c>
      <c r="J23" s="39">
        <f>E23+G23+H23</f>
        <v>153142.76062164246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764031.21366234357</v>
      </c>
      <c r="F27" s="22">
        <f>C27</f>
        <v>0.5</v>
      </c>
      <c r="G27" s="44">
        <v>12500</v>
      </c>
      <c r="H27" s="22"/>
      <c r="I27">
        <f>C27/F27</f>
        <v>1</v>
      </c>
      <c r="J27" s="39">
        <f>E27+G27+H27</f>
        <v>776531.21366234357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6" t="s">
        <v>115</v>
      </c>
      <c r="B29" s="29" t="s">
        <v>152</v>
      </c>
      <c r="C29" s="26"/>
      <c r="D29" s="22"/>
      <c r="E29" s="22"/>
      <c r="F29" s="22"/>
      <c r="G29" s="22"/>
      <c r="H29" s="22"/>
      <c r="J29" s="22"/>
      <c r="K29" s="4"/>
      <c r="L29" s="4"/>
      <c r="M29" s="4"/>
    </row>
    <row r="30" spans="1:13" x14ac:dyDescent="0.25">
      <c r="A30" s="22" t="s">
        <v>153</v>
      </c>
      <c r="B30" s="12">
        <v>10</v>
      </c>
      <c r="C30" s="22"/>
      <c r="D30" s="25" t="s">
        <v>116</v>
      </c>
      <c r="E30" s="22">
        <f>J27</f>
        <v>776531.21366234357</v>
      </c>
      <c r="F30" s="22">
        <f>1/(128/(2^(B30-1)))</f>
        <v>4</v>
      </c>
      <c r="G30" s="45">
        <v>518</v>
      </c>
      <c r="H30" s="46">
        <f>G30*J5</f>
        <v>184.1469654053501</v>
      </c>
      <c r="I30">
        <f>C27/F30</f>
        <v>0.125</v>
      </c>
      <c r="J30" s="39">
        <f>E30+(H30+G30)/F30</f>
        <v>776706.75040369492</v>
      </c>
      <c r="K30" t="s">
        <v>129</v>
      </c>
      <c r="L30" t="s">
        <v>140</v>
      </c>
    </row>
    <row r="31" spans="1:13" x14ac:dyDescent="0.25">
      <c r="A31" s="22"/>
      <c r="B31" s="22"/>
      <c r="C31" s="22"/>
      <c r="D31" s="24"/>
      <c r="E31" s="4"/>
      <c r="F31" s="35" t="s">
        <v>100</v>
      </c>
      <c r="G31" s="37">
        <v>1</v>
      </c>
      <c r="H31" s="36"/>
      <c r="I31" s="36"/>
      <c r="L31" t="s">
        <v>141</v>
      </c>
    </row>
    <row r="32" spans="1:13" x14ac:dyDescent="0.25">
      <c r="A32" s="22"/>
      <c r="B32" s="22"/>
      <c r="C32" s="22"/>
      <c r="D32" s="24"/>
      <c r="E32" s="4"/>
      <c r="G32" s="4"/>
      <c r="H32" s="36"/>
      <c r="I32" s="36"/>
    </row>
    <row r="33" spans="1:11" x14ac:dyDescent="0.25">
      <c r="A33" s="22"/>
      <c r="B33" s="22" t="s">
        <v>108</v>
      </c>
      <c r="C33" s="22"/>
      <c r="D33" s="24"/>
      <c r="E33" s="4"/>
      <c r="F33" s="4"/>
      <c r="G33" s="4"/>
      <c r="H33" s="4"/>
      <c r="I33" s="22"/>
    </row>
    <row r="34" spans="1:11" x14ac:dyDescent="0.25">
      <c r="A34" s="22"/>
      <c r="B34" s="22" t="s">
        <v>104</v>
      </c>
      <c r="C34" s="12">
        <v>850000</v>
      </c>
      <c r="D34" s="22"/>
      <c r="E34" s="22"/>
      <c r="I34" s="1"/>
    </row>
    <row r="35" spans="1:11" x14ac:dyDescent="0.25">
      <c r="A35" s="22"/>
      <c r="B35" s="22" t="s">
        <v>122</v>
      </c>
      <c r="C35" s="22">
        <f>24*C27</f>
        <v>12</v>
      </c>
      <c r="D35" s="22"/>
      <c r="E35" s="22"/>
      <c r="I35" s="1"/>
    </row>
    <row r="36" spans="1:11" x14ac:dyDescent="0.25">
      <c r="A36" s="22"/>
      <c r="B36" s="22" t="s">
        <v>105</v>
      </c>
      <c r="C36" s="39">
        <f>(C34-J27)*C27</f>
        <v>36734.393168828217</v>
      </c>
      <c r="D36" s="22"/>
      <c r="E36" s="22"/>
      <c r="I36" s="1"/>
      <c r="K36" t="s">
        <v>155</v>
      </c>
    </row>
    <row r="37" spans="1:11" x14ac:dyDescent="0.25">
      <c r="A37" s="22"/>
      <c r="B37" s="22" t="s">
        <v>106</v>
      </c>
      <c r="C37" s="39">
        <f>C36*24</f>
        <v>881625.43605187722</v>
      </c>
      <c r="D37" s="22"/>
      <c r="E37" s="22"/>
      <c r="K37" s="48" t="s">
        <v>156</v>
      </c>
    </row>
    <row r="38" spans="1:11" x14ac:dyDescent="0.25">
      <c r="A38" s="22"/>
      <c r="B38" s="22"/>
      <c r="C38" s="22"/>
      <c r="D38" s="22"/>
      <c r="E38" s="22"/>
      <c r="K38" s="49" t="s">
        <v>157</v>
      </c>
    </row>
    <row r="39" spans="1:11" x14ac:dyDescent="0.25">
      <c r="A39" s="22"/>
      <c r="B39" s="22" t="s">
        <v>109</v>
      </c>
      <c r="C39" s="22"/>
      <c r="D39" s="22"/>
      <c r="E39" s="22"/>
      <c r="K39" s="47" t="s">
        <v>158</v>
      </c>
    </row>
    <row r="40" spans="1:11" x14ac:dyDescent="0.25">
      <c r="A40" s="22"/>
      <c r="B40" s="22" t="s">
        <v>104</v>
      </c>
      <c r="C40" s="12">
        <v>316</v>
      </c>
      <c r="D40" s="22"/>
      <c r="E40" s="22"/>
    </row>
    <row r="41" spans="1:11" x14ac:dyDescent="0.25">
      <c r="A41" s="22"/>
      <c r="B41" s="22" t="s">
        <v>110</v>
      </c>
      <c r="C41" s="22">
        <v>2800</v>
      </c>
      <c r="D41" s="22"/>
      <c r="E41" s="22"/>
    </row>
    <row r="42" spans="1:11" x14ac:dyDescent="0.25">
      <c r="A42" s="22"/>
      <c r="B42" s="22" t="s">
        <v>111</v>
      </c>
      <c r="C42" s="22">
        <f>(0.5)^(B27+1)</f>
        <v>3.125E-2</v>
      </c>
      <c r="D42" s="22"/>
      <c r="E42" s="22"/>
    </row>
    <row r="43" spans="1:11" x14ac:dyDescent="0.25">
      <c r="B43" s="22" t="s">
        <v>112</v>
      </c>
      <c r="C43" s="1">
        <f>C40*C41*(1-C42)</f>
        <v>857150</v>
      </c>
    </row>
    <row r="44" spans="1:11" x14ac:dyDescent="0.25">
      <c r="B44" s="22" t="s">
        <v>113</v>
      </c>
      <c r="C44" s="40">
        <f>(C43-J30)*C27</f>
        <v>40221.624798152538</v>
      </c>
    </row>
    <row r="45" spans="1:11" x14ac:dyDescent="0.25">
      <c r="B45" s="22" t="s">
        <v>114</v>
      </c>
      <c r="C45" s="40">
        <f>C44*24</f>
        <v>965318.9951556609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2021-07-14T02:29:59Z</dcterms:modified>
</cp:coreProperties>
</file>