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 firstSheet="1" activeTab="3"/>
  </bookViews>
  <sheets>
    <sheet name="BFR-OB-ST-RE" sheetId="4" r:id="rId1"/>
    <sheet name="BFR-OB-ST" sheetId="7" r:id="rId2"/>
    <sheet name="RE" sheetId="6" r:id="rId3"/>
    <sheet name="RE-HGEC" sheetId="8" r:id="rId4"/>
    <sheet name="HGEC" sheetId="5" r:id="rId5"/>
    <sheet name="SAT-Ion-HGEC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8" l="1"/>
  <c r="C19" i="8"/>
  <c r="C24" i="8"/>
  <c r="B24" i="8"/>
  <c r="B42" i="3"/>
  <c r="B43" i="3" s="1"/>
  <c r="B39" i="3"/>
  <c r="B37" i="3"/>
  <c r="B38" i="3" s="1"/>
  <c r="B36" i="3"/>
  <c r="B42" i="5"/>
  <c r="B43" i="5" s="1"/>
  <c r="B39" i="5"/>
  <c r="B37" i="5"/>
  <c r="B38" i="5" s="1"/>
  <c r="B36" i="5"/>
  <c r="B42" i="6"/>
  <c r="B43" i="6" s="1"/>
  <c r="B39" i="6"/>
  <c r="B37" i="6"/>
  <c r="B35" i="6" s="1"/>
  <c r="B36" i="6"/>
  <c r="B43" i="7"/>
  <c r="B44" i="7" s="1"/>
  <c r="B40" i="7"/>
  <c r="B38" i="7"/>
  <c r="B36" i="7" s="1"/>
  <c r="B37" i="7"/>
  <c r="B36" i="4"/>
  <c r="B48" i="6"/>
  <c r="B47" i="6"/>
  <c r="D20" i="7"/>
  <c r="C20" i="7"/>
  <c r="D25" i="7"/>
  <c r="B25" i="7"/>
  <c r="C17" i="7"/>
  <c r="C25" i="7" s="1"/>
  <c r="B27" i="8" l="1"/>
  <c r="B35" i="3"/>
  <c r="B35" i="5"/>
  <c r="B38" i="6"/>
  <c r="B39" i="7"/>
  <c r="J25" i="8" l="1"/>
  <c r="J26" i="8" s="1"/>
  <c r="I25" i="8"/>
  <c r="I26" i="8" s="1"/>
  <c r="H25" i="8"/>
  <c r="H26" i="8" s="1"/>
  <c r="G25" i="8"/>
  <c r="G26" i="8" s="1"/>
  <c r="F25" i="8"/>
  <c r="F26" i="8" s="1"/>
  <c r="L25" i="8"/>
  <c r="L26" i="8" s="1"/>
  <c r="K25" i="8"/>
  <c r="K26" i="8" s="1"/>
  <c r="C25" i="8"/>
  <c r="C26" i="8" s="1"/>
  <c r="E25" i="8"/>
  <c r="E26" i="8" s="1"/>
  <c r="D25" i="8"/>
  <c r="D26" i="8" s="1"/>
  <c r="B21" i="8"/>
  <c r="B25" i="8"/>
  <c r="B20" i="8"/>
  <c r="B22" i="7"/>
  <c r="B28" i="7"/>
  <c r="B21" i="7"/>
  <c r="E24" i="3"/>
  <c r="D24" i="3"/>
  <c r="C24" i="3"/>
  <c r="B24" i="3"/>
  <c r="B39" i="4"/>
  <c r="B42" i="8" l="1"/>
  <c r="B37" i="8"/>
  <c r="B28" i="8"/>
  <c r="B36" i="8" s="1"/>
  <c r="B26" i="8"/>
  <c r="H26" i="7"/>
  <c r="K26" i="7"/>
  <c r="G26" i="7"/>
  <c r="L26" i="7"/>
  <c r="D26" i="7"/>
  <c r="J26" i="7"/>
  <c r="B26" i="7"/>
  <c r="I26" i="7"/>
  <c r="C26" i="7"/>
  <c r="F26" i="7"/>
  <c r="E26" i="7"/>
  <c r="B37" i="4"/>
  <c r="B38" i="4" s="1"/>
  <c r="B19" i="6"/>
  <c r="B20" i="6" s="1"/>
  <c r="F24" i="4"/>
  <c r="E24" i="4"/>
  <c r="D24" i="4"/>
  <c r="C24" i="4"/>
  <c r="B24" i="4"/>
  <c r="B24" i="6"/>
  <c r="B27" i="6" s="1"/>
  <c r="B21" i="6"/>
  <c r="B43" i="8" l="1"/>
  <c r="B35" i="8"/>
  <c r="B38" i="8"/>
  <c r="B39" i="8"/>
  <c r="B35" i="4"/>
  <c r="J27" i="7"/>
  <c r="F27" i="7"/>
  <c r="K27" i="7"/>
  <c r="C27" i="7"/>
  <c r="H27" i="7"/>
  <c r="I27" i="7"/>
  <c r="D35" i="7"/>
  <c r="B27" i="7"/>
  <c r="B29" i="7"/>
  <c r="D27" i="7"/>
  <c r="L27" i="7"/>
  <c r="E27" i="7"/>
  <c r="G27" i="7"/>
  <c r="B25" i="6"/>
  <c r="B28" i="6" l="1"/>
  <c r="B26" i="6"/>
  <c r="E19" i="3" l="1"/>
  <c r="D19" i="3"/>
  <c r="C19" i="3"/>
  <c r="B19" i="3"/>
  <c r="E16" i="3"/>
  <c r="D16" i="3"/>
  <c r="C16" i="3"/>
  <c r="B19" i="5"/>
  <c r="B24" i="5" l="1"/>
  <c r="B27" i="5" l="1"/>
  <c r="F19" i="4"/>
  <c r="E19" i="4"/>
  <c r="D19" i="4"/>
  <c r="C19" i="4"/>
  <c r="F16" i="4"/>
  <c r="C16" i="4"/>
  <c r="B20" i="5" l="1"/>
  <c r="B21" i="5"/>
  <c r="B25" i="5"/>
  <c r="B20" i="4"/>
  <c r="B27" i="4"/>
  <c r="C25" i="4" s="1"/>
  <c r="B21" i="4"/>
  <c r="E16" i="4"/>
  <c r="B20" i="3"/>
  <c r="F25" i="4" l="1"/>
  <c r="B26" i="5"/>
  <c r="B28" i="5"/>
  <c r="B42" i="4"/>
  <c r="B43" i="4" s="1"/>
  <c r="E25" i="4"/>
  <c r="I25" i="4"/>
  <c r="H25" i="4"/>
  <c r="G25" i="4"/>
  <c r="L25" i="4"/>
  <c r="D25" i="4"/>
  <c r="K25" i="4"/>
  <c r="J25" i="4"/>
  <c r="B25" i="4"/>
  <c r="B21" i="3"/>
  <c r="C26" i="4" l="1"/>
  <c r="L26" i="4"/>
  <c r="E26" i="4"/>
  <c r="J26" i="4"/>
  <c r="K26" i="4"/>
  <c r="D26" i="4"/>
  <c r="F26" i="4"/>
  <c r="G26" i="4"/>
  <c r="H26" i="4"/>
  <c r="I26" i="4"/>
  <c r="B28" i="4"/>
  <c r="B26" i="4"/>
  <c r="B27" i="3"/>
  <c r="E25" i="3" s="1"/>
  <c r="E26" i="3" s="1"/>
  <c r="I25" i="3" l="1"/>
  <c r="I26" i="3" s="1"/>
  <c r="G25" i="3"/>
  <c r="G26" i="3" s="1"/>
  <c r="J25" i="3"/>
  <c r="J26" i="3" s="1"/>
  <c r="H25" i="3"/>
  <c r="H26" i="3" s="1"/>
  <c r="L25" i="3"/>
  <c r="L26" i="3" s="1"/>
  <c r="D25" i="3"/>
  <c r="D26" i="3" s="1"/>
  <c r="K25" i="3"/>
  <c r="K26" i="3" s="1"/>
  <c r="B25" i="3"/>
  <c r="F25" i="3"/>
  <c r="F26" i="3" s="1"/>
  <c r="C25" i="3"/>
  <c r="C26" i="3" s="1"/>
  <c r="B28" i="3" l="1"/>
  <c r="B26" i="3"/>
</calcChain>
</file>

<file path=xl/sharedStrings.xml><?xml version="1.0" encoding="utf-8"?>
<sst xmlns="http://schemas.openxmlformats.org/spreadsheetml/2006/main" count="300" uniqueCount="75">
  <si>
    <t>Alphas</t>
  </si>
  <si>
    <t>Product Name</t>
  </si>
  <si>
    <t>BFR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</si>
  <si>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</si>
  <si>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</si>
  <si>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</si>
  <si>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</si>
  <si>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</si>
  <si>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Fuselage</t>
  </si>
  <si>
    <t>Propellant tank</t>
  </si>
  <si>
    <t>Cockpit</t>
  </si>
  <si>
    <t>HeatShield</t>
  </si>
  <si>
    <t>Steel</t>
  </si>
  <si>
    <t>HGEC</t>
  </si>
  <si>
    <t xml:space="preserve">Aluminium </t>
  </si>
  <si>
    <t>Name</t>
  </si>
  <si>
    <t>Price</t>
  </si>
  <si>
    <t>(Rp) Retail price, of the final product</t>
  </si>
  <si>
    <t>(Bl) Building level</t>
  </si>
  <si>
    <t>Required per end product</t>
  </si>
  <si>
    <t>Required buildings to produce 1 end product</t>
  </si>
  <si>
    <t>End Product</t>
  </si>
  <si>
    <t>Total Alpha</t>
  </si>
  <si>
    <t xml:space="preserve">*Dependencies should be adjusted manually </t>
  </si>
  <si>
    <t>% required (alpha)</t>
  </si>
  <si>
    <t>Daily Profit</t>
  </si>
  <si>
    <t>BFR-OB</t>
  </si>
  <si>
    <t>BFR-Starship</t>
  </si>
  <si>
    <t>OB-Rocket engine</t>
  </si>
  <si>
    <t>St-Rocket engine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</si>
  <si>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</si>
  <si>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</si>
  <si>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</si>
  <si>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</si>
  <si>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</si>
  <si>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</si>
  <si>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</si>
  <si>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</si>
  <si>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</si>
  <si>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</si>
  <si>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(In_T) Total Input Resources</t>
  </si>
  <si>
    <t>(Pb) Productivity bonus</t>
  </si>
  <si>
    <t>(Sk) Executives Management Skills</t>
  </si>
  <si>
    <t>(Pw_t) Total product wages, no Admin costs</t>
  </si>
  <si>
    <t>(Pu_T) Alpha End product</t>
  </si>
  <si>
    <t>Optimal Daily Profit</t>
  </si>
  <si>
    <t>Attitude controller</t>
  </si>
  <si>
    <t>amount of self produced required products</t>
  </si>
  <si>
    <t>Total Unitary costs</t>
  </si>
  <si>
    <t>Total Unitary profit</t>
  </si>
  <si>
    <t>COLOR CODES</t>
  </si>
  <si>
    <t>Partial results</t>
  </si>
  <si>
    <t>Final results</t>
  </si>
  <si>
    <t>Change constantly (manually)</t>
  </si>
  <si>
    <t xml:space="preserve">Change rarely (manually) </t>
  </si>
  <si>
    <t>Total Unitary admin costs</t>
  </si>
  <si>
    <t>(Bl*) Optimal Building level</t>
  </si>
  <si>
    <t>Optimum Building levels</t>
  </si>
  <si>
    <t>Flight computer</t>
  </si>
  <si>
    <t>Attitude control</t>
  </si>
  <si>
    <t>Satellite</t>
  </si>
  <si>
    <t>Silicon</t>
  </si>
  <si>
    <t>Chemicals</t>
  </si>
  <si>
    <t>Golden bars</t>
  </si>
  <si>
    <t>Batteries</t>
  </si>
  <si>
    <t>Sat-HGEC</t>
  </si>
  <si>
    <t>Sat-Ion Drive</t>
  </si>
  <si>
    <t>Sat-Ion-HGEC</t>
  </si>
  <si>
    <t xml:space="preserve">HGEC </t>
  </si>
  <si>
    <t>RE</t>
  </si>
  <si>
    <t>Aluminium</t>
  </si>
  <si>
    <t>Required buildings to produce 1 end product in one hour</t>
  </si>
  <si>
    <t>Rocket Engines</t>
  </si>
  <si>
    <t>It's too expensive to buy Rocket engines :(</t>
  </si>
  <si>
    <t>Total Units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</si>
</sst>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44" fontId="0" fillId="2" borderId="0" xfId="2" applyFont="1" applyFill="1" applyBorder="1"/>
    <xf numFmtId="44" fontId="0" fillId="2" borderId="5" xfId="2" applyFont="1" applyFill="1" applyBorder="1"/>
    <xf numFmtId="44" fontId="0" fillId="2" borderId="7" xfId="2" applyFont="1" applyFill="1" applyBorder="1"/>
    <xf numFmtId="44" fontId="0" fillId="2" borderId="8" xfId="2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4" fontId="0" fillId="4" borderId="3" xfId="2" applyFont="1" applyFill="1" applyBorder="1"/>
    <xf numFmtId="44" fontId="0" fillId="4" borderId="8" xfId="2" applyFont="1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0" borderId="4" xfId="0" applyBorder="1"/>
    <xf numFmtId="10" fontId="0" fillId="4" borderId="14" xfId="0" applyNumberFormat="1" applyFill="1" applyBorder="1"/>
    <xf numFmtId="10" fontId="0" fillId="2" borderId="8" xfId="0" applyNumberFormat="1" applyFill="1" applyBorder="1"/>
    <xf numFmtId="0" fontId="0" fillId="0" borderId="5" xfId="0" applyBorder="1"/>
    <xf numFmtId="44" fontId="0" fillId="5" borderId="8" xfId="2" applyFont="1" applyFill="1" applyBorder="1"/>
    <xf numFmtId="0" fontId="0" fillId="0" borderId="3" xfId="0" applyBorder="1"/>
    <xf numFmtId="0" fontId="0" fillId="2" borderId="6" xfId="0" applyFill="1" applyBorder="1"/>
    <xf numFmtId="44" fontId="0" fillId="2" borderId="3" xfId="2" applyFont="1" applyFill="1" applyBorder="1"/>
    <xf numFmtId="44" fontId="0" fillId="3" borderId="0" xfId="2" applyFont="1" applyFill="1" applyBorder="1"/>
    <xf numFmtId="44" fontId="0" fillId="3" borderId="5" xfId="2" applyFont="1" applyFill="1" applyBorder="1"/>
    <xf numFmtId="0" fontId="0" fillId="3" borderId="0" xfId="0" applyFill="1" applyBorder="1"/>
    <xf numFmtId="0" fontId="0" fillId="3" borderId="5" xfId="0" applyFill="1" applyBorder="1"/>
    <xf numFmtId="44" fontId="0" fillId="4" borderId="8" xfId="0" applyNumberFormat="1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4" borderId="5" xfId="0" applyFill="1" applyBorder="1"/>
    <xf numFmtId="0" fontId="0" fillId="5" borderId="3" xfId="0" applyFill="1" applyBorder="1"/>
    <xf numFmtId="10" fontId="0" fillId="2" borderId="5" xfId="0" applyNumberFormat="1" applyFill="1" applyBorder="1"/>
    <xf numFmtId="10" fontId="0" fillId="4" borderId="0" xfId="1" applyNumberFormat="1" applyFont="1" applyFill="1" applyBorder="1"/>
    <xf numFmtId="10" fontId="0" fillId="4" borderId="5" xfId="1" applyNumberFormat="1" applyFont="1" applyFill="1" applyBorder="1"/>
    <xf numFmtId="0" fontId="0" fillId="4" borderId="8" xfId="0" applyFill="1" applyBorder="1"/>
    <xf numFmtId="0" fontId="0" fillId="0" borderId="0" xfId="0" applyFill="1" applyBorder="1"/>
    <xf numFmtId="0" fontId="0" fillId="3" borderId="1" xfId="0" applyFill="1" applyBorder="1"/>
    <xf numFmtId="10" fontId="0" fillId="4" borderId="4" xfId="1" applyNumberFormat="1" applyFont="1" applyFill="1" applyBorder="1"/>
    <xf numFmtId="43" fontId="0" fillId="5" borderId="6" xfId="3" applyFont="1" applyFill="1" applyBorder="1"/>
    <xf numFmtId="43" fontId="0" fillId="5" borderId="7" xfId="3" applyFont="1" applyFill="1" applyBorder="1"/>
    <xf numFmtId="43" fontId="0" fillId="5" borderId="8" xfId="3" applyFont="1" applyFill="1" applyBorder="1"/>
    <xf numFmtId="0" fontId="0" fillId="0" borderId="15" xfId="0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44" fontId="0" fillId="3" borderId="10" xfId="2" applyFont="1" applyFill="1" applyBorder="1"/>
    <xf numFmtId="44" fontId="0" fillId="2" borderId="10" xfId="2" applyFont="1" applyFill="1" applyBorder="1"/>
    <xf numFmtId="44" fontId="0" fillId="4" borderId="9" xfId="2" applyFont="1" applyFill="1" applyBorder="1"/>
    <xf numFmtId="44" fontId="0" fillId="4" borderId="11" xfId="2" applyFont="1" applyFill="1" applyBorder="1"/>
    <xf numFmtId="0" fontId="0" fillId="0" borderId="4" xfId="0" applyFill="1" applyBorder="1"/>
    <xf numFmtId="43" fontId="0" fillId="5" borderId="5" xfId="3" applyFont="1" applyFill="1" applyBorder="1"/>
    <xf numFmtId="10" fontId="0" fillId="4" borderId="8" xfId="0" applyNumberFormat="1" applyFill="1" applyBorder="1"/>
    <xf numFmtId="44" fontId="0" fillId="4" borderId="5" xfId="2" applyFont="1" applyFill="1" applyBorder="1"/>
    <xf numFmtId="10" fontId="0" fillId="0" borderId="0" xfId="0" applyNumberFormat="1"/>
    <xf numFmtId="44" fontId="0" fillId="0" borderId="0" xfId="0" applyNumberFormat="1"/>
    <xf numFmtId="1" fontId="0" fillId="4" borderId="5" xfId="0" applyNumberFormat="1" applyFill="1" applyBorder="1"/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43</xdr:row>
      <xdr:rowOff>76200</xdr:rowOff>
    </xdr:from>
    <xdr:to>
      <xdr:col>5</xdr:col>
      <xdr:colOff>467085</xdr:colOff>
      <xdr:row>46</xdr:row>
      <xdr:rowOff>69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058150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39</xdr:row>
      <xdr:rowOff>114300</xdr:rowOff>
    </xdr:from>
    <xdr:to>
      <xdr:col>4</xdr:col>
      <xdr:colOff>609415</xdr:colOff>
      <xdr:row>41</xdr:row>
      <xdr:rowOff>28538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731520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38100</xdr:rowOff>
    </xdr:from>
    <xdr:to>
      <xdr:col>6</xdr:col>
      <xdr:colOff>351983</xdr:colOff>
      <xdr:row>43</xdr:row>
      <xdr:rowOff>95193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7300" y="7620000"/>
          <a:ext cx="3533333" cy="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43</xdr:row>
      <xdr:rowOff>76200</xdr:rowOff>
    </xdr:from>
    <xdr:to>
      <xdr:col>5</xdr:col>
      <xdr:colOff>467085</xdr:colOff>
      <xdr:row>46</xdr:row>
      <xdr:rowOff>69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058150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39</xdr:row>
      <xdr:rowOff>114300</xdr:rowOff>
    </xdr:from>
    <xdr:to>
      <xdr:col>4</xdr:col>
      <xdr:colOff>609415</xdr:colOff>
      <xdr:row>41</xdr:row>
      <xdr:rowOff>28538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731520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38100</xdr:rowOff>
    </xdr:from>
    <xdr:to>
      <xdr:col>6</xdr:col>
      <xdr:colOff>351983</xdr:colOff>
      <xdr:row>43</xdr:row>
      <xdr:rowOff>95193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7300" y="7620000"/>
          <a:ext cx="3533333" cy="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38</xdr:row>
      <xdr:rowOff>114300</xdr:rowOff>
    </xdr:from>
    <xdr:to>
      <xdr:col>6</xdr:col>
      <xdr:colOff>152887</xdr:colOff>
      <xdr:row>41</xdr:row>
      <xdr:rowOff>57224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3152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171450</xdr:rowOff>
    </xdr:from>
    <xdr:to>
      <xdr:col>4</xdr:col>
      <xdr:colOff>580840</xdr:colOff>
      <xdr:row>38</xdr:row>
      <xdr:rowOff>85688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9300" y="6991350"/>
          <a:ext cx="1476190" cy="2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38</xdr:row>
      <xdr:rowOff>114300</xdr:rowOff>
    </xdr:from>
    <xdr:to>
      <xdr:col>6</xdr:col>
      <xdr:colOff>152887</xdr:colOff>
      <xdr:row>41</xdr:row>
      <xdr:rowOff>76274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3152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85794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0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171450</xdr:rowOff>
    </xdr:from>
    <xdr:to>
      <xdr:col>4</xdr:col>
      <xdr:colOff>580840</xdr:colOff>
      <xdr:row>38</xdr:row>
      <xdr:rowOff>85688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9300" y="699135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36</xdr:row>
      <xdr:rowOff>180975</xdr:rowOff>
    </xdr:from>
    <xdr:to>
      <xdr:col>4</xdr:col>
      <xdr:colOff>590365</xdr:colOff>
      <xdr:row>38</xdr:row>
      <xdr:rowOff>95213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6825" y="7000875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66675</xdr:rowOff>
    </xdr:from>
    <xdr:to>
      <xdr:col>6</xdr:col>
      <xdr:colOff>351983</xdr:colOff>
      <xdr:row>40</xdr:row>
      <xdr:rowOff>142818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67300" y="7267575"/>
          <a:ext cx="3533333" cy="4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38</xdr:row>
      <xdr:rowOff>57150</xdr:rowOff>
    </xdr:from>
    <xdr:to>
      <xdr:col>6</xdr:col>
      <xdr:colOff>200512</xdr:colOff>
      <xdr:row>41</xdr:row>
      <xdr:rowOff>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25805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857250</xdr:colOff>
      <xdr:row>40</xdr:row>
      <xdr:rowOff>161925</xdr:rowOff>
    </xdr:from>
    <xdr:to>
      <xdr:col>5</xdr:col>
      <xdr:colOff>448035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9675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36</xdr:row>
      <xdr:rowOff>104775</xdr:rowOff>
    </xdr:from>
    <xdr:to>
      <xdr:col>4</xdr:col>
      <xdr:colOff>590365</xdr:colOff>
      <xdr:row>38</xdr:row>
      <xdr:rowOff>19013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6825" y="6924675"/>
          <a:ext cx="1476190" cy="2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75533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36</xdr:row>
      <xdr:rowOff>180975</xdr:rowOff>
    </xdr:from>
    <xdr:to>
      <xdr:col>4</xdr:col>
      <xdr:colOff>590365</xdr:colOff>
      <xdr:row>38</xdr:row>
      <xdr:rowOff>95213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7000875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66675</xdr:rowOff>
    </xdr:from>
    <xdr:to>
      <xdr:col>6</xdr:col>
      <xdr:colOff>351983</xdr:colOff>
      <xdr:row>40</xdr:row>
      <xdr:rowOff>142818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7300" y="7267575"/>
          <a:ext cx="3533333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10" workbookViewId="0">
      <selection activeCell="D37" sqref="D37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8</v>
      </c>
      <c r="B4" s="30">
        <v>2840</v>
      </c>
      <c r="E4" s="38" t="s">
        <v>54</v>
      </c>
      <c r="F4" s="38"/>
    </row>
    <row r="5" spans="1:13" x14ac:dyDescent="0.25">
      <c r="A5" s="4" t="s">
        <v>9</v>
      </c>
      <c r="B5" s="8">
        <v>9475</v>
      </c>
      <c r="E5" s="39" t="s">
        <v>51</v>
      </c>
      <c r="F5" s="39"/>
    </row>
    <row r="6" spans="1:13" x14ac:dyDescent="0.25">
      <c r="A6" s="4" t="s">
        <v>10</v>
      </c>
      <c r="B6" s="8">
        <v>5150</v>
      </c>
      <c r="E6" s="36" t="s">
        <v>52</v>
      </c>
      <c r="F6" s="36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46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820</v>
      </c>
    </row>
    <row r="11" spans="1:13" x14ac:dyDescent="0.25">
      <c r="A11" s="29" t="s">
        <v>14</v>
      </c>
      <c r="B11" s="10">
        <v>18.7</v>
      </c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2</v>
      </c>
      <c r="C15" s="2" t="s">
        <v>26</v>
      </c>
      <c r="D15" s="2" t="s">
        <v>27</v>
      </c>
      <c r="E15" s="2" t="s">
        <v>28</v>
      </c>
      <c r="F15" s="2" t="s">
        <v>29</v>
      </c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0.21</v>
      </c>
      <c r="C17" s="33">
        <v>1.5</v>
      </c>
      <c r="D17" s="33">
        <v>0.3</v>
      </c>
      <c r="E17" s="33">
        <v>0.28000000000000003</v>
      </c>
      <c r="F17" s="33">
        <v>0.28000000000000003</v>
      </c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3600</v>
      </c>
      <c r="C18" s="31">
        <v>390</v>
      </c>
      <c r="D18" s="31">
        <v>1950</v>
      </c>
      <c r="E18" s="31">
        <v>2220</v>
      </c>
      <c r="F18" s="31">
        <v>2220</v>
      </c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v>0</v>
      </c>
      <c r="C19" s="9">
        <f>40*B4+16*B5</f>
        <v>265200</v>
      </c>
      <c r="D19" s="9">
        <f>2*B6+10*B7+4*B8+6*B5</f>
        <v>77470</v>
      </c>
      <c r="E19" s="9">
        <f>20*B9+8*B10+10*B11</f>
        <v>6959</v>
      </c>
      <c r="F19" s="9">
        <f>20*B9+8*B10+10*B11</f>
        <v>6959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627989</v>
      </c>
    </row>
    <row r="21" spans="1:13" ht="14.25" customHeight="1" x14ac:dyDescent="0.25">
      <c r="A21" s="13" t="s">
        <v>43</v>
      </c>
      <c r="B21" s="18">
        <f>SUMPRODUCT(B18:L18,B16:L16)</f>
        <v>96960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>B16/B17</f>
        <v>4.7619047619047619</v>
      </c>
      <c r="C24" s="20">
        <f>1/C17*C16</f>
        <v>0.66666666666666663</v>
      </c>
      <c r="D24" s="20">
        <f>1/D17*D16</f>
        <v>3.3333333333333335</v>
      </c>
      <c r="E24" s="20">
        <f>1/E17*E16</f>
        <v>121.42857142857142</v>
      </c>
      <c r="F24" s="20">
        <f>1/F17*F16</f>
        <v>25</v>
      </c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3.0684258975145751E-2</v>
      </c>
      <c r="C25" s="44">
        <f t="shared" ref="C25:L25" si="0">C24/$B$27</f>
        <v>4.2957962565204049E-3</v>
      </c>
      <c r="D25" s="44">
        <f t="shared" si="0"/>
        <v>2.147898128260203E-2</v>
      </c>
      <c r="E25" s="44">
        <f t="shared" si="0"/>
        <v>0.78244860386621662</v>
      </c>
      <c r="F25" s="44">
        <f t="shared" si="0"/>
        <v>0.16109235961951521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B25*$B$42</f>
        <v>4.4583865332092252</v>
      </c>
      <c r="C26" s="51">
        <f t="shared" ref="C26:L26" si="1">C25*$B$42</f>
        <v>0.62417411464929151</v>
      </c>
      <c r="D26" s="51">
        <f t="shared" si="1"/>
        <v>3.1208705732464583</v>
      </c>
      <c r="E26" s="51">
        <f t="shared" si="1"/>
        <v>113.68885659683524</v>
      </c>
      <c r="F26" s="51">
        <f t="shared" si="1"/>
        <v>23.406529299348435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2">
        <f t="shared" si="1"/>
        <v>0</v>
      </c>
    </row>
    <row r="27" spans="1:13" x14ac:dyDescent="0.25">
      <c r="A27" s="13" t="s">
        <v>22</v>
      </c>
      <c r="B27" s="46">
        <f>SUM(B24:L24)</f>
        <v>155.19047619047618</v>
      </c>
    </row>
    <row r="28" spans="1:13" x14ac:dyDescent="0.25">
      <c r="A28" s="14" t="s">
        <v>44</v>
      </c>
      <c r="B28" s="24">
        <f>B25</f>
        <v>3.0684258975145751E-2</v>
      </c>
    </row>
    <row r="31" spans="1:13" x14ac:dyDescent="0.25">
      <c r="A31" s="19" t="s">
        <v>18</v>
      </c>
      <c r="B31" s="3">
        <v>155.19</v>
      </c>
      <c r="E31" s="65"/>
    </row>
    <row r="32" spans="1:13" x14ac:dyDescent="0.25">
      <c r="A32" s="23" t="s">
        <v>17</v>
      </c>
      <c r="B32" s="8">
        <v>800000</v>
      </c>
    </row>
    <row r="33" spans="1:2" x14ac:dyDescent="0.25">
      <c r="A33" s="23" t="s">
        <v>41</v>
      </c>
      <c r="B33" s="43">
        <v>0.19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42184.531586752273</v>
      </c>
    </row>
    <row r="36" spans="1:2" x14ac:dyDescent="0.25">
      <c r="A36" s="23" t="s">
        <v>74</v>
      </c>
      <c r="B36" s="67">
        <f>B31*B28*B17*24</f>
        <v>23.999926357778456</v>
      </c>
    </row>
    <row r="37" spans="1:2" x14ac:dyDescent="0.25">
      <c r="A37" s="23" t="s">
        <v>48</v>
      </c>
      <c r="B37" s="64">
        <f>B20+B21*(1+B31/170*(1-B34))/(1+B33)</f>
        <v>757815.46841324773</v>
      </c>
    </row>
    <row r="38" spans="1:2" x14ac:dyDescent="0.25">
      <c r="A38" s="22" t="s">
        <v>55</v>
      </c>
      <c r="B38" s="35">
        <f>B37-B20-B21</f>
        <v>32866.468413247727</v>
      </c>
    </row>
    <row r="39" spans="1:2" x14ac:dyDescent="0.25">
      <c r="A39" s="22" t="s">
        <v>25</v>
      </c>
      <c r="B39" s="27">
        <f>(B32-B20-(B31*(1-B34)/170+1)*B21/(1+B33))*B31*B28*B17*24</f>
        <v>1012425.6515194352</v>
      </c>
    </row>
    <row r="42" spans="1:2" ht="16.5" customHeight="1" x14ac:dyDescent="0.25">
      <c r="A42" s="19" t="s">
        <v>56</v>
      </c>
      <c r="B42" s="42">
        <f>((B32-B20)*(1+B33)/B21-1)*170/2/(1-B34)</f>
        <v>145.29881711728865</v>
      </c>
    </row>
    <row r="43" spans="1:2" x14ac:dyDescent="0.25">
      <c r="A43" s="22" t="s">
        <v>45</v>
      </c>
      <c r="B43" s="27">
        <f>(B32-B20-((B42*(1-B34)/170+1)*B21/(1+B33)))*B42*B28*B17*24</f>
        <v>1017139.2514666249</v>
      </c>
    </row>
  </sheetData>
  <sheetProtection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opLeftCell="A16" workbookViewId="0">
      <selection activeCell="C17" sqref="C17:C20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2" x14ac:dyDescent="0.25">
      <c r="A2" s="19" t="s">
        <v>6</v>
      </c>
      <c r="B2" s="28" t="s">
        <v>7</v>
      </c>
      <c r="E2" s="40" t="s">
        <v>50</v>
      </c>
    </row>
    <row r="3" spans="1:12" x14ac:dyDescent="0.25">
      <c r="A3" s="23" t="s">
        <v>15</v>
      </c>
      <c r="B3" s="26" t="s">
        <v>16</v>
      </c>
      <c r="E3" s="37" t="s">
        <v>53</v>
      </c>
      <c r="F3" s="37"/>
    </row>
    <row r="4" spans="1:12" x14ac:dyDescent="0.25">
      <c r="A4" s="1" t="s">
        <v>8</v>
      </c>
      <c r="B4" s="30">
        <v>2840</v>
      </c>
      <c r="E4" s="38" t="s">
        <v>54</v>
      </c>
      <c r="F4" s="38"/>
    </row>
    <row r="5" spans="1:12" x14ac:dyDescent="0.25">
      <c r="A5" s="4" t="s">
        <v>9</v>
      </c>
      <c r="B5" s="8">
        <v>9475</v>
      </c>
      <c r="E5" s="39" t="s">
        <v>51</v>
      </c>
      <c r="F5" s="39"/>
    </row>
    <row r="6" spans="1:12" x14ac:dyDescent="0.25">
      <c r="A6" s="4" t="s">
        <v>10</v>
      </c>
      <c r="B6" s="8">
        <v>5150</v>
      </c>
      <c r="E6" s="36" t="s">
        <v>52</v>
      </c>
      <c r="F6" s="36"/>
    </row>
    <row r="7" spans="1:12" x14ac:dyDescent="0.25">
      <c r="A7" s="4" t="s">
        <v>11</v>
      </c>
      <c r="B7" s="8">
        <v>440</v>
      </c>
    </row>
    <row r="8" spans="1:12" x14ac:dyDescent="0.25">
      <c r="A8" s="4" t="s">
        <v>46</v>
      </c>
      <c r="B8" s="8">
        <v>1480</v>
      </c>
    </row>
    <row r="9" spans="1:12" x14ac:dyDescent="0.25">
      <c r="A9" s="4" t="s">
        <v>72</v>
      </c>
      <c r="B9" s="8">
        <v>11000</v>
      </c>
    </row>
    <row r="10" spans="1:12" x14ac:dyDescent="0.25">
      <c r="A10" s="4"/>
      <c r="B10" s="8"/>
    </row>
    <row r="11" spans="1:12" x14ac:dyDescent="0.25">
      <c r="A11" s="4"/>
      <c r="B11" s="8"/>
    </row>
    <row r="12" spans="1:12" x14ac:dyDescent="0.25">
      <c r="A12" s="29"/>
      <c r="B12" s="10"/>
    </row>
    <row r="15" spans="1:12" x14ac:dyDescent="0.25">
      <c r="A15" t="s">
        <v>0</v>
      </c>
      <c r="B15" s="14" t="s">
        <v>21</v>
      </c>
      <c r="C15" s="15" t="s">
        <v>30</v>
      </c>
      <c r="D15" s="15" t="s">
        <v>31</v>
      </c>
      <c r="E15" s="15" t="s">
        <v>32</v>
      </c>
      <c r="F15" s="15" t="s">
        <v>33</v>
      </c>
      <c r="G15" s="15" t="s">
        <v>34</v>
      </c>
      <c r="H15" s="15" t="s">
        <v>35</v>
      </c>
      <c r="I15" s="15" t="s">
        <v>36</v>
      </c>
      <c r="J15" s="15" t="s">
        <v>37</v>
      </c>
      <c r="K15" s="15" t="s">
        <v>38</v>
      </c>
      <c r="L15" s="16" t="s">
        <v>39</v>
      </c>
    </row>
    <row r="16" spans="1:12" x14ac:dyDescent="0.25">
      <c r="A16" s="11" t="s">
        <v>1</v>
      </c>
      <c r="B16" s="2" t="s">
        <v>2</v>
      </c>
      <c r="C16" s="2" t="s">
        <v>26</v>
      </c>
      <c r="D16" s="2" t="s">
        <v>27</v>
      </c>
      <c r="E16" s="2"/>
      <c r="F16" s="2"/>
      <c r="G16" s="2"/>
      <c r="H16" s="2"/>
      <c r="I16" s="2"/>
      <c r="J16" s="2"/>
      <c r="K16" s="2"/>
      <c r="L16" s="3"/>
    </row>
    <row r="17" spans="1:13" x14ac:dyDescent="0.25">
      <c r="A17" s="12" t="s">
        <v>19</v>
      </c>
      <c r="B17" s="5">
        <v>1</v>
      </c>
      <c r="C17" s="5">
        <f>B17*1</f>
        <v>1</v>
      </c>
      <c r="D17" s="5">
        <v>1</v>
      </c>
      <c r="E17" s="5"/>
      <c r="F17" s="5"/>
      <c r="G17" s="5"/>
      <c r="H17" s="5"/>
      <c r="I17" s="5"/>
      <c r="J17" s="5"/>
      <c r="K17" s="5"/>
      <c r="L17" s="6"/>
      <c r="M17" t="s">
        <v>47</v>
      </c>
    </row>
    <row r="18" spans="1:13" x14ac:dyDescent="0.25">
      <c r="A18" s="12" t="s">
        <v>3</v>
      </c>
      <c r="B18" s="33">
        <v>0.21</v>
      </c>
      <c r="C18" s="33">
        <v>1.5</v>
      </c>
      <c r="D18" s="33">
        <v>0.3</v>
      </c>
      <c r="E18" s="33"/>
      <c r="F18" s="33"/>
      <c r="G18" s="33"/>
      <c r="H18" s="33"/>
      <c r="I18" s="33"/>
      <c r="J18" s="33"/>
      <c r="K18" s="33"/>
      <c r="L18" s="34"/>
    </row>
    <row r="19" spans="1:13" x14ac:dyDescent="0.25">
      <c r="A19" s="12" t="s">
        <v>4</v>
      </c>
      <c r="B19" s="31">
        <v>3600</v>
      </c>
      <c r="C19" s="31">
        <v>390</v>
      </c>
      <c r="D19" s="31">
        <v>1950</v>
      </c>
      <c r="E19" s="31"/>
      <c r="F19" s="31"/>
      <c r="G19" s="31"/>
      <c r="H19" s="31"/>
      <c r="I19" s="31"/>
      <c r="J19" s="31"/>
      <c r="K19" s="31"/>
      <c r="L19" s="32"/>
    </row>
    <row r="20" spans="1:13" x14ac:dyDescent="0.25">
      <c r="A20" s="12" t="s">
        <v>5</v>
      </c>
      <c r="B20" s="7">
        <v>0</v>
      </c>
      <c r="C20" s="9">
        <f>40*B4+16*B5+34*B9</f>
        <v>639200</v>
      </c>
      <c r="D20" s="9">
        <f>2*B6+10*B7+4*B8+6*B5+7*B9</f>
        <v>154470</v>
      </c>
      <c r="E20" s="9"/>
      <c r="F20" s="9"/>
      <c r="G20" s="9"/>
      <c r="H20" s="9"/>
      <c r="I20" s="9"/>
      <c r="J20" s="9"/>
      <c r="K20" s="9"/>
      <c r="L20" s="10"/>
    </row>
    <row r="21" spans="1:13" ht="14.25" customHeight="1" x14ac:dyDescent="0.25">
      <c r="A21" s="11" t="s">
        <v>40</v>
      </c>
      <c r="B21" s="17">
        <f>SUMPRODUCT(B20:L20,B17:L17)</f>
        <v>793670</v>
      </c>
    </row>
    <row r="22" spans="1:13" ht="14.25" customHeight="1" x14ac:dyDescent="0.25">
      <c r="A22" s="13" t="s">
        <v>43</v>
      </c>
      <c r="B22" s="18">
        <f>SUMPRODUCT(B19:L19,B17:L17)</f>
        <v>5940</v>
      </c>
    </row>
    <row r="23" spans="1:13" ht="14.25" customHeight="1" x14ac:dyDescent="0.25"/>
    <row r="24" spans="1:13" ht="14.25" customHeight="1" x14ac:dyDescent="0.25"/>
    <row r="25" spans="1:13" x14ac:dyDescent="0.25">
      <c r="A25" s="19" t="s">
        <v>20</v>
      </c>
      <c r="B25" s="48">
        <f>B17/B18</f>
        <v>4.7619047619047619</v>
      </c>
      <c r="C25" s="20">
        <f>1/C18*C17</f>
        <v>0.66666666666666663</v>
      </c>
      <c r="D25" s="20">
        <f>1/D18*D17</f>
        <v>3.3333333333333335</v>
      </c>
      <c r="E25" s="20"/>
      <c r="F25" s="20"/>
      <c r="G25" s="20"/>
      <c r="H25" s="20"/>
      <c r="I25" s="20"/>
      <c r="J25" s="20"/>
      <c r="K25" s="20"/>
      <c r="L25" s="21"/>
      <c r="M25" t="s">
        <v>23</v>
      </c>
    </row>
    <row r="26" spans="1:13" x14ac:dyDescent="0.25">
      <c r="A26" s="23" t="s">
        <v>24</v>
      </c>
      <c r="B26" s="49">
        <f>B25/$B$28</f>
        <v>0.54347826086956519</v>
      </c>
      <c r="C26" s="44">
        <f t="shared" ref="C26:L26" si="0">C25/$B$28</f>
        <v>7.6086956521739121E-2</v>
      </c>
      <c r="D26" s="44">
        <f t="shared" si="0"/>
        <v>0.38043478260869562</v>
      </c>
      <c r="E26" s="44">
        <f t="shared" si="0"/>
        <v>0</v>
      </c>
      <c r="F26" s="44">
        <f t="shared" si="0"/>
        <v>0</v>
      </c>
      <c r="G26" s="44">
        <f t="shared" si="0"/>
        <v>0</v>
      </c>
      <c r="H26" s="44">
        <f t="shared" si="0"/>
        <v>0</v>
      </c>
      <c r="I26" s="44">
        <f t="shared" si="0"/>
        <v>0</v>
      </c>
      <c r="J26" s="44">
        <f t="shared" si="0"/>
        <v>0</v>
      </c>
      <c r="K26" s="44">
        <f t="shared" si="0"/>
        <v>0</v>
      </c>
      <c r="L26" s="45">
        <f t="shared" si="0"/>
        <v>0</v>
      </c>
    </row>
    <row r="27" spans="1:13" x14ac:dyDescent="0.25">
      <c r="A27" s="47" t="s">
        <v>57</v>
      </c>
      <c r="B27" s="50">
        <f>B26*$B$42</f>
        <v>0</v>
      </c>
      <c r="C27" s="51">
        <f t="shared" ref="C27:L27" si="1">C26*$B$42</f>
        <v>0</v>
      </c>
      <c r="D27" s="51">
        <f t="shared" si="1"/>
        <v>0</v>
      </c>
      <c r="E27" s="51">
        <f t="shared" si="1"/>
        <v>0</v>
      </c>
      <c r="F27" s="51">
        <f t="shared" si="1"/>
        <v>0</v>
      </c>
      <c r="G27" s="51">
        <f t="shared" si="1"/>
        <v>0</v>
      </c>
      <c r="H27" s="51">
        <f t="shared" si="1"/>
        <v>0</v>
      </c>
      <c r="I27" s="51">
        <f t="shared" si="1"/>
        <v>0</v>
      </c>
      <c r="J27" s="51">
        <f t="shared" si="1"/>
        <v>0</v>
      </c>
      <c r="K27" s="51">
        <f t="shared" si="1"/>
        <v>0</v>
      </c>
      <c r="L27" s="52">
        <f t="shared" si="1"/>
        <v>0</v>
      </c>
    </row>
    <row r="28" spans="1:13" x14ac:dyDescent="0.25">
      <c r="A28" s="13" t="s">
        <v>22</v>
      </c>
      <c r="B28" s="46">
        <f>SUM(B25:L25)</f>
        <v>8.7619047619047628</v>
      </c>
    </row>
    <row r="29" spans="1:13" x14ac:dyDescent="0.25">
      <c r="A29" s="14" t="s">
        <v>44</v>
      </c>
      <c r="B29" s="24">
        <f>B26</f>
        <v>0.54347826086956519</v>
      </c>
    </row>
    <row r="32" spans="1:13" x14ac:dyDescent="0.25">
      <c r="A32" s="19" t="s">
        <v>18</v>
      </c>
      <c r="B32" s="3">
        <v>85</v>
      </c>
      <c r="E32" s="65"/>
    </row>
    <row r="33" spans="1:4" x14ac:dyDescent="0.25">
      <c r="A33" s="23" t="s">
        <v>17</v>
      </c>
      <c r="B33" s="8">
        <v>800000</v>
      </c>
    </row>
    <row r="34" spans="1:4" x14ac:dyDescent="0.25">
      <c r="A34" s="23" t="s">
        <v>41</v>
      </c>
      <c r="B34" s="43">
        <v>0.1</v>
      </c>
    </row>
    <row r="35" spans="1:4" x14ac:dyDescent="0.25">
      <c r="A35" s="22" t="s">
        <v>42</v>
      </c>
      <c r="B35" s="25">
        <v>0.3</v>
      </c>
      <c r="D35">
        <f>B36*24</f>
        <v>-23040</v>
      </c>
    </row>
    <row r="36" spans="1:4" x14ac:dyDescent="0.25">
      <c r="A36" s="19" t="s">
        <v>49</v>
      </c>
      <c r="B36" s="17">
        <f>B33-B38</f>
        <v>-960</v>
      </c>
    </row>
    <row r="37" spans="1:4" x14ac:dyDescent="0.25">
      <c r="A37" s="23" t="s">
        <v>74</v>
      </c>
      <c r="B37" s="67">
        <f>B32*B29*B18*24</f>
        <v>232.82608695652172</v>
      </c>
    </row>
    <row r="38" spans="1:4" x14ac:dyDescent="0.25">
      <c r="A38" s="23" t="s">
        <v>48</v>
      </c>
      <c r="B38" s="64">
        <f>B21+B22*(1+B32/170*(1-B35))/(1+B34)</f>
        <v>800960</v>
      </c>
    </row>
    <row r="39" spans="1:4" x14ac:dyDescent="0.25">
      <c r="A39" s="22" t="s">
        <v>55</v>
      </c>
      <c r="B39" s="35">
        <f>B38-B21-B22</f>
        <v>1350</v>
      </c>
    </row>
    <row r="40" spans="1:4" x14ac:dyDescent="0.25">
      <c r="A40" s="22" t="s">
        <v>25</v>
      </c>
      <c r="B40" s="27">
        <f>(B33-B21-(B32*(1-B35)/170+1)*B22/(1+B34))*B32*B29*B18*24</f>
        <v>-223513.04347826084</v>
      </c>
    </row>
    <row r="42" spans="1:4" ht="16.5" customHeight="1" x14ac:dyDescent="0.25"/>
    <row r="43" spans="1:4" x14ac:dyDescent="0.25">
      <c r="A43" s="19" t="s">
        <v>56</v>
      </c>
      <c r="B43" s="42">
        <f>((B33-B21)*(1+B34)/B22-1)*170/2/(1-B35)</f>
        <v>20.912698412698418</v>
      </c>
    </row>
    <row r="44" spans="1:4" x14ac:dyDescent="0.25">
      <c r="A44" s="22" t="s">
        <v>45</v>
      </c>
      <c r="B44" s="27">
        <f>(B33-B21-((B43*(1-B35)/170+1)*B22/(1+B34)))*B43*B29*B18*24</f>
        <v>26636.413043478315</v>
      </c>
    </row>
    <row r="47" spans="1:4" x14ac:dyDescent="0.25">
      <c r="A47" t="s">
        <v>73</v>
      </c>
    </row>
  </sheetData>
  <sheetProtection select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workbookViewId="0">
      <selection activeCell="C26" sqref="C26"/>
    </sheetView>
  </sheetViews>
  <sheetFormatPr baseColWidth="10" defaultRowHeight="15" x14ac:dyDescent="0.25"/>
  <cols>
    <col min="1" max="1" width="51.710937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8" t="s">
        <v>7</v>
      </c>
      <c r="E2" s="40" t="s">
        <v>50</v>
      </c>
    </row>
    <row r="3" spans="1:6" x14ac:dyDescent="0.25">
      <c r="A3" s="23" t="s">
        <v>15</v>
      </c>
      <c r="B3" s="26" t="s">
        <v>16</v>
      </c>
      <c r="E3" s="37" t="s">
        <v>53</v>
      </c>
      <c r="F3" s="37"/>
    </row>
    <row r="4" spans="1:6" x14ac:dyDescent="0.25">
      <c r="A4" s="1" t="s">
        <v>12</v>
      </c>
      <c r="B4" s="30">
        <v>10.9</v>
      </c>
      <c r="E4" s="38" t="s">
        <v>54</v>
      </c>
      <c r="F4" s="38"/>
    </row>
    <row r="5" spans="1:6" x14ac:dyDescent="0.25">
      <c r="A5" s="4" t="s">
        <v>13</v>
      </c>
      <c r="B5" s="8">
        <v>890</v>
      </c>
      <c r="E5" s="39" t="s">
        <v>51</v>
      </c>
      <c r="F5" s="39"/>
    </row>
    <row r="6" spans="1:6" x14ac:dyDescent="0.25">
      <c r="A6" s="4" t="s">
        <v>70</v>
      </c>
      <c r="B6" s="8">
        <v>18</v>
      </c>
      <c r="E6" s="36" t="s">
        <v>52</v>
      </c>
      <c r="F6" s="36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9"/>
      <c r="B11" s="10"/>
    </row>
    <row r="14" spans="1:6" x14ac:dyDescent="0.25">
      <c r="A14" t="s">
        <v>0</v>
      </c>
      <c r="B14" s="53" t="s">
        <v>21</v>
      </c>
    </row>
    <row r="15" spans="1:6" x14ac:dyDescent="0.25">
      <c r="A15" s="11" t="s">
        <v>1</v>
      </c>
      <c r="B15" s="54" t="s">
        <v>69</v>
      </c>
    </row>
    <row r="16" spans="1:6" x14ac:dyDescent="0.25">
      <c r="A16" s="12" t="s">
        <v>19</v>
      </c>
      <c r="B16" s="55">
        <v>1</v>
      </c>
    </row>
    <row r="17" spans="1:5" x14ac:dyDescent="0.25">
      <c r="A17" s="12" t="s">
        <v>3</v>
      </c>
      <c r="B17" s="56">
        <v>0.28000000000000003</v>
      </c>
    </row>
    <row r="18" spans="1:5" x14ac:dyDescent="0.25">
      <c r="A18" s="12" t="s">
        <v>4</v>
      </c>
      <c r="B18" s="57">
        <v>2219.19</v>
      </c>
    </row>
    <row r="19" spans="1:5" x14ac:dyDescent="0.25">
      <c r="A19" s="12" t="s">
        <v>5</v>
      </c>
      <c r="B19" s="58">
        <f>20*B4+8*B5+10*B6</f>
        <v>7518</v>
      </c>
    </row>
    <row r="20" spans="1:5" ht="14.25" customHeight="1" x14ac:dyDescent="0.25">
      <c r="A20" s="11" t="s">
        <v>40</v>
      </c>
      <c r="B20" s="59">
        <f>SUMPRODUCT(B19:L19,B16:L16)</f>
        <v>7518</v>
      </c>
    </row>
    <row r="21" spans="1:5" ht="14.25" customHeight="1" x14ac:dyDescent="0.25">
      <c r="A21" s="13" t="s">
        <v>43</v>
      </c>
      <c r="B21" s="60">
        <f>SUMPRODUCT(B18:L18,B16:L16)</f>
        <v>2219.19</v>
      </c>
    </row>
    <row r="22" spans="1:5" ht="14.25" customHeight="1" x14ac:dyDescent="0.25"/>
    <row r="23" spans="1:5" ht="14.25" customHeight="1" x14ac:dyDescent="0.25"/>
    <row r="24" spans="1:5" x14ac:dyDescent="0.25">
      <c r="A24" s="19" t="s">
        <v>71</v>
      </c>
      <c r="B24" s="21">
        <f>B16/B17</f>
        <v>3.5714285714285712</v>
      </c>
    </row>
    <row r="25" spans="1:5" x14ac:dyDescent="0.25">
      <c r="A25" s="23" t="s">
        <v>24</v>
      </c>
      <c r="B25" s="45">
        <f>B24/$B$27</f>
        <v>1</v>
      </c>
    </row>
    <row r="26" spans="1:5" x14ac:dyDescent="0.25">
      <c r="A26" s="61" t="s">
        <v>57</v>
      </c>
      <c r="B26" s="62">
        <f>B25*$B$41</f>
        <v>0</v>
      </c>
    </row>
    <row r="27" spans="1:5" x14ac:dyDescent="0.25">
      <c r="A27" s="23" t="s">
        <v>22</v>
      </c>
      <c r="B27" s="41">
        <f>SUM(B24:L24)</f>
        <v>3.5714285714285712</v>
      </c>
    </row>
    <row r="28" spans="1:5" x14ac:dyDescent="0.25">
      <c r="A28" s="22" t="s">
        <v>44</v>
      </c>
      <c r="B28" s="63">
        <f>B25</f>
        <v>1</v>
      </c>
    </row>
    <row r="30" spans="1:5" x14ac:dyDescent="0.25">
      <c r="E30" s="66"/>
    </row>
    <row r="31" spans="1:5" x14ac:dyDescent="0.25">
      <c r="A31" s="19" t="s">
        <v>18</v>
      </c>
      <c r="B31" s="3">
        <v>150</v>
      </c>
    </row>
    <row r="32" spans="1:5" x14ac:dyDescent="0.25">
      <c r="A32" s="23" t="s">
        <v>17</v>
      </c>
      <c r="B32" s="8">
        <v>11000</v>
      </c>
    </row>
    <row r="33" spans="1:2" x14ac:dyDescent="0.25">
      <c r="A33" s="23" t="s">
        <v>41</v>
      </c>
      <c r="B33" s="43">
        <v>0.19</v>
      </c>
    </row>
    <row r="34" spans="1:2" x14ac:dyDescent="0.25">
      <c r="A34" s="22" t="s">
        <v>42</v>
      </c>
      <c r="B34" s="25">
        <v>0.4</v>
      </c>
    </row>
    <row r="35" spans="1:2" x14ac:dyDescent="0.25">
      <c r="A35" s="19" t="s">
        <v>49</v>
      </c>
      <c r="B35" s="17">
        <f>B32-B37</f>
        <v>629.85269401878395</v>
      </c>
    </row>
    <row r="36" spans="1:2" x14ac:dyDescent="0.25">
      <c r="A36" s="23" t="s">
        <v>74</v>
      </c>
      <c r="B36" s="67">
        <f>B31*B28*B17*24</f>
        <v>1008.0000000000002</v>
      </c>
    </row>
    <row r="37" spans="1:2" x14ac:dyDescent="0.25">
      <c r="A37" s="23" t="s">
        <v>48</v>
      </c>
      <c r="B37" s="64">
        <f>B20+B21*(1+B31/170*(1-B34))/(1+B33)</f>
        <v>10370.147305981216</v>
      </c>
    </row>
    <row r="38" spans="1:2" x14ac:dyDescent="0.25">
      <c r="A38" s="22" t="s">
        <v>55</v>
      </c>
      <c r="B38" s="35">
        <f>B37-B20-B21</f>
        <v>632.957305981216</v>
      </c>
    </row>
    <row r="39" spans="1:2" x14ac:dyDescent="0.25">
      <c r="A39" s="22" t="s">
        <v>25</v>
      </c>
      <c r="B39" s="27">
        <f>(B32-B20-(B31*(1-B34)/170+1)*B21/(1+B33))*B31*B28*B17*24</f>
        <v>634891.51557093416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122.84748789723578</v>
      </c>
    </row>
    <row r="43" spans="1:2" x14ac:dyDescent="0.25">
      <c r="A43" s="22" t="s">
        <v>45</v>
      </c>
      <c r="B43" s="27">
        <f>(B32-B20-((B42*(1-B34)/170+1)*B21/(1+B33)))*B42*B28*B17*24</f>
        <v>667500.64160346775</v>
      </c>
    </row>
    <row r="47" spans="1:2" x14ac:dyDescent="0.25">
      <c r="B47">
        <f>1+1+2+3+4+5+6+7+8+9+10+11+12+13+14+15+16+17+18+19+20+21+22+23+24</f>
        <v>301</v>
      </c>
    </row>
    <row r="48" spans="1:2" x14ac:dyDescent="0.25">
      <c r="B48">
        <f>B47*6900</f>
        <v>2076900</v>
      </c>
    </row>
  </sheetData>
  <sheetProtection select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abSelected="1" topLeftCell="A10" workbookViewId="0">
      <selection activeCell="C29" sqref="C29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12</v>
      </c>
      <c r="B4" s="30">
        <v>10.9</v>
      </c>
      <c r="E4" s="38" t="s">
        <v>54</v>
      </c>
      <c r="F4" s="38"/>
    </row>
    <row r="5" spans="1:13" x14ac:dyDescent="0.25">
      <c r="A5" s="4" t="s">
        <v>70</v>
      </c>
      <c r="B5" s="8">
        <v>18</v>
      </c>
      <c r="E5" s="39" t="s">
        <v>51</v>
      </c>
      <c r="F5" s="39"/>
    </row>
    <row r="6" spans="1:13" x14ac:dyDescent="0.25">
      <c r="A6" s="4" t="s">
        <v>61</v>
      </c>
      <c r="B6" s="8">
        <v>7.4</v>
      </c>
      <c r="E6" s="36" t="s">
        <v>52</v>
      </c>
      <c r="F6" s="36"/>
    </row>
    <row r="7" spans="1:13" x14ac:dyDescent="0.25">
      <c r="A7" s="4" t="s">
        <v>62</v>
      </c>
      <c r="B7" s="8">
        <v>14.4</v>
      </c>
    </row>
    <row r="8" spans="1:13" x14ac:dyDescent="0.25">
      <c r="A8" s="4" t="s">
        <v>63</v>
      </c>
      <c r="B8" s="8">
        <v>6100</v>
      </c>
    </row>
    <row r="9" spans="1:13" x14ac:dyDescent="0.25">
      <c r="A9" s="4"/>
      <c r="B9" s="8"/>
    </row>
    <row r="10" spans="1:13" x14ac:dyDescent="0.25">
      <c r="A10" s="4"/>
      <c r="B10" s="8"/>
    </row>
    <row r="11" spans="1:13" x14ac:dyDescent="0.25">
      <c r="A11" s="29"/>
      <c r="B11" s="10"/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69</v>
      </c>
      <c r="C15" s="2" t="s">
        <v>13</v>
      </c>
      <c r="D15" s="2"/>
      <c r="E15" s="2"/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v>8</v>
      </c>
      <c r="D16" s="5"/>
      <c r="E16" s="5"/>
      <c r="F16" s="5"/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0.28000000000000003</v>
      </c>
      <c r="C17" s="33">
        <v>1.84</v>
      </c>
      <c r="D17" s="33"/>
      <c r="E17" s="33"/>
      <c r="F17" s="33"/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2219.19</v>
      </c>
      <c r="C18" s="31">
        <v>206.61</v>
      </c>
      <c r="D18" s="31"/>
      <c r="E18" s="31"/>
      <c r="F18" s="31"/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9">
        <f>20*B4+10*B5</f>
        <v>398</v>
      </c>
      <c r="C19" s="9">
        <f>4*B6+3*B7+0.0625*B8</f>
        <v>454.05</v>
      </c>
      <c r="D19" s="9"/>
      <c r="E19" s="9"/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4030.4</v>
      </c>
    </row>
    <row r="21" spans="1:13" ht="14.25" customHeight="1" x14ac:dyDescent="0.25">
      <c r="A21" s="13" t="s">
        <v>43</v>
      </c>
      <c r="B21" s="18">
        <f>SUMPRODUCT(B18:L18,B16:L16)</f>
        <v>3872.07</v>
      </c>
      <c r="D21" s="66"/>
      <c r="E21" s="66"/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>1/B17</f>
        <v>3.5714285714285712</v>
      </c>
      <c r="C24" s="20">
        <f>8/C17</f>
        <v>4.3478260869565215</v>
      </c>
      <c r="D24" s="20"/>
      <c r="E24" s="20"/>
      <c r="F24" s="20"/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0.45098039215686275</v>
      </c>
      <c r="C25" s="44">
        <f t="shared" ref="C25:L25" si="0">C24/$B$27</f>
        <v>0.5490196078431373</v>
      </c>
      <c r="D25" s="44">
        <f t="shared" si="0"/>
        <v>0</v>
      </c>
      <c r="E25" s="44">
        <f t="shared" si="0"/>
        <v>0</v>
      </c>
      <c r="F25" s="44">
        <f t="shared" si="0"/>
        <v>0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B25*$B$41</f>
        <v>0</v>
      </c>
      <c r="C26" s="51">
        <f t="shared" ref="C26:L26" si="1">C25*$B$41</f>
        <v>0</v>
      </c>
      <c r="D26" s="51">
        <f t="shared" si="1"/>
        <v>0</v>
      </c>
      <c r="E26" s="51">
        <f t="shared" si="1"/>
        <v>0</v>
      </c>
      <c r="F26" s="51">
        <f t="shared" si="1"/>
        <v>0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2">
        <f t="shared" si="1"/>
        <v>0</v>
      </c>
    </row>
    <row r="27" spans="1:13" x14ac:dyDescent="0.25">
      <c r="A27" s="13" t="s">
        <v>22</v>
      </c>
      <c r="B27" s="46">
        <f>SUM(B24:L24)</f>
        <v>7.9192546583850927</v>
      </c>
    </row>
    <row r="28" spans="1:13" x14ac:dyDescent="0.25">
      <c r="A28" s="14" t="s">
        <v>44</v>
      </c>
      <c r="B28" s="24">
        <f>B25</f>
        <v>0.45098039215686275</v>
      </c>
    </row>
    <row r="31" spans="1:13" x14ac:dyDescent="0.25">
      <c r="A31" s="19" t="s">
        <v>18</v>
      </c>
      <c r="B31" s="3">
        <v>93</v>
      </c>
    </row>
    <row r="32" spans="1:13" x14ac:dyDescent="0.25">
      <c r="A32" s="23" t="s">
        <v>17</v>
      </c>
      <c r="B32" s="8">
        <v>11000</v>
      </c>
    </row>
    <row r="33" spans="1:2" x14ac:dyDescent="0.25">
      <c r="A33" s="23" t="s">
        <v>41</v>
      </c>
      <c r="B33" s="43">
        <v>0.19</v>
      </c>
    </row>
    <row r="34" spans="1:2" x14ac:dyDescent="0.25">
      <c r="A34" s="22" t="s">
        <v>42</v>
      </c>
      <c r="B34" s="25">
        <v>0.3</v>
      </c>
    </row>
    <row r="35" spans="1:2" x14ac:dyDescent="0.25">
      <c r="A35" s="19" t="s">
        <v>49</v>
      </c>
      <c r="B35" s="17">
        <f>B32-B37</f>
        <v>2469.7302174987635</v>
      </c>
    </row>
    <row r="36" spans="1:2" x14ac:dyDescent="0.25">
      <c r="A36" s="23" t="s">
        <v>74</v>
      </c>
      <c r="B36" s="67">
        <f>B31*B28*B17*24</f>
        <v>281.84470588235297</v>
      </c>
    </row>
    <row r="37" spans="1:2" x14ac:dyDescent="0.25">
      <c r="A37" s="23" t="s">
        <v>48</v>
      </c>
      <c r="B37" s="64">
        <f>B20+B21*(1+B31/170*(1-B34))/(1+B33)</f>
        <v>8530.2697825012365</v>
      </c>
    </row>
    <row r="38" spans="1:2" x14ac:dyDescent="0.25">
      <c r="A38" s="22" t="s">
        <v>55</v>
      </c>
      <c r="B38" s="35">
        <f>B37-B20-B21</f>
        <v>627.79978250123668</v>
      </c>
    </row>
    <row r="39" spans="1:2" x14ac:dyDescent="0.25">
      <c r="A39" s="22" t="s">
        <v>25</v>
      </c>
      <c r="B39" s="27">
        <f>(B32-B20-(B31*(1-B34)/170+1)*B21/(1+B33))*B31*B28*B17*24</f>
        <v>696080.38675969886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138.66672643536182</v>
      </c>
    </row>
    <row r="43" spans="1:2" x14ac:dyDescent="0.25">
      <c r="A43" s="22" t="s">
        <v>45</v>
      </c>
      <c r="B43" s="27">
        <f>(B32-B20-((B42*(1-B34)/170+1)*B21/(1+B33)))*B42*B28*B17*24</f>
        <v>780758.67141850479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workbookViewId="0">
      <selection activeCell="A10" sqref="A10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8" t="s">
        <v>7</v>
      </c>
      <c r="E2" s="40" t="s">
        <v>50</v>
      </c>
    </row>
    <row r="3" spans="1:6" x14ac:dyDescent="0.25">
      <c r="A3" s="23" t="s">
        <v>15</v>
      </c>
      <c r="B3" s="26" t="s">
        <v>16</v>
      </c>
      <c r="E3" s="37" t="s">
        <v>53</v>
      </c>
      <c r="F3" s="37"/>
    </row>
    <row r="4" spans="1:6" x14ac:dyDescent="0.25">
      <c r="A4" s="1" t="s">
        <v>61</v>
      </c>
      <c r="B4" s="30">
        <v>7.4</v>
      </c>
      <c r="E4" s="38" t="s">
        <v>54</v>
      </c>
      <c r="F4" s="38"/>
    </row>
    <row r="5" spans="1:6" x14ac:dyDescent="0.25">
      <c r="A5" s="4" t="s">
        <v>62</v>
      </c>
      <c r="B5" s="8">
        <v>14.4</v>
      </c>
      <c r="E5" s="39" t="s">
        <v>51</v>
      </c>
      <c r="F5" s="39"/>
    </row>
    <row r="6" spans="1:6" x14ac:dyDescent="0.25">
      <c r="A6" s="4" t="s">
        <v>63</v>
      </c>
      <c r="B6" s="8">
        <v>6100</v>
      </c>
      <c r="E6" s="36" t="s">
        <v>52</v>
      </c>
      <c r="F6" s="36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9"/>
      <c r="B11" s="10"/>
    </row>
    <row r="14" spans="1:6" x14ac:dyDescent="0.25">
      <c r="A14" t="s">
        <v>0</v>
      </c>
      <c r="B14" s="53" t="s">
        <v>21</v>
      </c>
    </row>
    <row r="15" spans="1:6" x14ac:dyDescent="0.25">
      <c r="A15" s="11" t="s">
        <v>1</v>
      </c>
      <c r="B15" s="54" t="s">
        <v>68</v>
      </c>
    </row>
    <row r="16" spans="1:6" x14ac:dyDescent="0.25">
      <c r="A16" s="12" t="s">
        <v>19</v>
      </c>
      <c r="B16" s="55">
        <v>1</v>
      </c>
    </row>
    <row r="17" spans="1:2" x14ac:dyDescent="0.25">
      <c r="A17" s="12" t="s">
        <v>3</v>
      </c>
      <c r="B17" s="56">
        <v>1.84</v>
      </c>
    </row>
    <row r="18" spans="1:2" x14ac:dyDescent="0.25">
      <c r="A18" s="12" t="s">
        <v>4</v>
      </c>
      <c r="B18" s="57">
        <v>206.61</v>
      </c>
    </row>
    <row r="19" spans="1:2" x14ac:dyDescent="0.25">
      <c r="A19" s="12" t="s">
        <v>5</v>
      </c>
      <c r="B19" s="58">
        <f>4*B4+3*B5+0.0625*B6</f>
        <v>454.05</v>
      </c>
    </row>
    <row r="20" spans="1:2" ht="14.25" customHeight="1" x14ac:dyDescent="0.25">
      <c r="A20" s="11" t="s">
        <v>40</v>
      </c>
      <c r="B20" s="59">
        <f>SUMPRODUCT(B19:L19,B16:L16)</f>
        <v>454.05</v>
      </c>
    </row>
    <row r="21" spans="1:2" ht="14.25" customHeight="1" x14ac:dyDescent="0.25">
      <c r="A21" s="13" t="s">
        <v>43</v>
      </c>
      <c r="B21" s="60">
        <f>SUMPRODUCT(B18:L18,B16:L16)</f>
        <v>206.61</v>
      </c>
    </row>
    <row r="22" spans="1:2" ht="14.25" customHeight="1" x14ac:dyDescent="0.25"/>
    <row r="23" spans="1:2" ht="14.25" customHeight="1" x14ac:dyDescent="0.25"/>
    <row r="24" spans="1:2" x14ac:dyDescent="0.25">
      <c r="A24" s="19" t="s">
        <v>20</v>
      </c>
      <c r="B24" s="21">
        <f>B16/B17</f>
        <v>0.54347826086956519</v>
      </c>
    </row>
    <row r="25" spans="1:2" x14ac:dyDescent="0.25">
      <c r="A25" s="23" t="s">
        <v>24</v>
      </c>
      <c r="B25" s="45">
        <f>B24/$B$27</f>
        <v>1</v>
      </c>
    </row>
    <row r="26" spans="1:2" x14ac:dyDescent="0.25">
      <c r="A26" s="61" t="s">
        <v>57</v>
      </c>
      <c r="B26" s="62">
        <f>B25*$B$41</f>
        <v>0</v>
      </c>
    </row>
    <row r="27" spans="1:2" x14ac:dyDescent="0.25">
      <c r="A27" s="23" t="s">
        <v>22</v>
      </c>
      <c r="B27" s="41">
        <f>SUM(B24:L24)</f>
        <v>0.54347826086956519</v>
      </c>
    </row>
    <row r="28" spans="1:2" x14ac:dyDescent="0.25">
      <c r="A28" s="22" t="s">
        <v>44</v>
      </c>
      <c r="B28" s="63">
        <f>B25</f>
        <v>1</v>
      </c>
    </row>
    <row r="31" spans="1:2" x14ac:dyDescent="0.25">
      <c r="A31" s="19" t="s">
        <v>18</v>
      </c>
      <c r="B31" s="3">
        <v>100</v>
      </c>
    </row>
    <row r="32" spans="1:2" x14ac:dyDescent="0.25">
      <c r="A32" s="23" t="s">
        <v>17</v>
      </c>
      <c r="B32" s="8">
        <v>800</v>
      </c>
    </row>
    <row r="33" spans="1:2" x14ac:dyDescent="0.25">
      <c r="A33" s="23" t="s">
        <v>41</v>
      </c>
      <c r="B33" s="43">
        <v>0.04</v>
      </c>
    </row>
    <row r="34" spans="1:2" x14ac:dyDescent="0.25">
      <c r="A34" s="22" t="s">
        <v>42</v>
      </c>
      <c r="B34" s="25">
        <v>0.3</v>
      </c>
    </row>
    <row r="35" spans="1:2" x14ac:dyDescent="0.25">
      <c r="A35" s="19" t="s">
        <v>49</v>
      </c>
      <c r="B35" s="17">
        <f>B32-B37</f>
        <v>65.48393665158369</v>
      </c>
    </row>
    <row r="36" spans="1:2" x14ac:dyDescent="0.25">
      <c r="A36" s="23" t="s">
        <v>74</v>
      </c>
      <c r="B36" s="67">
        <f>B31*B28*B17*24</f>
        <v>4416</v>
      </c>
    </row>
    <row r="37" spans="1:2" x14ac:dyDescent="0.25">
      <c r="A37" s="23" t="s">
        <v>48</v>
      </c>
      <c r="B37" s="64">
        <f>B20+B21*(1+B31/170*(1-B34))/(1+B33)</f>
        <v>734.51606334841631</v>
      </c>
    </row>
    <row r="38" spans="1:2" x14ac:dyDescent="0.25">
      <c r="A38" s="22" t="s">
        <v>55</v>
      </c>
      <c r="B38" s="35">
        <f>B37-B20-B21</f>
        <v>73.856063348416285</v>
      </c>
    </row>
    <row r="39" spans="1:2" x14ac:dyDescent="0.25">
      <c r="A39" s="22" t="s">
        <v>25</v>
      </c>
      <c r="B39" s="27">
        <f>(B32-B20-(B31*(1-B34)/170+1)*B21/(1+B33))*B31*B28*B17*24</f>
        <v>289177.06425339356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90.025583051574046</v>
      </c>
    </row>
    <row r="43" spans="1:2" x14ac:dyDescent="0.25">
      <c r="A43" s="22" t="s">
        <v>45</v>
      </c>
      <c r="B43" s="27">
        <f>(B32-B20-((B42*(1-B34)/170+1)*B21/(1+B33)))*B42*B28*B17*24</f>
        <v>292771.00753430964</v>
      </c>
    </row>
  </sheetData>
  <sheetProtection selectLockedCell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13" workbookViewId="0">
      <selection activeCell="C31" sqref="A1:XFD1048576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58</v>
      </c>
      <c r="B4" s="30">
        <v>4740</v>
      </c>
      <c r="E4" s="38" t="s">
        <v>54</v>
      </c>
      <c r="F4" s="38"/>
    </row>
    <row r="5" spans="1:13" x14ac:dyDescent="0.25">
      <c r="A5" s="4" t="s">
        <v>59</v>
      </c>
      <c r="B5" s="8">
        <v>1520</v>
      </c>
      <c r="E5" s="39" t="s">
        <v>51</v>
      </c>
      <c r="F5" s="39"/>
    </row>
    <row r="6" spans="1:13" x14ac:dyDescent="0.25">
      <c r="A6" s="4" t="s">
        <v>61</v>
      </c>
      <c r="B6" s="8">
        <v>7.4</v>
      </c>
      <c r="E6" s="36" t="s">
        <v>52</v>
      </c>
      <c r="F6" s="36"/>
    </row>
    <row r="7" spans="1:13" x14ac:dyDescent="0.25">
      <c r="A7" s="4" t="s">
        <v>62</v>
      </c>
      <c r="B7" s="8">
        <v>14.2</v>
      </c>
    </row>
    <row r="8" spans="1:13" x14ac:dyDescent="0.25">
      <c r="A8" s="4" t="s">
        <v>63</v>
      </c>
      <c r="B8" s="8">
        <v>6200</v>
      </c>
    </row>
    <row r="9" spans="1:13" x14ac:dyDescent="0.25">
      <c r="A9" s="4" t="s">
        <v>64</v>
      </c>
      <c r="B9" s="8">
        <v>82</v>
      </c>
    </row>
    <row r="10" spans="1:13" x14ac:dyDescent="0.25">
      <c r="A10" s="4"/>
      <c r="B10" s="8"/>
    </row>
    <row r="11" spans="1:13" x14ac:dyDescent="0.25">
      <c r="A11" s="29"/>
      <c r="B11" s="10"/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60</v>
      </c>
      <c r="C15" s="2" t="s">
        <v>65</v>
      </c>
      <c r="D15" s="2" t="s">
        <v>66</v>
      </c>
      <c r="E15" s="2" t="s">
        <v>67</v>
      </c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8*B16</f>
        <v>8</v>
      </c>
      <c r="D16" s="5">
        <f>1*B16</f>
        <v>1</v>
      </c>
      <c r="E16" s="5">
        <f>D16*8</f>
        <v>8</v>
      </c>
      <c r="F16" s="5"/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0.11</v>
      </c>
      <c r="C17" s="33">
        <v>1.84</v>
      </c>
      <c r="D17" s="33">
        <v>0.56000000000000005</v>
      </c>
      <c r="E17" s="33">
        <v>1.84</v>
      </c>
      <c r="F17" s="33"/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6402.57</v>
      </c>
      <c r="C18" s="31">
        <v>206.61</v>
      </c>
      <c r="D18" s="31">
        <v>1109.5899999999999</v>
      </c>
      <c r="E18" s="31">
        <v>206.61</v>
      </c>
      <c r="F18" s="31"/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f>4*B4+2*B5</f>
        <v>22000</v>
      </c>
      <c r="C19" s="9">
        <f>4*B6+3*B7+0.0625*B8</f>
        <v>459.7</v>
      </c>
      <c r="D19" s="9">
        <f>30*B9+15*B7</f>
        <v>2673</v>
      </c>
      <c r="E19" s="9">
        <f>4*B6+3*B7+0.0625*B8</f>
        <v>459.7</v>
      </c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32028.199999999997</v>
      </c>
    </row>
    <row r="21" spans="1:13" ht="14.25" customHeight="1" x14ac:dyDescent="0.25">
      <c r="A21" s="13" t="s">
        <v>43</v>
      </c>
      <c r="B21" s="18">
        <f>SUMPRODUCT(B18:L18,B16:L16)</f>
        <v>10817.919999999998</v>
      </c>
      <c r="D21" s="66"/>
      <c r="E21" s="66"/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>1/B17</f>
        <v>9.0909090909090917</v>
      </c>
      <c r="C24" s="20">
        <f>8/C17</f>
        <v>4.3478260869565215</v>
      </c>
      <c r="D24" s="20">
        <f>D16/D17</f>
        <v>1.7857142857142856</v>
      </c>
      <c r="E24" s="20">
        <f>E16/E17</f>
        <v>4.3478260869565215</v>
      </c>
      <c r="F24" s="20"/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0.46447890371438882</v>
      </c>
      <c r="C25" s="44">
        <f t="shared" ref="C25:L25" si="0">C24/$B$27</f>
        <v>0.22214208438514246</v>
      </c>
      <c r="D25" s="44">
        <f t="shared" si="0"/>
        <v>9.123692751532636E-2</v>
      </c>
      <c r="E25" s="44">
        <f t="shared" si="0"/>
        <v>0.22214208438514246</v>
      </c>
      <c r="F25" s="44">
        <f t="shared" si="0"/>
        <v>0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B25*$B$41</f>
        <v>0</v>
      </c>
      <c r="C26" s="51">
        <f t="shared" ref="C26:L26" si="1">C25*$B$41</f>
        <v>0</v>
      </c>
      <c r="D26" s="51">
        <f t="shared" si="1"/>
        <v>0</v>
      </c>
      <c r="E26" s="51">
        <f t="shared" si="1"/>
        <v>0</v>
      </c>
      <c r="F26" s="51">
        <f t="shared" si="1"/>
        <v>0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2">
        <f t="shared" si="1"/>
        <v>0</v>
      </c>
    </row>
    <row r="27" spans="1:13" x14ac:dyDescent="0.25">
      <c r="A27" s="13" t="s">
        <v>22</v>
      </c>
      <c r="B27" s="46">
        <f>SUM(B24:L24)</f>
        <v>19.572275550536418</v>
      </c>
    </row>
    <row r="28" spans="1:13" x14ac:dyDescent="0.25">
      <c r="A28" s="14" t="s">
        <v>44</v>
      </c>
      <c r="B28" s="24">
        <f>B25</f>
        <v>0.46447890371438882</v>
      </c>
    </row>
    <row r="31" spans="1:13" x14ac:dyDescent="0.25">
      <c r="A31" s="19" t="s">
        <v>18</v>
      </c>
      <c r="B31" s="3">
        <v>93</v>
      </c>
    </row>
    <row r="32" spans="1:13" x14ac:dyDescent="0.25">
      <c r="A32" s="23" t="s">
        <v>17</v>
      </c>
      <c r="B32" s="8">
        <v>54000</v>
      </c>
    </row>
    <row r="33" spans="1:2" x14ac:dyDescent="0.25">
      <c r="A33" s="23" t="s">
        <v>41</v>
      </c>
      <c r="B33" s="43">
        <v>0.19</v>
      </c>
    </row>
    <row r="34" spans="1:2" x14ac:dyDescent="0.25">
      <c r="A34" s="22" t="s">
        <v>42</v>
      </c>
      <c r="B34" s="25">
        <v>0.3</v>
      </c>
    </row>
    <row r="35" spans="1:2" x14ac:dyDescent="0.25">
      <c r="A35" s="19" t="s">
        <v>49</v>
      </c>
      <c r="B35" s="17">
        <f>B32-B37</f>
        <v>9399.9117548195791</v>
      </c>
    </row>
    <row r="36" spans="1:2" x14ac:dyDescent="0.25">
      <c r="A36" s="23" t="s">
        <v>74</v>
      </c>
      <c r="B36" s="67">
        <f>B31*B28*B17*24</f>
        <v>114.03886043995675</v>
      </c>
    </row>
    <row r="37" spans="1:2" x14ac:dyDescent="0.25">
      <c r="A37" s="23" t="s">
        <v>48</v>
      </c>
      <c r="B37" s="64">
        <f>B20+B21*(1+B31/170*(1-B34))/(1+B33)</f>
        <v>44600.088245180421</v>
      </c>
    </row>
    <row r="38" spans="1:2" x14ac:dyDescent="0.25">
      <c r="A38" s="22" t="s">
        <v>55</v>
      </c>
      <c r="B38" s="35">
        <f>B37-B20-B21</f>
        <v>1753.9682451804256</v>
      </c>
    </row>
    <row r="39" spans="1:2" x14ac:dyDescent="0.25">
      <c r="A39" s="22" t="s">
        <v>25</v>
      </c>
      <c r="B39" s="27">
        <f>(B32-B20-(B31*(1-B34)/170+1)*B21/(1+B33))*B31*B28*B17*24</f>
        <v>1071955.2247557791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172.05900289255507</v>
      </c>
    </row>
    <row r="43" spans="1:2" x14ac:dyDescent="0.25">
      <c r="A43" s="22" t="s">
        <v>45</v>
      </c>
      <c r="B43" s="27">
        <f>(B32-B20-((B42*(1-B34)/170+1)*B21/(1+B33)))*B42*B28*B17*24</f>
        <v>1358847.2711246181</v>
      </c>
    </row>
  </sheetData>
  <sheetProtection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BFR-OB-ST-RE</vt:lpstr>
      <vt:lpstr>BFR-OB-ST</vt:lpstr>
      <vt:lpstr>RE</vt:lpstr>
      <vt:lpstr>RE-HGEC</vt:lpstr>
      <vt:lpstr>HGEC</vt:lpstr>
      <vt:lpstr>SAT-Ion-HGEC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2021-07-14T14:42:19Z</dcterms:modified>
</cp:coreProperties>
</file>