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y\Desktop\ARELY VASQUEZ FLORES\"/>
    </mc:Choice>
  </mc:AlternateContent>
  <bookViews>
    <workbookView xWindow="0" yWindow="0" windowWidth="20490" windowHeight="7755" activeTab="1"/>
  </bookViews>
  <sheets>
    <sheet name="RESUMEN" sheetId="3" r:id="rId1"/>
    <sheet name="ENERO 19" sheetId="1" r:id="rId2"/>
    <sheet name="FEBRERO 19" sheetId="2" r:id="rId3"/>
    <sheet name="MARZO 19" sheetId="4" r:id="rId4"/>
  </sheets>
  <externalReferences>
    <externalReference r:id="rId5"/>
  </externalReferences>
  <definedNames>
    <definedName name="_xlnm.Print_Area" localSheetId="1">'ENERO 19'!$A$2:$Y$133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2" i="1" l="1"/>
  <c r="K82" i="1"/>
  <c r="N82" i="1"/>
  <c r="O82" i="1"/>
  <c r="P82" i="1"/>
  <c r="I82" i="1"/>
  <c r="Q82" i="1" l="1"/>
  <c r="R82" i="1" s="1"/>
  <c r="N240" i="4" l="1"/>
  <c r="N244" i="4" l="1"/>
  <c r="N242" i="4"/>
  <c r="M240" i="4"/>
  <c r="L240" i="4"/>
  <c r="K257" i="4" l="1"/>
  <c r="K256" i="4"/>
  <c r="K50" i="4"/>
  <c r="L6" i="4" l="1"/>
  <c r="L7" i="4"/>
  <c r="L8" i="4"/>
  <c r="L9" i="4"/>
  <c r="M9" i="4" s="1"/>
  <c r="L10" i="4"/>
  <c r="L11" i="4"/>
  <c r="L12" i="4"/>
  <c r="L13" i="4"/>
  <c r="M13" i="4" s="1"/>
  <c r="L14" i="4"/>
  <c r="L15" i="4"/>
  <c r="L16" i="4"/>
  <c r="L17" i="4"/>
  <c r="M17" i="4" s="1"/>
  <c r="L18" i="4"/>
  <c r="L19" i="4"/>
  <c r="L20" i="4"/>
  <c r="L21" i="4"/>
  <c r="M21" i="4" s="1"/>
  <c r="L22" i="4"/>
  <c r="L23" i="4"/>
  <c r="L24" i="4"/>
  <c r="L25" i="4"/>
  <c r="M25" i="4" s="1"/>
  <c r="L26" i="4"/>
  <c r="L27" i="4"/>
  <c r="L28" i="4"/>
  <c r="L29" i="4"/>
  <c r="M29" i="4" s="1"/>
  <c r="L30" i="4"/>
  <c r="L31" i="4"/>
  <c r="L32" i="4"/>
  <c r="L33" i="4"/>
  <c r="M33" i="4" s="1"/>
  <c r="L34" i="4"/>
  <c r="L35" i="4"/>
  <c r="L36" i="4"/>
  <c r="L37" i="4"/>
  <c r="M37" i="4" s="1"/>
  <c r="L38" i="4"/>
  <c r="L39" i="4"/>
  <c r="L40" i="4"/>
  <c r="L41" i="4"/>
  <c r="M41" i="4" s="1"/>
  <c r="L42" i="4"/>
  <c r="L43" i="4"/>
  <c r="L44" i="4"/>
  <c r="L45" i="4"/>
  <c r="M45" i="4" s="1"/>
  <c r="L46" i="4"/>
  <c r="L47" i="4"/>
  <c r="L48" i="4"/>
  <c r="L49" i="4"/>
  <c r="M49" i="4" s="1"/>
  <c r="L50" i="4"/>
  <c r="L51" i="4"/>
  <c r="L52" i="4"/>
  <c r="L53" i="4"/>
  <c r="M53" i="4" s="1"/>
  <c r="L54" i="4"/>
  <c r="L55" i="4"/>
  <c r="L56" i="4"/>
  <c r="L57" i="4"/>
  <c r="M57" i="4" s="1"/>
  <c r="L58" i="4"/>
  <c r="L59" i="4"/>
  <c r="L60" i="4"/>
  <c r="L61" i="4"/>
  <c r="M61" i="4" s="1"/>
  <c r="L62" i="4"/>
  <c r="L63" i="4"/>
  <c r="L64" i="4"/>
  <c r="L65" i="4"/>
  <c r="M65" i="4" s="1"/>
  <c r="L66" i="4"/>
  <c r="L67" i="4"/>
  <c r="L68" i="4"/>
  <c r="L69" i="4"/>
  <c r="M69" i="4" s="1"/>
  <c r="L70" i="4"/>
  <c r="L71" i="4"/>
  <c r="L72" i="4"/>
  <c r="L73" i="4"/>
  <c r="M73" i="4" s="1"/>
  <c r="L74" i="4"/>
  <c r="L75" i="4"/>
  <c r="L76" i="4"/>
  <c r="L77" i="4"/>
  <c r="M77" i="4" s="1"/>
  <c r="L78" i="4"/>
  <c r="L79" i="4"/>
  <c r="L80" i="4"/>
  <c r="L81" i="4"/>
  <c r="M81" i="4" s="1"/>
  <c r="L82" i="4"/>
  <c r="L83" i="4"/>
  <c r="L84" i="4"/>
  <c r="L85" i="4"/>
  <c r="M85" i="4" s="1"/>
  <c r="L86" i="4"/>
  <c r="L87" i="4"/>
  <c r="L88" i="4"/>
  <c r="L89" i="4"/>
  <c r="M89" i="4" s="1"/>
  <c r="L90" i="4"/>
  <c r="L91" i="4"/>
  <c r="L92" i="4"/>
  <c r="L93" i="4"/>
  <c r="M93" i="4" s="1"/>
  <c r="L94" i="4"/>
  <c r="L95" i="4"/>
  <c r="L96" i="4"/>
  <c r="L97" i="4"/>
  <c r="M97" i="4" s="1"/>
  <c r="L98" i="4"/>
  <c r="L99" i="4"/>
  <c r="L100" i="4"/>
  <c r="L101" i="4"/>
  <c r="M101" i="4" s="1"/>
  <c r="L102" i="4"/>
  <c r="L103" i="4"/>
  <c r="L104" i="4"/>
  <c r="L105" i="4"/>
  <c r="M105" i="4" s="1"/>
  <c r="L106" i="4"/>
  <c r="L107" i="4"/>
  <c r="L108" i="4"/>
  <c r="L109" i="4"/>
  <c r="M109" i="4" s="1"/>
  <c r="L110" i="4"/>
  <c r="L111" i="4"/>
  <c r="L112" i="4"/>
  <c r="L113" i="4"/>
  <c r="M113" i="4" s="1"/>
  <c r="L114" i="4"/>
  <c r="L115" i="4"/>
  <c r="L116" i="4"/>
  <c r="L117" i="4"/>
  <c r="M117" i="4" s="1"/>
  <c r="L118" i="4"/>
  <c r="L119" i="4"/>
  <c r="L120" i="4"/>
  <c r="L121" i="4"/>
  <c r="M121" i="4" s="1"/>
  <c r="L122" i="4"/>
  <c r="L123" i="4"/>
  <c r="L124" i="4"/>
  <c r="L125" i="4"/>
  <c r="M125" i="4" s="1"/>
  <c r="L126" i="4"/>
  <c r="L127" i="4"/>
  <c r="L128" i="4"/>
  <c r="L129" i="4"/>
  <c r="M129" i="4" s="1"/>
  <c r="L130" i="4"/>
  <c r="L131" i="4"/>
  <c r="L132" i="4"/>
  <c r="L133" i="4"/>
  <c r="M133" i="4" s="1"/>
  <c r="L134" i="4"/>
  <c r="L135" i="4"/>
  <c r="L136" i="4"/>
  <c r="L137" i="4"/>
  <c r="M137" i="4" s="1"/>
  <c r="L138" i="4"/>
  <c r="L139" i="4"/>
  <c r="L140" i="4"/>
  <c r="L141" i="4"/>
  <c r="M141" i="4" s="1"/>
  <c r="L142" i="4"/>
  <c r="L143" i="4"/>
  <c r="L144" i="4"/>
  <c r="L145" i="4"/>
  <c r="M145" i="4" s="1"/>
  <c r="L146" i="4"/>
  <c r="L147" i="4"/>
  <c r="L148" i="4"/>
  <c r="L149" i="4"/>
  <c r="M149" i="4" s="1"/>
  <c r="L150" i="4"/>
  <c r="L151" i="4"/>
  <c r="L152" i="4"/>
  <c r="L153" i="4"/>
  <c r="M153" i="4" s="1"/>
  <c r="L154" i="4"/>
  <c r="L155" i="4"/>
  <c r="L156" i="4"/>
  <c r="L157" i="4"/>
  <c r="M157" i="4" s="1"/>
  <c r="L158" i="4"/>
  <c r="L159" i="4"/>
  <c r="L160" i="4"/>
  <c r="L161" i="4"/>
  <c r="M161" i="4" s="1"/>
  <c r="L162" i="4"/>
  <c r="L163" i="4"/>
  <c r="L164" i="4"/>
  <c r="L165" i="4"/>
  <c r="M165" i="4" s="1"/>
  <c r="L166" i="4"/>
  <c r="M6" i="4"/>
  <c r="M7" i="4"/>
  <c r="M8" i="4"/>
  <c r="M10" i="4"/>
  <c r="M11" i="4"/>
  <c r="M12" i="4"/>
  <c r="M14" i="4"/>
  <c r="M15" i="4"/>
  <c r="M16" i="4"/>
  <c r="M18" i="4"/>
  <c r="M19" i="4"/>
  <c r="M20" i="4"/>
  <c r="M22" i="4"/>
  <c r="M23" i="4"/>
  <c r="M24" i="4"/>
  <c r="M26" i="4"/>
  <c r="M27" i="4"/>
  <c r="M28" i="4"/>
  <c r="M30" i="4"/>
  <c r="M31" i="4"/>
  <c r="M32" i="4"/>
  <c r="M34" i="4"/>
  <c r="M35" i="4"/>
  <c r="M36" i="4"/>
  <c r="M38" i="4"/>
  <c r="M39" i="4"/>
  <c r="M40" i="4"/>
  <c r="M42" i="4"/>
  <c r="M43" i="4"/>
  <c r="M44" i="4"/>
  <c r="M46" i="4"/>
  <c r="M47" i="4"/>
  <c r="M48" i="4"/>
  <c r="M50" i="4"/>
  <c r="M51" i="4"/>
  <c r="M52" i="4"/>
  <c r="M54" i="4"/>
  <c r="M55" i="4"/>
  <c r="M56" i="4"/>
  <c r="M58" i="4"/>
  <c r="M59" i="4"/>
  <c r="M60" i="4"/>
  <c r="M62" i="4"/>
  <c r="M63" i="4"/>
  <c r="M64" i="4"/>
  <c r="M66" i="4"/>
  <c r="M67" i="4"/>
  <c r="M68" i="4"/>
  <c r="M70" i="4"/>
  <c r="M71" i="4"/>
  <c r="M72" i="4"/>
  <c r="M74" i="4"/>
  <c r="M75" i="4"/>
  <c r="M76" i="4"/>
  <c r="M78" i="4"/>
  <c r="M79" i="4"/>
  <c r="M80" i="4"/>
  <c r="M82" i="4"/>
  <c r="M83" i="4"/>
  <c r="M84" i="4"/>
  <c r="M86" i="4"/>
  <c r="M87" i="4"/>
  <c r="M88" i="4"/>
  <c r="M90" i="4"/>
  <c r="M91" i="4"/>
  <c r="M92" i="4"/>
  <c r="M94" i="4"/>
  <c r="M95" i="4"/>
  <c r="M96" i="4"/>
  <c r="M98" i="4"/>
  <c r="M99" i="4"/>
  <c r="M100" i="4"/>
  <c r="M102" i="4"/>
  <c r="M103" i="4"/>
  <c r="M104" i="4"/>
  <c r="M106" i="4"/>
  <c r="M107" i="4"/>
  <c r="M108" i="4"/>
  <c r="M110" i="4"/>
  <c r="M111" i="4"/>
  <c r="M112" i="4"/>
  <c r="M114" i="4"/>
  <c r="M115" i="4"/>
  <c r="M116" i="4"/>
  <c r="M118" i="4"/>
  <c r="M119" i="4"/>
  <c r="M120" i="4"/>
  <c r="M122" i="4"/>
  <c r="M123" i="4"/>
  <c r="M124" i="4"/>
  <c r="M126" i="4"/>
  <c r="M127" i="4"/>
  <c r="M128" i="4"/>
  <c r="M130" i="4"/>
  <c r="M131" i="4"/>
  <c r="M132" i="4"/>
  <c r="M134" i="4"/>
  <c r="M135" i="4"/>
  <c r="M136" i="4"/>
  <c r="M138" i="4"/>
  <c r="M139" i="4"/>
  <c r="M140" i="4"/>
  <c r="M142" i="4"/>
  <c r="M143" i="4"/>
  <c r="M144" i="4"/>
  <c r="M146" i="4"/>
  <c r="M147" i="4"/>
  <c r="M148" i="4"/>
  <c r="M150" i="4"/>
  <c r="M151" i="4"/>
  <c r="M152" i="4"/>
  <c r="M154" i="4"/>
  <c r="M155" i="4"/>
  <c r="M156" i="4"/>
  <c r="M158" i="4"/>
  <c r="M159" i="4"/>
  <c r="M160" i="4"/>
  <c r="M162" i="4"/>
  <c r="M163" i="4"/>
  <c r="M164" i="4"/>
  <c r="M166" i="4"/>
  <c r="S91" i="4"/>
  <c r="T91" i="4"/>
  <c r="S92" i="4"/>
  <c r="T92" i="4"/>
  <c r="S93" i="4"/>
  <c r="T93" i="4"/>
  <c r="S94" i="4"/>
  <c r="T94" i="4"/>
  <c r="S95" i="4"/>
  <c r="T95" i="4"/>
  <c r="S97" i="4"/>
  <c r="T97" i="4"/>
  <c r="S102" i="4"/>
  <c r="T102" i="4"/>
  <c r="S104" i="4"/>
  <c r="T104" i="4"/>
  <c r="S105" i="4"/>
  <c r="T105" i="4"/>
  <c r="S106" i="4"/>
  <c r="T106" i="4"/>
  <c r="S108" i="4"/>
  <c r="T108" i="4"/>
  <c r="S109" i="4"/>
  <c r="S112" i="4"/>
  <c r="T112" i="4"/>
  <c r="S113" i="4"/>
  <c r="T113" i="4"/>
  <c r="S114" i="4"/>
  <c r="T114" i="4"/>
  <c r="S115" i="4"/>
  <c r="S117" i="4"/>
  <c r="T117" i="4"/>
  <c r="S119" i="4"/>
  <c r="T119" i="4"/>
  <c r="S121" i="4"/>
  <c r="T121" i="4"/>
  <c r="S122" i="4"/>
  <c r="T122" i="4"/>
  <c r="S125" i="4"/>
  <c r="T125" i="4"/>
  <c r="S130" i="4"/>
  <c r="T130" i="4"/>
  <c r="S131" i="4"/>
  <c r="T131" i="4"/>
  <c r="S133" i="4"/>
  <c r="T133" i="4"/>
  <c r="S136" i="4"/>
  <c r="T136" i="4"/>
  <c r="S137" i="4"/>
  <c r="T137" i="4"/>
  <c r="AA137" i="4" s="1"/>
  <c r="S139" i="4"/>
  <c r="T139" i="4"/>
  <c r="S141" i="4"/>
  <c r="T141" i="4"/>
  <c r="S143" i="4"/>
  <c r="T143" i="4"/>
  <c r="S144" i="4"/>
  <c r="T144" i="4"/>
  <c r="S146" i="4"/>
  <c r="T146" i="4"/>
  <c r="S147" i="4"/>
  <c r="T147" i="4"/>
  <c r="S149" i="4"/>
  <c r="T149" i="4"/>
  <c r="S152" i="4"/>
  <c r="T152" i="4"/>
  <c r="S154" i="4"/>
  <c r="T154" i="4"/>
  <c r="S155" i="4"/>
  <c r="T155" i="4"/>
  <c r="S157" i="4"/>
  <c r="T157" i="4"/>
  <c r="AA157" i="4" s="1"/>
  <c r="S158" i="4"/>
  <c r="T158" i="4"/>
  <c r="AA158" i="4" s="1"/>
  <c r="S159" i="4"/>
  <c r="T159" i="4"/>
  <c r="S160" i="4"/>
  <c r="T160" i="4"/>
  <c r="S161" i="4"/>
  <c r="T161" i="4"/>
  <c r="S162" i="4"/>
  <c r="T162" i="4"/>
  <c r="S163" i="4"/>
  <c r="T163" i="4"/>
  <c r="S164" i="4"/>
  <c r="T164" i="4"/>
  <c r="S165" i="4"/>
  <c r="T165" i="4"/>
  <c r="S166" i="4"/>
  <c r="T166" i="4"/>
  <c r="Q6" i="4"/>
  <c r="R6" i="4"/>
  <c r="Q7" i="4"/>
  <c r="R7" i="4"/>
  <c r="Q8" i="4"/>
  <c r="R8" i="4"/>
  <c r="Q9" i="4"/>
  <c r="R9" i="4"/>
  <c r="Q10" i="4"/>
  <c r="R10" i="4"/>
  <c r="Q11" i="4"/>
  <c r="R11" i="4"/>
  <c r="Q12" i="4"/>
  <c r="R12" i="4"/>
  <c r="Q13" i="4"/>
  <c r="R13" i="4"/>
  <c r="Q14" i="4"/>
  <c r="R14" i="4"/>
  <c r="Q15" i="4"/>
  <c r="R15" i="4"/>
  <c r="Q16" i="4"/>
  <c r="R16" i="4"/>
  <c r="Q17" i="4"/>
  <c r="R17" i="4"/>
  <c r="Q18" i="4"/>
  <c r="R18" i="4"/>
  <c r="Q19" i="4"/>
  <c r="R19" i="4"/>
  <c r="Q20" i="4"/>
  <c r="R20" i="4"/>
  <c r="Q21" i="4"/>
  <c r="R21" i="4"/>
  <c r="S21" i="4" s="1"/>
  <c r="Q22" i="4"/>
  <c r="R22" i="4"/>
  <c r="Q23" i="4"/>
  <c r="R23" i="4"/>
  <c r="Q24" i="4"/>
  <c r="R24" i="4"/>
  <c r="Q25" i="4"/>
  <c r="R25" i="4"/>
  <c r="Q26" i="4"/>
  <c r="R26" i="4"/>
  <c r="Q27" i="4"/>
  <c r="R27" i="4"/>
  <c r="Q28" i="4"/>
  <c r="R28" i="4"/>
  <c r="Q29" i="4"/>
  <c r="R29" i="4"/>
  <c r="S29" i="4" s="1"/>
  <c r="Q30" i="4"/>
  <c r="R30" i="4"/>
  <c r="Q31" i="4"/>
  <c r="R31" i="4"/>
  <c r="Q32" i="4"/>
  <c r="R32" i="4"/>
  <c r="Q33" i="4"/>
  <c r="R33" i="4"/>
  <c r="S33" i="4" s="1"/>
  <c r="Q34" i="4"/>
  <c r="R34" i="4"/>
  <c r="Q35" i="4"/>
  <c r="R35" i="4"/>
  <c r="Q36" i="4"/>
  <c r="R36" i="4"/>
  <c r="Q37" i="4"/>
  <c r="R37" i="4"/>
  <c r="Q38" i="4"/>
  <c r="R38" i="4"/>
  <c r="Q39" i="4"/>
  <c r="R39" i="4"/>
  <c r="Q40" i="4"/>
  <c r="R40" i="4"/>
  <c r="Q41" i="4"/>
  <c r="R41" i="4"/>
  <c r="Q42" i="4"/>
  <c r="R42" i="4"/>
  <c r="Q43" i="4"/>
  <c r="R43" i="4"/>
  <c r="Q44" i="4"/>
  <c r="R44" i="4"/>
  <c r="Q45" i="4"/>
  <c r="R45" i="4"/>
  <c r="Q46" i="4"/>
  <c r="R46" i="4"/>
  <c r="Q47" i="4"/>
  <c r="R47" i="4"/>
  <c r="Q48" i="4"/>
  <c r="R48" i="4"/>
  <c r="Q49" i="4"/>
  <c r="R49" i="4"/>
  <c r="Q50" i="4"/>
  <c r="R50" i="4"/>
  <c r="S50" i="4" s="1"/>
  <c r="Q51" i="4"/>
  <c r="R51" i="4"/>
  <c r="Q52" i="4"/>
  <c r="R52" i="4"/>
  <c r="Q53" i="4"/>
  <c r="R53" i="4"/>
  <c r="S53" i="4" s="1"/>
  <c r="Q54" i="4"/>
  <c r="R54" i="4"/>
  <c r="Q55" i="4"/>
  <c r="R55" i="4"/>
  <c r="Q56" i="4"/>
  <c r="R56" i="4"/>
  <c r="Q57" i="4"/>
  <c r="R57" i="4"/>
  <c r="Q58" i="4"/>
  <c r="R58" i="4"/>
  <c r="Q59" i="4"/>
  <c r="R59" i="4"/>
  <c r="Q60" i="4"/>
  <c r="R60" i="4"/>
  <c r="Q61" i="4"/>
  <c r="R61" i="4"/>
  <c r="Q62" i="4"/>
  <c r="R62" i="4"/>
  <c r="Q63" i="4"/>
  <c r="R63" i="4"/>
  <c r="Q64" i="4"/>
  <c r="R64" i="4"/>
  <c r="S64" i="4" s="1"/>
  <c r="Q65" i="4"/>
  <c r="R65" i="4"/>
  <c r="Q66" i="4"/>
  <c r="R66" i="4"/>
  <c r="S66" i="4" s="1"/>
  <c r="Q67" i="4"/>
  <c r="R67" i="4"/>
  <c r="Q68" i="4"/>
  <c r="R68" i="4"/>
  <c r="Q69" i="4"/>
  <c r="R69" i="4"/>
  <c r="Q70" i="4"/>
  <c r="R70" i="4"/>
  <c r="Q71" i="4"/>
  <c r="R71" i="4"/>
  <c r="Q72" i="4"/>
  <c r="R72" i="4"/>
  <c r="Q73" i="4"/>
  <c r="R73" i="4"/>
  <c r="Q74" i="4"/>
  <c r="R74" i="4"/>
  <c r="Q75" i="4"/>
  <c r="R75" i="4"/>
  <c r="Q76" i="4"/>
  <c r="R76" i="4"/>
  <c r="Q77" i="4"/>
  <c r="R77" i="4"/>
  <c r="Q78" i="4"/>
  <c r="R78" i="4"/>
  <c r="Q79" i="4"/>
  <c r="R79" i="4"/>
  <c r="Q80" i="4"/>
  <c r="R80" i="4"/>
  <c r="Q81" i="4"/>
  <c r="R81" i="4"/>
  <c r="Q82" i="4"/>
  <c r="R82" i="4"/>
  <c r="Q83" i="4"/>
  <c r="R83" i="4"/>
  <c r="Q84" i="4"/>
  <c r="R84" i="4"/>
  <c r="Q85" i="4"/>
  <c r="R85" i="4"/>
  <c r="Q86" i="4"/>
  <c r="R86" i="4"/>
  <c r="Q87" i="4"/>
  <c r="R87" i="4"/>
  <c r="Q88" i="4"/>
  <c r="R88" i="4"/>
  <c r="Q89" i="4"/>
  <c r="R89" i="4"/>
  <c r="Q90" i="4"/>
  <c r="R90" i="4"/>
  <c r="Q91" i="4"/>
  <c r="R91" i="4"/>
  <c r="Q92" i="4"/>
  <c r="R92" i="4"/>
  <c r="Q93" i="4"/>
  <c r="R93" i="4"/>
  <c r="Q94" i="4"/>
  <c r="R94" i="4"/>
  <c r="Q95" i="4"/>
  <c r="R95" i="4"/>
  <c r="Q96" i="4"/>
  <c r="R96" i="4"/>
  <c r="S96" i="4" s="1"/>
  <c r="Q97" i="4"/>
  <c r="R97" i="4"/>
  <c r="Q98" i="4"/>
  <c r="R98" i="4"/>
  <c r="S98" i="4" s="1"/>
  <c r="T98" i="4" s="1"/>
  <c r="Q99" i="4"/>
  <c r="R99" i="4"/>
  <c r="S99" i="4" s="1"/>
  <c r="T99" i="4" s="1"/>
  <c r="Q100" i="4"/>
  <c r="R100" i="4"/>
  <c r="S100" i="4" s="1"/>
  <c r="Q101" i="4"/>
  <c r="R101" i="4"/>
  <c r="S101" i="4" s="1"/>
  <c r="T101" i="4" s="1"/>
  <c r="Q102" i="4"/>
  <c r="R102" i="4"/>
  <c r="Q103" i="4"/>
  <c r="R103" i="4"/>
  <c r="S103" i="4" s="1"/>
  <c r="Q104" i="4"/>
  <c r="R104" i="4"/>
  <c r="Q105" i="4"/>
  <c r="R105" i="4"/>
  <c r="Q106" i="4"/>
  <c r="R106" i="4"/>
  <c r="Q107" i="4"/>
  <c r="S107" i="4" s="1"/>
  <c r="T107" i="4" s="1"/>
  <c r="R107" i="4"/>
  <c r="Q108" i="4"/>
  <c r="R108" i="4"/>
  <c r="Q109" i="4"/>
  <c r="R109" i="4"/>
  <c r="Q110" i="4"/>
  <c r="S110" i="4" s="1"/>
  <c r="R110" i="4"/>
  <c r="Q111" i="4"/>
  <c r="S111" i="4" s="1"/>
  <c r="R111" i="4"/>
  <c r="Q112" i="4"/>
  <c r="R112" i="4"/>
  <c r="Q113" i="4"/>
  <c r="R113" i="4"/>
  <c r="Q114" i="4"/>
  <c r="R114" i="4"/>
  <c r="Q115" i="4"/>
  <c r="R115" i="4"/>
  <c r="Q116" i="4"/>
  <c r="R116" i="4"/>
  <c r="Q117" i="4"/>
  <c r="R117" i="4"/>
  <c r="Q118" i="4"/>
  <c r="R118" i="4"/>
  <c r="Q119" i="4"/>
  <c r="R119" i="4"/>
  <c r="Q120" i="4"/>
  <c r="R120" i="4"/>
  <c r="S120" i="4" s="1"/>
  <c r="Q121" i="4"/>
  <c r="R121" i="4"/>
  <c r="Q122" i="4"/>
  <c r="R122" i="4"/>
  <c r="Q123" i="4"/>
  <c r="R123" i="4"/>
  <c r="Q124" i="4"/>
  <c r="R124" i="4"/>
  <c r="Q125" i="4"/>
  <c r="R125" i="4"/>
  <c r="Q126" i="4"/>
  <c r="S126" i="4" s="1"/>
  <c r="R126" i="4"/>
  <c r="Q127" i="4"/>
  <c r="S127" i="4" s="1"/>
  <c r="T127" i="4" s="1"/>
  <c r="R127" i="4"/>
  <c r="Q128" i="4"/>
  <c r="S128" i="4" s="1"/>
  <c r="R128" i="4"/>
  <c r="Q129" i="4"/>
  <c r="R129" i="4"/>
  <c r="Q130" i="4"/>
  <c r="R130" i="4"/>
  <c r="Q131" i="4"/>
  <c r="R131" i="4"/>
  <c r="Q132" i="4"/>
  <c r="S132" i="4" s="1"/>
  <c r="R132" i="4"/>
  <c r="Q133" i="4"/>
  <c r="R133" i="4"/>
  <c r="Q134" i="4"/>
  <c r="S134" i="4" s="1"/>
  <c r="T134" i="4" s="1"/>
  <c r="R134" i="4"/>
  <c r="Q135" i="4"/>
  <c r="R135" i="4"/>
  <c r="S135" i="4" s="1"/>
  <c r="Q136" i="4"/>
  <c r="R136" i="4"/>
  <c r="Q137" i="4"/>
  <c r="R137" i="4"/>
  <c r="Q138" i="4"/>
  <c r="R138" i="4"/>
  <c r="S138" i="4" s="1"/>
  <c r="Q139" i="4"/>
  <c r="R139" i="4"/>
  <c r="Q140" i="4"/>
  <c r="R140" i="4"/>
  <c r="Q141" i="4"/>
  <c r="R141" i="4"/>
  <c r="Q142" i="4"/>
  <c r="S142" i="4" s="1"/>
  <c r="R142" i="4"/>
  <c r="Q143" i="4"/>
  <c r="R143" i="4"/>
  <c r="Q144" i="4"/>
  <c r="R144" i="4"/>
  <c r="Q145" i="4"/>
  <c r="R145" i="4"/>
  <c r="S145" i="4" s="1"/>
  <c r="Q146" i="4"/>
  <c r="R146" i="4"/>
  <c r="Q147" i="4"/>
  <c r="R147" i="4"/>
  <c r="Q148" i="4"/>
  <c r="S148" i="4" s="1"/>
  <c r="R148" i="4"/>
  <c r="Q149" i="4"/>
  <c r="R149" i="4"/>
  <c r="Q150" i="4"/>
  <c r="S150" i="4" s="1"/>
  <c r="R150" i="4"/>
  <c r="Q151" i="4"/>
  <c r="S151" i="4" s="1"/>
  <c r="T151" i="4" s="1"/>
  <c r="R151" i="4"/>
  <c r="Q152" i="4"/>
  <c r="R152" i="4"/>
  <c r="Q153" i="4"/>
  <c r="S153" i="4" s="1"/>
  <c r="R153" i="4"/>
  <c r="Q154" i="4"/>
  <c r="R154" i="4"/>
  <c r="Q155" i="4"/>
  <c r="R155" i="4"/>
  <c r="Q156" i="4"/>
  <c r="S156" i="4" s="1"/>
  <c r="R156" i="4"/>
  <c r="Q157" i="4"/>
  <c r="R157" i="4"/>
  <c r="Q158" i="4"/>
  <c r="R158" i="4"/>
  <c r="Q159" i="4"/>
  <c r="R159" i="4"/>
  <c r="Q160" i="4"/>
  <c r="R160" i="4"/>
  <c r="Q161" i="4"/>
  <c r="R161" i="4"/>
  <c r="Q162" i="4"/>
  <c r="R162" i="4"/>
  <c r="Q163" i="4"/>
  <c r="R163" i="4"/>
  <c r="Q164" i="4"/>
  <c r="R164" i="4"/>
  <c r="Q165" i="4"/>
  <c r="R165" i="4"/>
  <c r="Q166" i="4"/>
  <c r="R166" i="4"/>
  <c r="R5" i="4"/>
  <c r="Q5" i="4"/>
  <c r="Z21" i="4"/>
  <c r="S22" i="4"/>
  <c r="Z22" i="4"/>
  <c r="S23" i="4"/>
  <c r="Z23" i="4"/>
  <c r="S25" i="4"/>
  <c r="T25" i="4" s="1"/>
  <c r="AA25" i="4" s="1"/>
  <c r="Z25" i="4"/>
  <c r="S26" i="4"/>
  <c r="T26" i="4" s="1"/>
  <c r="AA26" i="4" s="1"/>
  <c r="Z26" i="4"/>
  <c r="S27" i="4"/>
  <c r="Z27" i="4"/>
  <c r="S28" i="4"/>
  <c r="Z28" i="4"/>
  <c r="Z29" i="4"/>
  <c r="S30" i="4"/>
  <c r="T30" i="4" s="1"/>
  <c r="AA30" i="4" s="1"/>
  <c r="Z30" i="4"/>
  <c r="S31" i="4"/>
  <c r="T31" i="4" s="1"/>
  <c r="AA31" i="4" s="1"/>
  <c r="Z31" i="4"/>
  <c r="S32" i="4"/>
  <c r="Z32" i="4"/>
  <c r="Z33" i="4"/>
  <c r="S34" i="4"/>
  <c r="T34" i="4" s="1"/>
  <c r="AA34" i="4" s="1"/>
  <c r="Z34" i="4"/>
  <c r="S35" i="4"/>
  <c r="T35" i="4" s="1"/>
  <c r="AA35" i="4" s="1"/>
  <c r="Z35" i="4"/>
  <c r="S36" i="4"/>
  <c r="Z36" i="4"/>
  <c r="S37" i="4"/>
  <c r="T37" i="4" s="1"/>
  <c r="AA37" i="4" s="1"/>
  <c r="Z37" i="4"/>
  <c r="S38" i="4"/>
  <c r="T38" i="4" s="1"/>
  <c r="AA38" i="4" s="1"/>
  <c r="Z38" i="4"/>
  <c r="S39" i="4"/>
  <c r="T39" i="4" s="1"/>
  <c r="AA39" i="4" s="1"/>
  <c r="Z39" i="4"/>
  <c r="S40" i="4"/>
  <c r="T40" i="4" s="1"/>
  <c r="AA40" i="4" s="1"/>
  <c r="Z40" i="4"/>
  <c r="S41" i="4"/>
  <c r="T41" i="4" s="1"/>
  <c r="AA41" i="4" s="1"/>
  <c r="Z41" i="4"/>
  <c r="S42" i="4"/>
  <c r="Z42" i="4"/>
  <c r="S43" i="4"/>
  <c r="T43" i="4" s="1"/>
  <c r="AA43" i="4" s="1"/>
  <c r="Z43" i="4"/>
  <c r="S44" i="4"/>
  <c r="T44" i="4" s="1"/>
  <c r="AA44" i="4" s="1"/>
  <c r="Z44" i="4"/>
  <c r="S45" i="4"/>
  <c r="T45" i="4" s="1"/>
  <c r="AA45" i="4" s="1"/>
  <c r="Z45" i="4"/>
  <c r="S46" i="4"/>
  <c r="Z46" i="4"/>
  <c r="S47" i="4"/>
  <c r="T47" i="4" s="1"/>
  <c r="AA47" i="4" s="1"/>
  <c r="Z47" i="4"/>
  <c r="S48" i="4"/>
  <c r="Z48" i="4"/>
  <c r="S49" i="4"/>
  <c r="T49" i="4" s="1"/>
  <c r="AA49" i="4" s="1"/>
  <c r="Z49" i="4"/>
  <c r="Z50" i="4"/>
  <c r="S51" i="4"/>
  <c r="T51" i="4" s="1"/>
  <c r="AA51" i="4" s="1"/>
  <c r="Z51" i="4"/>
  <c r="S52" i="4"/>
  <c r="T52" i="4" s="1"/>
  <c r="AA52" i="4" s="1"/>
  <c r="Z52" i="4"/>
  <c r="Z53" i="4"/>
  <c r="S54" i="4"/>
  <c r="Z54" i="4"/>
  <c r="S55" i="4"/>
  <c r="T55" i="4" s="1"/>
  <c r="AA55" i="4" s="1"/>
  <c r="Z55" i="4"/>
  <c r="S56" i="4"/>
  <c r="T56" i="4" s="1"/>
  <c r="AA56" i="4" s="1"/>
  <c r="Z56" i="4"/>
  <c r="S57" i="4"/>
  <c r="T57" i="4" s="1"/>
  <c r="AA57" i="4" s="1"/>
  <c r="Z57" i="4"/>
  <c r="S58" i="4"/>
  <c r="T58" i="4" s="1"/>
  <c r="AA58" i="4" s="1"/>
  <c r="Z58" i="4"/>
  <c r="S59" i="4"/>
  <c r="T59" i="4" s="1"/>
  <c r="AA59" i="4" s="1"/>
  <c r="Z59" i="4"/>
  <c r="S60" i="4"/>
  <c r="Z60" i="4"/>
  <c r="S61" i="4"/>
  <c r="T61" i="4" s="1"/>
  <c r="AA61" i="4" s="1"/>
  <c r="Z61" i="4"/>
  <c r="S62" i="4"/>
  <c r="T62" i="4" s="1"/>
  <c r="AA62" i="4" s="1"/>
  <c r="Z62" i="4"/>
  <c r="S63" i="4"/>
  <c r="T63" i="4" s="1"/>
  <c r="AA63" i="4" s="1"/>
  <c r="Z63" i="4"/>
  <c r="Z64" i="4"/>
  <c r="S65" i="4"/>
  <c r="T65" i="4" s="1"/>
  <c r="AA65" i="4" s="1"/>
  <c r="Z65" i="4"/>
  <c r="Z66" i="4"/>
  <c r="S67" i="4"/>
  <c r="T67" i="4" s="1"/>
  <c r="AA67" i="4" s="1"/>
  <c r="Z67" i="4"/>
  <c r="S68" i="4"/>
  <c r="T68" i="4" s="1"/>
  <c r="AA68" i="4" s="1"/>
  <c r="Z68" i="4"/>
  <c r="S69" i="4"/>
  <c r="T69" i="4" s="1"/>
  <c r="AA69" i="4" s="1"/>
  <c r="Z69" i="4"/>
  <c r="S70" i="4"/>
  <c r="Z70" i="4"/>
  <c r="S71" i="4"/>
  <c r="T71" i="4" s="1"/>
  <c r="AA71" i="4" s="1"/>
  <c r="Z71" i="4"/>
  <c r="S72" i="4"/>
  <c r="Z72" i="4"/>
  <c r="S73" i="4"/>
  <c r="Z73" i="4"/>
  <c r="S74" i="4"/>
  <c r="T74" i="4" s="1"/>
  <c r="AA74" i="4" s="1"/>
  <c r="Z74" i="4"/>
  <c r="S75" i="4"/>
  <c r="T75" i="4" s="1"/>
  <c r="AA75" i="4" s="1"/>
  <c r="Z75" i="4"/>
  <c r="S76" i="4"/>
  <c r="T76" i="4" s="1"/>
  <c r="AA76" i="4" s="1"/>
  <c r="Z76" i="4"/>
  <c r="S77" i="4"/>
  <c r="Z77" i="4"/>
  <c r="S78" i="4"/>
  <c r="Z78" i="4"/>
  <c r="S79" i="4"/>
  <c r="Z79" i="4"/>
  <c r="S80" i="4"/>
  <c r="T80" i="4" s="1"/>
  <c r="AA80" i="4" s="1"/>
  <c r="Z80" i="4"/>
  <c r="S81" i="4"/>
  <c r="Z81" i="4"/>
  <c r="S82" i="4"/>
  <c r="T82" i="4" s="1"/>
  <c r="AA82" i="4" s="1"/>
  <c r="Z82" i="4"/>
  <c r="S83" i="4"/>
  <c r="T83" i="4" s="1"/>
  <c r="AA83" i="4" s="1"/>
  <c r="Z83" i="4"/>
  <c r="S84" i="4"/>
  <c r="Z84" i="4"/>
  <c r="S85" i="4"/>
  <c r="T85" i="4" s="1"/>
  <c r="AA85" i="4" s="1"/>
  <c r="Z85" i="4"/>
  <c r="S86" i="4"/>
  <c r="Z86" i="4"/>
  <c r="S87" i="4"/>
  <c r="Z87" i="4"/>
  <c r="S88" i="4"/>
  <c r="T88" i="4" s="1"/>
  <c r="AA88" i="4" s="1"/>
  <c r="Z88" i="4"/>
  <c r="S89" i="4"/>
  <c r="Z89" i="4"/>
  <c r="S90" i="4"/>
  <c r="T90" i="4" s="1"/>
  <c r="AA90" i="4" s="1"/>
  <c r="Z90" i="4"/>
  <c r="Z137" i="4"/>
  <c r="Z138" i="4"/>
  <c r="Z157" i="4"/>
  <c r="Z158" i="4"/>
  <c r="P5" i="4"/>
  <c r="P91" i="4"/>
  <c r="P92" i="4"/>
  <c r="P93" i="4"/>
  <c r="P94" i="4"/>
  <c r="P95" i="4"/>
  <c r="P96" i="4"/>
  <c r="T96" i="4" s="1"/>
  <c r="P97" i="4"/>
  <c r="P98" i="4"/>
  <c r="P99" i="4"/>
  <c r="P100" i="4"/>
  <c r="T100" i="4" s="1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T120" i="4" s="1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T138" i="4" s="1"/>
  <c r="AA138" i="4" s="1"/>
  <c r="P139" i="4"/>
  <c r="P140" i="4"/>
  <c r="P141" i="4"/>
  <c r="P142" i="4"/>
  <c r="P143" i="4"/>
  <c r="P144" i="4"/>
  <c r="P145" i="4"/>
  <c r="P146" i="4"/>
  <c r="P147" i="4"/>
  <c r="P148" i="4"/>
  <c r="T148" i="4" s="1"/>
  <c r="P149" i="4"/>
  <c r="P150" i="4"/>
  <c r="P151" i="4"/>
  <c r="P152" i="4"/>
  <c r="P153" i="4"/>
  <c r="T153" i="4" s="1"/>
  <c r="P154" i="4"/>
  <c r="P155" i="4"/>
  <c r="P156" i="4"/>
  <c r="T156" i="4" s="1"/>
  <c r="P157" i="4"/>
  <c r="P158" i="4"/>
  <c r="P159" i="4"/>
  <c r="P160" i="4"/>
  <c r="P161" i="4"/>
  <c r="P162" i="4"/>
  <c r="P163" i="4"/>
  <c r="P164" i="4"/>
  <c r="T150" i="4" l="1"/>
  <c r="T145" i="4"/>
  <c r="T142" i="4"/>
  <c r="S140" i="4"/>
  <c r="T140" i="4" s="1"/>
  <c r="T135" i="4"/>
  <c r="T132" i="4"/>
  <c r="S129" i="4"/>
  <c r="T129" i="4" s="1"/>
  <c r="T128" i="4"/>
  <c r="T126" i="4"/>
  <c r="T124" i="4"/>
  <c r="S124" i="4"/>
  <c r="S123" i="4"/>
  <c r="T123" i="4" s="1"/>
  <c r="S118" i="4"/>
  <c r="T118" i="4" s="1"/>
  <c r="S116" i="4"/>
  <c r="T116" i="4" s="1"/>
  <c r="T115" i="4"/>
  <c r="T111" i="4"/>
  <c r="T110" i="4"/>
  <c r="T109" i="4"/>
  <c r="T103" i="4"/>
  <c r="T46" i="4"/>
  <c r="AA46" i="4" s="1"/>
  <c r="T27" i="4"/>
  <c r="AA27" i="4" s="1"/>
  <c r="H248" i="4"/>
  <c r="H247" i="4"/>
  <c r="K234" i="4"/>
  <c r="K180" i="4"/>
  <c r="K164" i="4"/>
  <c r="K160" i="4"/>
  <c r="K159" i="4"/>
  <c r="K158" i="4"/>
  <c r="K157" i="4"/>
  <c r="K156" i="4"/>
  <c r="K155" i="4"/>
  <c r="K179" i="4"/>
  <c r="K154" i="4"/>
  <c r="K153" i="4"/>
  <c r="K152" i="4"/>
  <c r="K151" i="4"/>
  <c r="K149" i="4"/>
  <c r="K148" i="4"/>
  <c r="K147" i="4"/>
  <c r="K146" i="4"/>
  <c r="K145" i="4"/>
  <c r="K144" i="4"/>
  <c r="K143" i="4"/>
  <c r="K232" i="4"/>
  <c r="K141" i="4"/>
  <c r="K140" i="4"/>
  <c r="K139" i="4"/>
  <c r="K138" i="4"/>
  <c r="K137" i="4"/>
  <c r="K221" i="4"/>
  <c r="K220" i="4"/>
  <c r="K219" i="4"/>
  <c r="K218" i="4"/>
  <c r="K217" i="4"/>
  <c r="K178" i="4"/>
  <c r="K177" i="4"/>
  <c r="K136" i="4"/>
  <c r="K133" i="4"/>
  <c r="K132" i="4"/>
  <c r="K131" i="4"/>
  <c r="K130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216" i="4"/>
  <c r="K215" i="4"/>
  <c r="K109" i="4"/>
  <c r="K108" i="4"/>
  <c r="K107" i="4"/>
  <c r="K106" i="4"/>
  <c r="K105" i="4"/>
  <c r="K104" i="4"/>
  <c r="K103" i="4"/>
  <c r="K102" i="4"/>
  <c r="K101" i="4"/>
  <c r="K214" i="4"/>
  <c r="K213" i="4"/>
  <c r="K212" i="4"/>
  <c r="K210" i="4"/>
  <c r="K211" i="4"/>
  <c r="K97" i="4"/>
  <c r="K96" i="4"/>
  <c r="K95" i="4"/>
  <c r="K94" i="4"/>
  <c r="K93" i="4"/>
  <c r="K92" i="4"/>
  <c r="K91" i="4"/>
  <c r="K176" i="4"/>
  <c r="K90" i="4"/>
  <c r="K89" i="4"/>
  <c r="K88" i="4"/>
  <c r="K86" i="4"/>
  <c r="K85" i="4"/>
  <c r="K84" i="4"/>
  <c r="K83" i="4"/>
  <c r="K175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174" i="4"/>
  <c r="K173" i="4"/>
  <c r="K55" i="4"/>
  <c r="K54" i="4"/>
  <c r="K53" i="4"/>
  <c r="K52" i="4"/>
  <c r="K51" i="4"/>
  <c r="K49" i="4"/>
  <c r="K48" i="4"/>
  <c r="K47" i="4"/>
  <c r="K46" i="4"/>
  <c r="K45" i="4"/>
  <c r="K42" i="4"/>
  <c r="K41" i="4"/>
  <c r="K40" i="4"/>
  <c r="K39" i="4"/>
  <c r="K38" i="4"/>
  <c r="K37" i="4"/>
  <c r="K36" i="4"/>
  <c r="K35" i="4"/>
  <c r="K34" i="4"/>
  <c r="K33" i="4"/>
  <c r="K32" i="4"/>
  <c r="K29" i="4"/>
  <c r="K28" i="4"/>
  <c r="K27" i="4"/>
  <c r="K26" i="4"/>
  <c r="K25" i="4"/>
  <c r="K233" i="4"/>
  <c r="K23" i="4"/>
  <c r="K22" i="4"/>
  <c r="K21" i="4"/>
  <c r="K20" i="4"/>
  <c r="K172" i="4"/>
  <c r="K19" i="4"/>
  <c r="K18" i="4"/>
  <c r="K16" i="4"/>
  <c r="K15" i="4"/>
  <c r="K14" i="4"/>
  <c r="K13" i="4"/>
  <c r="K12" i="4"/>
  <c r="K171" i="4"/>
  <c r="K11" i="4"/>
  <c r="K10" i="4"/>
  <c r="K9" i="4"/>
  <c r="K7" i="4"/>
  <c r="K209" i="4"/>
  <c r="K194" i="4"/>
  <c r="K193" i="4"/>
  <c r="K192" i="4"/>
  <c r="K191" i="4"/>
  <c r="K6" i="4"/>
  <c r="K5" i="4"/>
  <c r="L5" i="4" s="1"/>
  <c r="L233" i="4"/>
  <c r="S5" i="4"/>
  <c r="T5" i="4" s="1"/>
  <c r="P6" i="4"/>
  <c r="S6" i="4"/>
  <c r="P7" i="4"/>
  <c r="S7" i="4"/>
  <c r="P8" i="4"/>
  <c r="S8" i="4"/>
  <c r="T8" i="4" s="1"/>
  <c r="P9" i="4"/>
  <c r="S9" i="4"/>
  <c r="T9" i="4" s="1"/>
  <c r="AA9" i="4" s="1"/>
  <c r="P10" i="4"/>
  <c r="S10" i="4"/>
  <c r="T10" i="4"/>
  <c r="AA10" i="4" s="1"/>
  <c r="P11" i="4"/>
  <c r="T11" i="4" s="1"/>
  <c r="S11" i="4"/>
  <c r="P12" i="4"/>
  <c r="S12" i="4"/>
  <c r="T12" i="4" s="1"/>
  <c r="AA12" i="4" s="1"/>
  <c r="P13" i="4"/>
  <c r="S13" i="4"/>
  <c r="T13" i="4"/>
  <c r="P14" i="4"/>
  <c r="S14" i="4"/>
  <c r="T14" i="4"/>
  <c r="P15" i="4"/>
  <c r="S15" i="4"/>
  <c r="T15" i="4" s="1"/>
  <c r="P16" i="4"/>
  <c r="S16" i="4"/>
  <c r="P17" i="4"/>
  <c r="S17" i="4"/>
  <c r="T17" i="4"/>
  <c r="AA17" i="4" s="1"/>
  <c r="P18" i="4"/>
  <c r="S18" i="4"/>
  <c r="T18" i="4"/>
  <c r="P19" i="4"/>
  <c r="S19" i="4"/>
  <c r="P20" i="4"/>
  <c r="S20" i="4"/>
  <c r="T20" i="4" s="1"/>
  <c r="AA20" i="4" s="1"/>
  <c r="P21" i="4"/>
  <c r="T21" i="4" s="1"/>
  <c r="AA21" i="4" s="1"/>
  <c r="P22" i="4"/>
  <c r="T22" i="4" s="1"/>
  <c r="AA22" i="4" s="1"/>
  <c r="P23" i="4"/>
  <c r="T23" i="4" s="1"/>
  <c r="AA23" i="4" s="1"/>
  <c r="P233" i="4"/>
  <c r="Q233" i="4"/>
  <c r="R233" i="4"/>
  <c r="S233" i="4"/>
  <c r="T233" i="4"/>
  <c r="P25" i="4"/>
  <c r="P26" i="4"/>
  <c r="P27" i="4"/>
  <c r="P28" i="4"/>
  <c r="T28" i="4" s="1"/>
  <c r="AA28" i="4" s="1"/>
  <c r="P29" i="4"/>
  <c r="T29" i="4" s="1"/>
  <c r="AA29" i="4" s="1"/>
  <c r="P30" i="4"/>
  <c r="P31" i="4"/>
  <c r="P32" i="4"/>
  <c r="T32" i="4" s="1"/>
  <c r="AA32" i="4" s="1"/>
  <c r="P33" i="4"/>
  <c r="T33" i="4" s="1"/>
  <c r="AA33" i="4" s="1"/>
  <c r="P34" i="4"/>
  <c r="P35" i="4"/>
  <c r="P36" i="4"/>
  <c r="T36" i="4" s="1"/>
  <c r="AA36" i="4" s="1"/>
  <c r="P37" i="4"/>
  <c r="P38" i="4"/>
  <c r="P39" i="4"/>
  <c r="P40" i="4"/>
  <c r="P41" i="4"/>
  <c r="P42" i="4"/>
  <c r="T42" i="4" s="1"/>
  <c r="AA42" i="4" s="1"/>
  <c r="P43" i="4"/>
  <c r="P44" i="4"/>
  <c r="P45" i="4"/>
  <c r="P46" i="4"/>
  <c r="P47" i="4"/>
  <c r="P48" i="4"/>
  <c r="T48" i="4" s="1"/>
  <c r="AA48" i="4" s="1"/>
  <c r="P49" i="4"/>
  <c r="P50" i="4"/>
  <c r="T50" i="4" s="1"/>
  <c r="AA50" i="4" s="1"/>
  <c r="P51" i="4"/>
  <c r="P52" i="4"/>
  <c r="P53" i="4"/>
  <c r="T53" i="4" s="1"/>
  <c r="AA53" i="4" s="1"/>
  <c r="P54" i="4"/>
  <c r="T54" i="4" s="1"/>
  <c r="AA54" i="4" s="1"/>
  <c r="P55" i="4"/>
  <c r="P56" i="4"/>
  <c r="P57" i="4"/>
  <c r="P58" i="4"/>
  <c r="P59" i="4"/>
  <c r="P60" i="4"/>
  <c r="T60" i="4" s="1"/>
  <c r="AA60" i="4" s="1"/>
  <c r="P61" i="4"/>
  <c r="P62" i="4"/>
  <c r="P63" i="4"/>
  <c r="P64" i="4"/>
  <c r="T64" i="4" s="1"/>
  <c r="AA64" i="4" s="1"/>
  <c r="P65" i="4"/>
  <c r="P66" i="4"/>
  <c r="T66" i="4" s="1"/>
  <c r="AA66" i="4" s="1"/>
  <c r="P67" i="4"/>
  <c r="P68" i="4"/>
  <c r="P69" i="4"/>
  <c r="P70" i="4"/>
  <c r="T70" i="4" s="1"/>
  <c r="AA70" i="4" s="1"/>
  <c r="P71" i="4"/>
  <c r="P72" i="4"/>
  <c r="T72" i="4" s="1"/>
  <c r="AA72" i="4" s="1"/>
  <c r="P73" i="4"/>
  <c r="T73" i="4" s="1"/>
  <c r="AA73" i="4" s="1"/>
  <c r="P74" i="4"/>
  <c r="P75" i="4"/>
  <c r="P76" i="4"/>
  <c r="P77" i="4"/>
  <c r="T77" i="4" s="1"/>
  <c r="AA77" i="4" s="1"/>
  <c r="P78" i="4"/>
  <c r="T78" i="4" s="1"/>
  <c r="AA78" i="4" s="1"/>
  <c r="P79" i="4"/>
  <c r="T79" i="4" s="1"/>
  <c r="AA79" i="4" s="1"/>
  <c r="P80" i="4"/>
  <c r="P81" i="4"/>
  <c r="T81" i="4" s="1"/>
  <c r="AA81" i="4" s="1"/>
  <c r="P82" i="4"/>
  <c r="P83" i="4"/>
  <c r="P84" i="4"/>
  <c r="T84" i="4" s="1"/>
  <c r="AA84" i="4" s="1"/>
  <c r="P85" i="4"/>
  <c r="P86" i="4"/>
  <c r="T86" i="4" s="1"/>
  <c r="AA86" i="4" s="1"/>
  <c r="P87" i="4"/>
  <c r="T87" i="4" s="1"/>
  <c r="AA87" i="4" s="1"/>
  <c r="P88" i="4"/>
  <c r="P89" i="4"/>
  <c r="T89" i="4" s="1"/>
  <c r="AA89" i="4" s="1"/>
  <c r="P90" i="4"/>
  <c r="P165" i="4"/>
  <c r="P166" i="4"/>
  <c r="Z165" i="4"/>
  <c r="Z166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AA18" i="4" s="1"/>
  <c r="Z19" i="4"/>
  <c r="Z20" i="4"/>
  <c r="Z233" i="4"/>
  <c r="Z171" i="4"/>
  <c r="Z172" i="4"/>
  <c r="Z173" i="4"/>
  <c r="Z174" i="4"/>
  <c r="Z175" i="4"/>
  <c r="AA175" i="4" s="1"/>
  <c r="Z176" i="4"/>
  <c r="AA176" i="4" s="1"/>
  <c r="Z177" i="4"/>
  <c r="Z178" i="4"/>
  <c r="Z186" i="4"/>
  <c r="Z187" i="4"/>
  <c r="Z191" i="4"/>
  <c r="Z192" i="4"/>
  <c r="Z193" i="4"/>
  <c r="Z194" i="4"/>
  <c r="Z195" i="4"/>
  <c r="Z196" i="4"/>
  <c r="Z197" i="4"/>
  <c r="Z198" i="4"/>
  <c r="Z199" i="4"/>
  <c r="Z200" i="4"/>
  <c r="Z201" i="4"/>
  <c r="Z202" i="4"/>
  <c r="N187" i="4"/>
  <c r="O187" i="4"/>
  <c r="P187" i="4"/>
  <c r="G187" i="4"/>
  <c r="Q187" i="4"/>
  <c r="H187" i="4"/>
  <c r="R187" i="4"/>
  <c r="S187" i="4"/>
  <c r="T187" i="4"/>
  <c r="T208" i="4"/>
  <c r="Z208" i="4"/>
  <c r="AA208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R192" i="4"/>
  <c r="R193" i="4"/>
  <c r="R194" i="4"/>
  <c r="R195" i="4"/>
  <c r="R196" i="4"/>
  <c r="R197" i="4"/>
  <c r="R198" i="4"/>
  <c r="R199" i="4"/>
  <c r="R200" i="4"/>
  <c r="R201" i="4"/>
  <c r="R202" i="4"/>
  <c r="S202" i="4"/>
  <c r="T202" i="4"/>
  <c r="T209" i="4"/>
  <c r="Z209" i="4"/>
  <c r="AA209" i="4"/>
  <c r="Q167" i="4"/>
  <c r="Q207" i="4" s="1"/>
  <c r="Q210" i="4" s="1"/>
  <c r="R167" i="4"/>
  <c r="S208" i="4"/>
  <c r="S209" i="4"/>
  <c r="R208" i="4"/>
  <c r="R209" i="4"/>
  <c r="Q208" i="4"/>
  <c r="Q209" i="4"/>
  <c r="P208" i="4"/>
  <c r="N202" i="4"/>
  <c r="N209" i="4"/>
  <c r="O202" i="4"/>
  <c r="O209" i="4"/>
  <c r="P209" i="4"/>
  <c r="O167" i="4"/>
  <c r="O207" i="4" s="1"/>
  <c r="O210" i="4" s="1"/>
  <c r="O208" i="4"/>
  <c r="N167" i="4"/>
  <c r="N207" i="4" s="1"/>
  <c r="N210" i="4" s="1"/>
  <c r="N208" i="4"/>
  <c r="K165" i="4"/>
  <c r="K166" i="4"/>
  <c r="L171" i="4"/>
  <c r="M171" i="4"/>
  <c r="L172" i="4"/>
  <c r="M172" i="4"/>
  <c r="L173" i="4"/>
  <c r="M173" i="4"/>
  <c r="L174" i="4"/>
  <c r="M174" i="4"/>
  <c r="L175" i="4"/>
  <c r="M175" i="4"/>
  <c r="L176" i="4"/>
  <c r="M176" i="4"/>
  <c r="L177" i="4"/>
  <c r="M177" i="4"/>
  <c r="L178" i="4"/>
  <c r="M178" i="4"/>
  <c r="L186" i="4"/>
  <c r="M186" i="4"/>
  <c r="M187" i="4"/>
  <c r="M210" i="4"/>
  <c r="L187" i="4"/>
  <c r="K187" i="4"/>
  <c r="H167" i="4"/>
  <c r="G167" i="4"/>
  <c r="AA202" i="4"/>
  <c r="S201" i="4"/>
  <c r="T201" i="4"/>
  <c r="AA201" i="4"/>
  <c r="S200" i="4"/>
  <c r="T200" i="4"/>
  <c r="AA200" i="4"/>
  <c r="S199" i="4"/>
  <c r="T199" i="4"/>
  <c r="AA199" i="4"/>
  <c r="S198" i="4"/>
  <c r="T198" i="4"/>
  <c r="AA198" i="4"/>
  <c r="S197" i="4"/>
  <c r="T197" i="4"/>
  <c r="AA197" i="4"/>
  <c r="S196" i="4"/>
  <c r="T196" i="4"/>
  <c r="AA196" i="4"/>
  <c r="S195" i="4"/>
  <c r="T195" i="4"/>
  <c r="AA195" i="4"/>
  <c r="S194" i="4"/>
  <c r="T194" i="4"/>
  <c r="AA194" i="4"/>
  <c r="S193" i="4"/>
  <c r="T193" i="4"/>
  <c r="AA193" i="4"/>
  <c r="S192" i="4"/>
  <c r="T192" i="4"/>
  <c r="AA192" i="4"/>
  <c r="R191" i="4"/>
  <c r="S191" i="4"/>
  <c r="T191" i="4"/>
  <c r="AA191" i="4"/>
  <c r="AA187" i="4"/>
  <c r="P186" i="4"/>
  <c r="Q186" i="4"/>
  <c r="R186" i="4"/>
  <c r="S186" i="4"/>
  <c r="T186" i="4"/>
  <c r="AA186" i="4"/>
  <c r="AA178" i="4"/>
  <c r="AA177" i="4"/>
  <c r="AA174" i="4"/>
  <c r="AA173" i="4"/>
  <c r="AA172" i="4"/>
  <c r="AA171" i="4"/>
  <c r="U167" i="4"/>
  <c r="AA166" i="4"/>
  <c r="AA165" i="4"/>
  <c r="AA233" i="4"/>
  <c r="M233" i="4"/>
  <c r="B22" i="3"/>
  <c r="B23" i="3"/>
  <c r="B71" i="3"/>
  <c r="O116" i="1"/>
  <c r="O125" i="1"/>
  <c r="Q125" i="1"/>
  <c r="Q132" i="1"/>
  <c r="B72" i="3"/>
  <c r="B46" i="3"/>
  <c r="B47" i="3"/>
  <c r="B63" i="3"/>
  <c r="B62" i="3"/>
  <c r="O132" i="1"/>
  <c r="B55" i="3"/>
  <c r="B54" i="3"/>
  <c r="B39" i="3"/>
  <c r="B38" i="3"/>
  <c r="B31" i="3"/>
  <c r="B30" i="3"/>
  <c r="B14" i="3"/>
  <c r="G125" i="1"/>
  <c r="G132" i="1"/>
  <c r="B15" i="3"/>
  <c r="B6" i="3"/>
  <c r="I132" i="1"/>
  <c r="B7" i="3"/>
  <c r="G131" i="1"/>
  <c r="B14" i="1"/>
  <c r="H84" i="2"/>
  <c r="I84" i="2" s="1"/>
  <c r="J84" i="2" s="1"/>
  <c r="H83" i="2"/>
  <c r="I83" i="2" s="1"/>
  <c r="J83" i="2" s="1"/>
  <c r="K83" i="2" s="1"/>
  <c r="H96" i="2"/>
  <c r="I96" i="2" s="1"/>
  <c r="H80" i="2"/>
  <c r="G80" i="2"/>
  <c r="H95" i="2"/>
  <c r="P95" i="2" s="1"/>
  <c r="I94" i="2"/>
  <c r="J94" i="2" s="1"/>
  <c r="K94" i="2" s="1"/>
  <c r="I97" i="2"/>
  <c r="J97" i="2" s="1"/>
  <c r="I98" i="2"/>
  <c r="J98" i="2" s="1"/>
  <c r="I99" i="2"/>
  <c r="J99" i="2" s="1"/>
  <c r="I100" i="2"/>
  <c r="I101" i="2"/>
  <c r="J101" i="2" s="1"/>
  <c r="K101" i="2" s="1"/>
  <c r="I102" i="2"/>
  <c r="J102" i="2" s="1"/>
  <c r="K102" i="2" s="1"/>
  <c r="I103" i="2"/>
  <c r="J103" i="2" s="1"/>
  <c r="I82" i="2"/>
  <c r="I81" i="2"/>
  <c r="J81" i="2" s="1"/>
  <c r="K81" i="2" s="1"/>
  <c r="H93" i="2"/>
  <c r="I93" i="2" s="1"/>
  <c r="J93" i="2" s="1"/>
  <c r="I85" i="2"/>
  <c r="J85" i="2" s="1"/>
  <c r="I86" i="2"/>
  <c r="J86" i="2" s="1"/>
  <c r="K86" i="2" s="1"/>
  <c r="I87" i="2"/>
  <c r="J87" i="2" s="1"/>
  <c r="K87" i="2" s="1"/>
  <c r="H72" i="2"/>
  <c r="H68" i="2"/>
  <c r="I68" i="2" s="1"/>
  <c r="J68" i="2" s="1"/>
  <c r="H43" i="2"/>
  <c r="P43" i="2" s="1"/>
  <c r="Q43" i="2" s="1"/>
  <c r="I31" i="2"/>
  <c r="H23" i="2"/>
  <c r="I23" i="2" s="1"/>
  <c r="H19" i="2"/>
  <c r="G19" i="2"/>
  <c r="O19" i="2" s="1"/>
  <c r="H12" i="2"/>
  <c r="I7" i="2"/>
  <c r="I8" i="2"/>
  <c r="I9" i="2"/>
  <c r="J9" i="2" s="1"/>
  <c r="I10" i="2"/>
  <c r="J10" i="2" s="1"/>
  <c r="I11" i="2"/>
  <c r="I13" i="2"/>
  <c r="J13" i="2" s="1"/>
  <c r="I14" i="2"/>
  <c r="I15" i="2"/>
  <c r="I16" i="2"/>
  <c r="I17" i="2"/>
  <c r="J17" i="2" s="1"/>
  <c r="I18" i="2"/>
  <c r="J18" i="2" s="1"/>
  <c r="I20" i="2"/>
  <c r="I21" i="2"/>
  <c r="J21" i="2" s="1"/>
  <c r="I22" i="2"/>
  <c r="J22" i="2" s="1"/>
  <c r="K22" i="2" s="1"/>
  <c r="I24" i="2"/>
  <c r="I25" i="2"/>
  <c r="I26" i="2"/>
  <c r="J26" i="2" s="1"/>
  <c r="I27" i="2"/>
  <c r="I28" i="2"/>
  <c r="J28" i="2" s="1"/>
  <c r="I29" i="2"/>
  <c r="J29" i="2" s="1"/>
  <c r="I30" i="2"/>
  <c r="J30" i="2" s="1"/>
  <c r="I32" i="2"/>
  <c r="I33" i="2"/>
  <c r="J33" i="2" s="1"/>
  <c r="K33" i="2" s="1"/>
  <c r="I34" i="2"/>
  <c r="I35" i="2"/>
  <c r="J35" i="2" s="1"/>
  <c r="I36" i="2"/>
  <c r="J36" i="2" s="1"/>
  <c r="I37" i="2"/>
  <c r="I38" i="2"/>
  <c r="J38" i="2" s="1"/>
  <c r="I39" i="2"/>
  <c r="J39" i="2" s="1"/>
  <c r="K39" i="2" s="1"/>
  <c r="I40" i="2"/>
  <c r="I41" i="2"/>
  <c r="J41" i="2" s="1"/>
  <c r="I42" i="2"/>
  <c r="J42" i="2" s="1"/>
  <c r="I44" i="2"/>
  <c r="J44" i="2" s="1"/>
  <c r="K44" i="2" s="1"/>
  <c r="I45" i="2"/>
  <c r="J45" i="2" s="1"/>
  <c r="K45" i="2" s="1"/>
  <c r="I46" i="2"/>
  <c r="J46" i="2" s="1"/>
  <c r="K46" i="2" s="1"/>
  <c r="I47" i="2"/>
  <c r="I48" i="2"/>
  <c r="J48" i="2" s="1"/>
  <c r="I49" i="2"/>
  <c r="J49" i="2" s="1"/>
  <c r="K49" i="2" s="1"/>
  <c r="I50" i="2"/>
  <c r="I51" i="2"/>
  <c r="I52" i="2"/>
  <c r="I53" i="2"/>
  <c r="J53" i="2" s="1"/>
  <c r="K53" i="2" s="1"/>
  <c r="I54" i="2"/>
  <c r="I55" i="2"/>
  <c r="J55" i="2" s="1"/>
  <c r="I56" i="2"/>
  <c r="J56" i="2" s="1"/>
  <c r="I57" i="2"/>
  <c r="J57" i="2" s="1"/>
  <c r="K57" i="2" s="1"/>
  <c r="I58" i="2"/>
  <c r="J58" i="2" s="1"/>
  <c r="I59" i="2"/>
  <c r="I60" i="2"/>
  <c r="I61" i="2"/>
  <c r="J61" i="2" s="1"/>
  <c r="K61" i="2" s="1"/>
  <c r="I62" i="2"/>
  <c r="J62" i="2" s="1"/>
  <c r="K62" i="2" s="1"/>
  <c r="I63" i="2"/>
  <c r="J63" i="2" s="1"/>
  <c r="K63" i="2" s="1"/>
  <c r="I64" i="2"/>
  <c r="I65" i="2"/>
  <c r="J65" i="2" s="1"/>
  <c r="K65" i="2" s="1"/>
  <c r="I66" i="2"/>
  <c r="I67" i="2"/>
  <c r="I69" i="2"/>
  <c r="I70" i="2"/>
  <c r="J70" i="2" s="1"/>
  <c r="I71" i="2"/>
  <c r="I72" i="2"/>
  <c r="J72" i="2" s="1"/>
  <c r="I73" i="2"/>
  <c r="I74" i="2"/>
  <c r="I75" i="2"/>
  <c r="I6" i="2"/>
  <c r="J6" i="2" s="1"/>
  <c r="F112" i="2"/>
  <c r="E112" i="2"/>
  <c r="X111" i="2"/>
  <c r="X110" i="2"/>
  <c r="X104" i="2"/>
  <c r="M104" i="2"/>
  <c r="M111" i="2" s="1"/>
  <c r="C39" i="3" s="1"/>
  <c r="L104" i="2"/>
  <c r="L111" i="2" s="1"/>
  <c r="C31" i="3" s="1"/>
  <c r="N31" i="3" s="1"/>
  <c r="T6" i="3" s="1"/>
  <c r="G104" i="2"/>
  <c r="G111" i="2"/>
  <c r="C15" i="3" s="1"/>
  <c r="N15" i="3" s="1"/>
  <c r="R6" i="3" s="1"/>
  <c r="X103" i="2"/>
  <c r="P103" i="2"/>
  <c r="O103" i="2"/>
  <c r="Q103" i="2" s="1"/>
  <c r="N103" i="2"/>
  <c r="R103" i="2" s="1"/>
  <c r="X102" i="2"/>
  <c r="P102" i="2"/>
  <c r="O102" i="2"/>
  <c r="Q102" i="2" s="1"/>
  <c r="N102" i="2"/>
  <c r="X101" i="2"/>
  <c r="P101" i="2"/>
  <c r="O101" i="2"/>
  <c r="N101" i="2"/>
  <c r="X100" i="2"/>
  <c r="P100" i="2"/>
  <c r="O100" i="2"/>
  <c r="N100" i="2"/>
  <c r="J100" i="2"/>
  <c r="K100" i="2" s="1"/>
  <c r="X99" i="2"/>
  <c r="P99" i="2"/>
  <c r="O99" i="2"/>
  <c r="N99" i="2"/>
  <c r="X98" i="2"/>
  <c r="P98" i="2"/>
  <c r="O98" i="2"/>
  <c r="Q98" i="2" s="1"/>
  <c r="N98" i="2"/>
  <c r="X97" i="2"/>
  <c r="P97" i="2"/>
  <c r="O97" i="2"/>
  <c r="N97" i="2"/>
  <c r="X96" i="2"/>
  <c r="O96" i="2"/>
  <c r="N96" i="2"/>
  <c r="X95" i="2"/>
  <c r="O95" i="2"/>
  <c r="N95" i="2"/>
  <c r="X94" i="2"/>
  <c r="O94" i="2"/>
  <c r="N94" i="2"/>
  <c r="X93" i="2"/>
  <c r="O93" i="2"/>
  <c r="O104" i="2" s="1"/>
  <c r="O111" i="2" s="1"/>
  <c r="C55" i="3" s="1"/>
  <c r="N93" i="2"/>
  <c r="X89" i="2"/>
  <c r="L89" i="2"/>
  <c r="L110" i="2" s="1"/>
  <c r="C30" i="3" s="1"/>
  <c r="N30" i="3" s="1"/>
  <c r="U5" i="3" s="1"/>
  <c r="G89" i="2"/>
  <c r="O89" i="2" s="1"/>
  <c r="O110" i="2" s="1"/>
  <c r="C54" i="3" s="1"/>
  <c r="N54" i="3" s="1"/>
  <c r="X88" i="2"/>
  <c r="P88" i="2"/>
  <c r="O88" i="2"/>
  <c r="N88" i="2"/>
  <c r="J88" i="2"/>
  <c r="K88" i="2"/>
  <c r="X87" i="2"/>
  <c r="P87" i="2"/>
  <c r="Q87" i="2" s="1"/>
  <c r="O87" i="2"/>
  <c r="N87" i="2"/>
  <c r="M89" i="2"/>
  <c r="M110" i="2" s="1"/>
  <c r="C38" i="3" s="1"/>
  <c r="N38" i="3" s="1"/>
  <c r="X86" i="2"/>
  <c r="P86" i="2"/>
  <c r="O86" i="2"/>
  <c r="Q86" i="2" s="1"/>
  <c r="N86" i="2"/>
  <c r="X85" i="2"/>
  <c r="P85" i="2"/>
  <c r="O85" i="2"/>
  <c r="N85" i="2"/>
  <c r="X84" i="2"/>
  <c r="O84" i="2"/>
  <c r="N84" i="2"/>
  <c r="X83" i="2"/>
  <c r="P83" i="2"/>
  <c r="O83" i="2"/>
  <c r="N83" i="2"/>
  <c r="X82" i="2"/>
  <c r="P82" i="2"/>
  <c r="O82" i="2"/>
  <c r="N82" i="2"/>
  <c r="X81" i="2"/>
  <c r="P81" i="2"/>
  <c r="O81" i="2"/>
  <c r="N81" i="2"/>
  <c r="X80" i="2"/>
  <c r="P80" i="2"/>
  <c r="O80" i="2"/>
  <c r="N80" i="2"/>
  <c r="S76" i="2"/>
  <c r="X75" i="2"/>
  <c r="P75" i="2"/>
  <c r="O75" i="2"/>
  <c r="N75" i="2"/>
  <c r="X74" i="2"/>
  <c r="P74" i="2"/>
  <c r="O74" i="2"/>
  <c r="Q74" i="2" s="1"/>
  <c r="N74" i="2"/>
  <c r="J74" i="2"/>
  <c r="X73" i="2"/>
  <c r="O73" i="2"/>
  <c r="N73" i="2"/>
  <c r="X72" i="2"/>
  <c r="P72" i="2"/>
  <c r="O72" i="2"/>
  <c r="Q72" i="2" s="1"/>
  <c r="N72" i="2"/>
  <c r="K72" i="2"/>
  <c r="X71" i="2"/>
  <c r="P71" i="2"/>
  <c r="O71" i="2"/>
  <c r="Q71" i="2"/>
  <c r="R71" i="2" s="1"/>
  <c r="Y71" i="2" s="1"/>
  <c r="N71" i="2"/>
  <c r="X70" i="2"/>
  <c r="P70" i="2"/>
  <c r="O70" i="2"/>
  <c r="N70" i="2"/>
  <c r="X69" i="2"/>
  <c r="P69" i="2"/>
  <c r="O69" i="2"/>
  <c r="N69" i="2"/>
  <c r="J69" i="2"/>
  <c r="K69" i="2"/>
  <c r="X68" i="2"/>
  <c r="O68" i="2"/>
  <c r="N68" i="2"/>
  <c r="X67" i="2"/>
  <c r="O67" i="2"/>
  <c r="N67" i="2"/>
  <c r="X66" i="2"/>
  <c r="P66" i="2"/>
  <c r="O66" i="2"/>
  <c r="N66" i="2"/>
  <c r="X65" i="2"/>
  <c r="O65" i="2"/>
  <c r="P65" i="2"/>
  <c r="X64" i="2"/>
  <c r="N64" i="2"/>
  <c r="P64" i="2"/>
  <c r="O64" i="2"/>
  <c r="X63" i="2"/>
  <c r="O63" i="2"/>
  <c r="N63" i="2"/>
  <c r="P63" i="2"/>
  <c r="Q63" i="2" s="1"/>
  <c r="X62" i="2"/>
  <c r="P62" i="2"/>
  <c r="O62" i="2"/>
  <c r="N62" i="2"/>
  <c r="X61" i="2"/>
  <c r="P61" i="2"/>
  <c r="O61" i="2"/>
  <c r="N61" i="2"/>
  <c r="X60" i="2"/>
  <c r="P60" i="2"/>
  <c r="O60" i="2"/>
  <c r="Q60" i="2" s="1"/>
  <c r="N60" i="2"/>
  <c r="X59" i="2"/>
  <c r="O59" i="2"/>
  <c r="N59" i="2"/>
  <c r="P59" i="2"/>
  <c r="X58" i="2"/>
  <c r="P58" i="2"/>
  <c r="O58" i="2"/>
  <c r="N58" i="2"/>
  <c r="X57" i="2"/>
  <c r="P57" i="2"/>
  <c r="O57" i="2"/>
  <c r="N57" i="2"/>
  <c r="X56" i="2"/>
  <c r="P56" i="2"/>
  <c r="O56" i="2"/>
  <c r="N56" i="2"/>
  <c r="X55" i="2"/>
  <c r="P55" i="2"/>
  <c r="O55" i="2"/>
  <c r="N55" i="2"/>
  <c r="X54" i="2"/>
  <c r="P54" i="2"/>
  <c r="O54" i="2"/>
  <c r="N54" i="2"/>
  <c r="X53" i="2"/>
  <c r="P53" i="2"/>
  <c r="O53" i="2"/>
  <c r="N53" i="2"/>
  <c r="X52" i="2"/>
  <c r="O52" i="2"/>
  <c r="N52" i="2"/>
  <c r="P52" i="2"/>
  <c r="X51" i="2"/>
  <c r="P51" i="2"/>
  <c r="O51" i="2"/>
  <c r="Q51" i="2" s="1"/>
  <c r="N51" i="2"/>
  <c r="X50" i="2"/>
  <c r="P50" i="2"/>
  <c r="O50" i="2"/>
  <c r="N50" i="2"/>
  <c r="X49" i="2"/>
  <c r="P49" i="2"/>
  <c r="O49" i="2"/>
  <c r="Q49" i="2" s="1"/>
  <c r="N49" i="2"/>
  <c r="X48" i="2"/>
  <c r="P48" i="2"/>
  <c r="O48" i="2"/>
  <c r="Q48" i="2" s="1"/>
  <c r="R48" i="2" s="1"/>
  <c r="Y48" i="2" s="1"/>
  <c r="N48" i="2"/>
  <c r="X47" i="2"/>
  <c r="P47" i="2"/>
  <c r="O47" i="2"/>
  <c r="N47" i="2"/>
  <c r="X46" i="2"/>
  <c r="P46" i="2"/>
  <c r="O46" i="2"/>
  <c r="N46" i="2"/>
  <c r="X45" i="2"/>
  <c r="P45" i="2"/>
  <c r="Q45" i="2" s="1"/>
  <c r="O45" i="2"/>
  <c r="N45" i="2"/>
  <c r="X44" i="2"/>
  <c r="P44" i="2"/>
  <c r="O44" i="2"/>
  <c r="N44" i="2"/>
  <c r="X43" i="2"/>
  <c r="O43" i="2"/>
  <c r="N43" i="2"/>
  <c r="X42" i="2"/>
  <c r="P42" i="2"/>
  <c r="O42" i="2"/>
  <c r="N42" i="2"/>
  <c r="X41" i="2"/>
  <c r="P41" i="2"/>
  <c r="O41" i="2"/>
  <c r="Q41" i="2" s="1"/>
  <c r="N41" i="2"/>
  <c r="X40" i="2"/>
  <c r="P40" i="2"/>
  <c r="O40" i="2"/>
  <c r="Q40" i="2" s="1"/>
  <c r="R40" i="2" s="1"/>
  <c r="N40" i="2"/>
  <c r="X39" i="2"/>
  <c r="O39" i="2"/>
  <c r="N39" i="2"/>
  <c r="P39" i="2"/>
  <c r="Q39" i="2" s="1"/>
  <c r="X38" i="2"/>
  <c r="P38" i="2"/>
  <c r="O38" i="2"/>
  <c r="N38" i="2"/>
  <c r="X37" i="2"/>
  <c r="P37" i="2"/>
  <c r="O37" i="2"/>
  <c r="Q37" i="2" s="1"/>
  <c r="N37" i="2"/>
  <c r="X36" i="2"/>
  <c r="P36" i="2"/>
  <c r="O36" i="2"/>
  <c r="Q36" i="2" s="1"/>
  <c r="N36" i="2"/>
  <c r="X35" i="2"/>
  <c r="O35" i="2"/>
  <c r="P35" i="2"/>
  <c r="N35" i="2"/>
  <c r="X34" i="2"/>
  <c r="P34" i="2"/>
  <c r="O34" i="2"/>
  <c r="Q34" i="2" s="1"/>
  <c r="N34" i="2"/>
  <c r="J34" i="2"/>
  <c r="K34" i="2" s="1"/>
  <c r="X33" i="2"/>
  <c r="P33" i="2"/>
  <c r="O33" i="2"/>
  <c r="N33" i="2"/>
  <c r="X32" i="2"/>
  <c r="P32" i="2"/>
  <c r="O32" i="2"/>
  <c r="N32" i="2"/>
  <c r="X31" i="2"/>
  <c r="P31" i="2"/>
  <c r="O31" i="2"/>
  <c r="N31" i="2"/>
  <c r="X30" i="2"/>
  <c r="P30" i="2"/>
  <c r="O30" i="2"/>
  <c r="X29" i="2"/>
  <c r="P29" i="2"/>
  <c r="O29" i="2"/>
  <c r="Q29" i="2" s="1"/>
  <c r="N29" i="2"/>
  <c r="X28" i="2"/>
  <c r="P28" i="2"/>
  <c r="O28" i="2"/>
  <c r="N28" i="2"/>
  <c r="X27" i="2"/>
  <c r="O27" i="2"/>
  <c r="N27" i="2"/>
  <c r="X26" i="2"/>
  <c r="P26" i="2"/>
  <c r="O26" i="2"/>
  <c r="N26" i="2"/>
  <c r="X25" i="2"/>
  <c r="P25" i="2"/>
  <c r="Q25" i="2" s="1"/>
  <c r="R25" i="2" s="1"/>
  <c r="Y25" i="2" s="1"/>
  <c r="O25" i="2"/>
  <c r="N25" i="2"/>
  <c r="J25" i="2"/>
  <c r="X24" i="2"/>
  <c r="P24" i="2"/>
  <c r="O24" i="2"/>
  <c r="Q24" i="2" s="1"/>
  <c r="N24" i="2"/>
  <c r="J24" i="2"/>
  <c r="K24" i="2" s="1"/>
  <c r="X23" i="2"/>
  <c r="P23" i="2"/>
  <c r="O23" i="2"/>
  <c r="N23" i="2"/>
  <c r="X22" i="2"/>
  <c r="O22" i="2"/>
  <c r="N22" i="2"/>
  <c r="X21" i="2"/>
  <c r="P21" i="2"/>
  <c r="O21" i="2"/>
  <c r="N21" i="2"/>
  <c r="X20" i="2"/>
  <c r="P20" i="2"/>
  <c r="O20" i="2"/>
  <c r="N20" i="2"/>
  <c r="J20" i="2"/>
  <c r="K20" i="2" s="1"/>
  <c r="X19" i="2"/>
  <c r="P19" i="2"/>
  <c r="N19" i="2"/>
  <c r="X18" i="2"/>
  <c r="P18" i="2"/>
  <c r="O18" i="2"/>
  <c r="Q18" i="2" s="1"/>
  <c r="N18" i="2"/>
  <c r="X17" i="2"/>
  <c r="P17" i="2"/>
  <c r="O17" i="2"/>
  <c r="N17" i="2"/>
  <c r="X16" i="2"/>
  <c r="P16" i="2"/>
  <c r="O16" i="2"/>
  <c r="Q16" i="2" s="1"/>
  <c r="R16" i="2" s="1"/>
  <c r="N16" i="2"/>
  <c r="J16" i="2"/>
  <c r="K16" i="2" s="1"/>
  <c r="X15" i="2"/>
  <c r="O15" i="2"/>
  <c r="N15" i="2"/>
  <c r="X14" i="2"/>
  <c r="P14" i="2"/>
  <c r="Q14" i="2" s="1"/>
  <c r="O14" i="2"/>
  <c r="N14" i="2"/>
  <c r="X13" i="2"/>
  <c r="P13" i="2"/>
  <c r="O13" i="2"/>
  <c r="N13" i="2"/>
  <c r="K13" i="2"/>
  <c r="X12" i="2"/>
  <c r="O12" i="2"/>
  <c r="X11" i="2"/>
  <c r="P11" i="2"/>
  <c r="O11" i="2"/>
  <c r="Q11" i="2" s="1"/>
  <c r="N11" i="2"/>
  <c r="J11" i="2"/>
  <c r="K11" i="2" s="1"/>
  <c r="X10" i="2"/>
  <c r="P10" i="2"/>
  <c r="O10" i="2"/>
  <c r="N10" i="2"/>
  <c r="X9" i="2"/>
  <c r="P9" i="2"/>
  <c r="O9" i="2"/>
  <c r="N9" i="2"/>
  <c r="X8" i="2"/>
  <c r="P8" i="2"/>
  <c r="O8" i="2"/>
  <c r="N8" i="2"/>
  <c r="J8" i="2"/>
  <c r="X7" i="2"/>
  <c r="P7" i="2"/>
  <c r="O7" i="2"/>
  <c r="N7" i="2"/>
  <c r="J7" i="2"/>
  <c r="X6" i="2"/>
  <c r="X76" i="2" s="1"/>
  <c r="P6" i="2"/>
  <c r="O6" i="2"/>
  <c r="Q6" i="2" s="1"/>
  <c r="R6" i="2" s="1"/>
  <c r="N6" i="2"/>
  <c r="R86" i="2"/>
  <c r="Y86" i="2" s="1"/>
  <c r="Q55" i="2"/>
  <c r="Q8" i="2"/>
  <c r="Q20" i="2"/>
  <c r="R20" i="2" s="1"/>
  <c r="Q13" i="2"/>
  <c r="Q56" i="2"/>
  <c r="P22" i="2"/>
  <c r="Q22" i="2" s="1"/>
  <c r="R22" i="2" s="1"/>
  <c r="Y22" i="2" s="1"/>
  <c r="P15" i="2"/>
  <c r="Q15" i="2" s="1"/>
  <c r="R15" i="2" s="1"/>
  <c r="J31" i="2"/>
  <c r="J73" i="2"/>
  <c r="K73" i="2" s="1"/>
  <c r="L76" i="2"/>
  <c r="L109" i="2" s="1"/>
  <c r="N30" i="2"/>
  <c r="J47" i="2"/>
  <c r="J50" i="2"/>
  <c r="K50" i="2" s="1"/>
  <c r="J54" i="2"/>
  <c r="K54" i="2" s="1"/>
  <c r="J66" i="2"/>
  <c r="P73" i="2"/>
  <c r="Q73" i="2" s="1"/>
  <c r="P84" i="2"/>
  <c r="H89" i="2"/>
  <c r="P89" i="2" s="1"/>
  <c r="P110" i="2" s="1"/>
  <c r="C62" i="3" s="1"/>
  <c r="N62" i="3" s="1"/>
  <c r="K6" i="2"/>
  <c r="N12" i="2"/>
  <c r="K29" i="2"/>
  <c r="J37" i="2"/>
  <c r="K37" i="2" s="1"/>
  <c r="J67" i="2"/>
  <c r="P67" i="2"/>
  <c r="M76" i="2"/>
  <c r="M109" i="2" s="1"/>
  <c r="K8" i="2"/>
  <c r="K21" i="2"/>
  <c r="P27" i="2"/>
  <c r="N65" i="2"/>
  <c r="J75" i="2"/>
  <c r="P94" i="2"/>
  <c r="Q75" i="2"/>
  <c r="R75" i="2"/>
  <c r="F133" i="1"/>
  <c r="E133" i="1"/>
  <c r="M122" i="1"/>
  <c r="L33" i="1"/>
  <c r="L30" i="1"/>
  <c r="X122" i="1"/>
  <c r="P122" i="1"/>
  <c r="O122" i="1"/>
  <c r="N122" i="1"/>
  <c r="J122" i="1"/>
  <c r="K122" i="1"/>
  <c r="M125" i="1"/>
  <c r="I122" i="1"/>
  <c r="L125" i="1"/>
  <c r="H125" i="1"/>
  <c r="X121" i="1"/>
  <c r="P121" i="1"/>
  <c r="O121" i="1"/>
  <c r="Q121" i="1"/>
  <c r="N121" i="1"/>
  <c r="I121" i="1"/>
  <c r="J121" i="1"/>
  <c r="K121" i="1"/>
  <c r="X114" i="1"/>
  <c r="P114" i="1"/>
  <c r="O114" i="1"/>
  <c r="Q114" i="1"/>
  <c r="N114" i="1"/>
  <c r="I114" i="1"/>
  <c r="H115" i="1"/>
  <c r="P115" i="1"/>
  <c r="N115" i="1"/>
  <c r="O115" i="1"/>
  <c r="X115" i="1"/>
  <c r="Q122" i="1"/>
  <c r="R122" i="1"/>
  <c r="Y122" i="1"/>
  <c r="R121" i="1"/>
  <c r="Y121" i="1"/>
  <c r="J114" i="1"/>
  <c r="K114" i="1"/>
  <c r="R114" i="1"/>
  <c r="Y114" i="1"/>
  <c r="Q115" i="1"/>
  <c r="R115" i="1"/>
  <c r="Y115" i="1"/>
  <c r="I115" i="1"/>
  <c r="I124" i="1"/>
  <c r="J124" i="1"/>
  <c r="N124" i="1"/>
  <c r="O124" i="1"/>
  <c r="P124" i="1"/>
  <c r="X124" i="1"/>
  <c r="H123" i="1"/>
  <c r="P123" i="1"/>
  <c r="X132" i="1"/>
  <c r="X131" i="1"/>
  <c r="I118" i="1"/>
  <c r="N118" i="1"/>
  <c r="O118" i="1"/>
  <c r="P118" i="1"/>
  <c r="X118" i="1"/>
  <c r="I119" i="1"/>
  <c r="N119" i="1"/>
  <c r="O119" i="1"/>
  <c r="P119" i="1"/>
  <c r="X119" i="1"/>
  <c r="I120" i="1"/>
  <c r="J120" i="1"/>
  <c r="N120" i="1"/>
  <c r="O120" i="1"/>
  <c r="P120" i="1"/>
  <c r="X120" i="1"/>
  <c r="N123" i="1"/>
  <c r="O123" i="1"/>
  <c r="X123" i="1"/>
  <c r="X125" i="1"/>
  <c r="I117" i="1"/>
  <c r="I116" i="1"/>
  <c r="J116" i="1"/>
  <c r="K116" i="1"/>
  <c r="H105" i="1"/>
  <c r="H110" i="1"/>
  <c r="L110" i="1"/>
  <c r="G110" i="1"/>
  <c r="I109" i="1"/>
  <c r="J109" i="1"/>
  <c r="K109" i="1"/>
  <c r="I108" i="1"/>
  <c r="J108" i="1"/>
  <c r="N109" i="1"/>
  <c r="P109" i="1"/>
  <c r="X109" i="1"/>
  <c r="X110" i="1"/>
  <c r="N116" i="1"/>
  <c r="P116" i="1"/>
  <c r="X116" i="1"/>
  <c r="N117" i="1"/>
  <c r="O117" i="1"/>
  <c r="P117" i="1"/>
  <c r="X117" i="1"/>
  <c r="M108" i="1"/>
  <c r="M110" i="1"/>
  <c r="M131" i="1"/>
  <c r="M65" i="1"/>
  <c r="M64" i="1"/>
  <c r="M39" i="1"/>
  <c r="N125" i="1"/>
  <c r="Q120" i="1"/>
  <c r="M132" i="1"/>
  <c r="J118" i="1"/>
  <c r="H131" i="1"/>
  <c r="P125" i="1"/>
  <c r="L131" i="1"/>
  <c r="L132" i="1"/>
  <c r="J115" i="1"/>
  <c r="K115" i="1"/>
  <c r="R120" i="1"/>
  <c r="Y120" i="1"/>
  <c r="Q124" i="1"/>
  <c r="R124" i="1"/>
  <c r="Y124" i="1"/>
  <c r="K124" i="1"/>
  <c r="I123" i="1"/>
  <c r="J123" i="1"/>
  <c r="Q123" i="1"/>
  <c r="R123" i="1"/>
  <c r="Y123" i="1"/>
  <c r="K120" i="1"/>
  <c r="Q119" i="1"/>
  <c r="R119" i="1"/>
  <c r="Y119" i="1"/>
  <c r="J119" i="1"/>
  <c r="K119" i="1"/>
  <c r="Q118" i="1"/>
  <c r="R118" i="1"/>
  <c r="Y118" i="1"/>
  <c r="J117" i="1"/>
  <c r="K117" i="1"/>
  <c r="P110" i="1"/>
  <c r="N110" i="1"/>
  <c r="L97" i="1"/>
  <c r="L130" i="1" s="1"/>
  <c r="B29" i="3" s="1"/>
  <c r="B32" i="3" s="1"/>
  <c r="Q116" i="1"/>
  <c r="R116" i="1"/>
  <c r="Y116" i="1"/>
  <c r="O110" i="1"/>
  <c r="Q117" i="1"/>
  <c r="R117" i="1"/>
  <c r="Y117" i="1"/>
  <c r="K108" i="1"/>
  <c r="O109" i="1"/>
  <c r="Q109" i="1"/>
  <c r="R109" i="1"/>
  <c r="Y109" i="1"/>
  <c r="M30" i="1"/>
  <c r="M22" i="1"/>
  <c r="M27" i="1"/>
  <c r="M12" i="1"/>
  <c r="S97" i="1"/>
  <c r="H88" i="1"/>
  <c r="H81" i="1"/>
  <c r="H78" i="1"/>
  <c r="N132" i="1"/>
  <c r="I125" i="1"/>
  <c r="J125" i="1"/>
  <c r="K125" i="1"/>
  <c r="K118" i="1"/>
  <c r="P132" i="1"/>
  <c r="H132" i="1"/>
  <c r="K123" i="1"/>
  <c r="P131" i="1"/>
  <c r="O131" i="1"/>
  <c r="N131" i="1"/>
  <c r="Q110" i="1"/>
  <c r="M97" i="1"/>
  <c r="M130" i="1" s="1"/>
  <c r="H73" i="1"/>
  <c r="H71" i="1"/>
  <c r="H67" i="1"/>
  <c r="R125" i="1"/>
  <c r="R132" i="1"/>
  <c r="Y132" i="1"/>
  <c r="J132" i="1"/>
  <c r="K132" i="1"/>
  <c r="R110" i="1"/>
  <c r="Q131" i="1"/>
  <c r="H64" i="1"/>
  <c r="G64" i="1"/>
  <c r="H63" i="1"/>
  <c r="H59" i="1"/>
  <c r="H57" i="1"/>
  <c r="H52" i="1"/>
  <c r="H50" i="1"/>
  <c r="G50" i="1"/>
  <c r="Y125" i="1"/>
  <c r="Y110" i="1"/>
  <c r="R131" i="1"/>
  <c r="Y131" i="1"/>
  <c r="H39" i="1"/>
  <c r="I39" i="1"/>
  <c r="J39" i="1"/>
  <c r="G39" i="1"/>
  <c r="O39" i="1"/>
  <c r="Q39" i="1" s="1"/>
  <c r="R39" i="1" s="1"/>
  <c r="Y39" i="1" s="1"/>
  <c r="G33" i="1"/>
  <c r="O33" i="1"/>
  <c r="H33" i="1"/>
  <c r="P33" i="1"/>
  <c r="Q33" i="1" s="1"/>
  <c r="H30" i="1"/>
  <c r="G30" i="1"/>
  <c r="I31" i="1"/>
  <c r="J31" i="1"/>
  <c r="K31" i="1" s="1"/>
  <c r="N31" i="1"/>
  <c r="O31" i="1"/>
  <c r="P31" i="1"/>
  <c r="X31" i="1"/>
  <c r="I32" i="1"/>
  <c r="J32" i="1"/>
  <c r="N32" i="1"/>
  <c r="R32" i="1" s="1"/>
  <c r="Y32" i="1" s="1"/>
  <c r="O32" i="1"/>
  <c r="P32" i="1"/>
  <c r="X32" i="1"/>
  <c r="N33" i="1"/>
  <c r="X33" i="1"/>
  <c r="I34" i="1"/>
  <c r="J34" i="1"/>
  <c r="N34" i="1"/>
  <c r="R34" i="1" s="1"/>
  <c r="Y34" i="1" s="1"/>
  <c r="O34" i="1"/>
  <c r="P34" i="1"/>
  <c r="X34" i="1"/>
  <c r="I35" i="1"/>
  <c r="N35" i="1"/>
  <c r="O35" i="1"/>
  <c r="P35" i="1"/>
  <c r="X35" i="1"/>
  <c r="I36" i="1"/>
  <c r="J36" i="1"/>
  <c r="K36" i="1" s="1"/>
  <c r="N36" i="1"/>
  <c r="O36" i="1"/>
  <c r="P36" i="1"/>
  <c r="X36" i="1"/>
  <c r="I37" i="1"/>
  <c r="N37" i="1"/>
  <c r="O37" i="1"/>
  <c r="P37" i="1"/>
  <c r="X37" i="1"/>
  <c r="I38" i="1"/>
  <c r="J38" i="1"/>
  <c r="N38" i="1"/>
  <c r="O38" i="1"/>
  <c r="P38" i="1"/>
  <c r="X38" i="1"/>
  <c r="N39" i="1"/>
  <c r="X39" i="1"/>
  <c r="I40" i="1"/>
  <c r="J40" i="1"/>
  <c r="N40" i="1"/>
  <c r="O40" i="1"/>
  <c r="P40" i="1"/>
  <c r="X40" i="1"/>
  <c r="I41" i="1"/>
  <c r="J41" i="1"/>
  <c r="K41" i="1"/>
  <c r="N41" i="1"/>
  <c r="O41" i="1"/>
  <c r="P41" i="1"/>
  <c r="X41" i="1"/>
  <c r="I42" i="1"/>
  <c r="N42" i="1"/>
  <c r="O42" i="1"/>
  <c r="Q42" i="1" s="1"/>
  <c r="R42" i="1" s="1"/>
  <c r="Y42" i="1" s="1"/>
  <c r="P42" i="1"/>
  <c r="X42" i="1"/>
  <c r="I43" i="1"/>
  <c r="J43" i="1"/>
  <c r="K43" i="1" s="1"/>
  <c r="N43" i="1"/>
  <c r="O43" i="1"/>
  <c r="P43" i="1"/>
  <c r="Q43" i="1" s="1"/>
  <c r="R43" i="1" s="1"/>
  <c r="Y43" i="1" s="1"/>
  <c r="X43" i="1"/>
  <c r="I44" i="1"/>
  <c r="J44" i="1"/>
  <c r="N44" i="1"/>
  <c r="O44" i="1"/>
  <c r="P44" i="1"/>
  <c r="X44" i="1"/>
  <c r="I45" i="1"/>
  <c r="N45" i="1"/>
  <c r="O45" i="1"/>
  <c r="P45" i="1"/>
  <c r="X45" i="1"/>
  <c r="I46" i="1"/>
  <c r="J46" i="1"/>
  <c r="K46" i="1" s="1"/>
  <c r="N46" i="1"/>
  <c r="R46" i="1" s="1"/>
  <c r="Y46" i="1" s="1"/>
  <c r="O46" i="1"/>
  <c r="P46" i="1"/>
  <c r="X46" i="1"/>
  <c r="I47" i="1"/>
  <c r="N47" i="1"/>
  <c r="O47" i="1"/>
  <c r="P47" i="1"/>
  <c r="X47" i="1"/>
  <c r="I48" i="1"/>
  <c r="J48" i="1"/>
  <c r="N48" i="1"/>
  <c r="O48" i="1"/>
  <c r="P48" i="1"/>
  <c r="Q48" i="1" s="1"/>
  <c r="X48" i="1"/>
  <c r="I49" i="1"/>
  <c r="J49" i="1"/>
  <c r="K49" i="1"/>
  <c r="N49" i="1"/>
  <c r="O49" i="1"/>
  <c r="P49" i="1"/>
  <c r="X49" i="1"/>
  <c r="I50" i="1"/>
  <c r="J50" i="1" s="1"/>
  <c r="N50" i="1"/>
  <c r="O50" i="1"/>
  <c r="Q50" i="1" s="1"/>
  <c r="R50" i="1" s="1"/>
  <c r="Y50" i="1" s="1"/>
  <c r="P50" i="1"/>
  <c r="X50" i="1"/>
  <c r="I51" i="1"/>
  <c r="J51" i="1"/>
  <c r="K51" i="1" s="1"/>
  <c r="N51" i="1"/>
  <c r="O51" i="1"/>
  <c r="P51" i="1"/>
  <c r="Q51" i="1" s="1"/>
  <c r="R51" i="1" s="1"/>
  <c r="Y51" i="1" s="1"/>
  <c r="X51" i="1"/>
  <c r="I52" i="1"/>
  <c r="J52" i="1"/>
  <c r="N52" i="1"/>
  <c r="R52" i="1" s="1"/>
  <c r="O52" i="1"/>
  <c r="P52" i="1"/>
  <c r="X52" i="1"/>
  <c r="I53" i="1"/>
  <c r="N53" i="1"/>
  <c r="O53" i="1"/>
  <c r="P53" i="1"/>
  <c r="X53" i="1"/>
  <c r="I54" i="1"/>
  <c r="J54" i="1"/>
  <c r="N54" i="1"/>
  <c r="O54" i="1"/>
  <c r="P54" i="1"/>
  <c r="X54" i="1"/>
  <c r="I55" i="1"/>
  <c r="J55" i="1"/>
  <c r="K55" i="1"/>
  <c r="N55" i="1"/>
  <c r="O55" i="1"/>
  <c r="P55" i="1"/>
  <c r="X55" i="1"/>
  <c r="I56" i="1"/>
  <c r="J56" i="1" s="1"/>
  <c r="K56" i="1" s="1"/>
  <c r="N56" i="1"/>
  <c r="O56" i="1"/>
  <c r="P56" i="1"/>
  <c r="Q56" i="1" s="1"/>
  <c r="X56" i="1"/>
  <c r="Y56" i="1" s="1"/>
  <c r="I57" i="1"/>
  <c r="J57" i="1"/>
  <c r="K57" i="1"/>
  <c r="N57" i="1"/>
  <c r="R57" i="1" s="1"/>
  <c r="O57" i="1"/>
  <c r="P57" i="1"/>
  <c r="X57" i="1"/>
  <c r="I58" i="1"/>
  <c r="J58" i="1" s="1"/>
  <c r="N58" i="1"/>
  <c r="O58" i="1"/>
  <c r="P58" i="1"/>
  <c r="X58" i="1"/>
  <c r="I59" i="1"/>
  <c r="J59" i="1"/>
  <c r="K59" i="1"/>
  <c r="N59" i="1"/>
  <c r="O59" i="1"/>
  <c r="Q59" i="1" s="1"/>
  <c r="P59" i="1"/>
  <c r="X59" i="1"/>
  <c r="I60" i="1"/>
  <c r="J60" i="1"/>
  <c r="N60" i="1"/>
  <c r="O60" i="1"/>
  <c r="P60" i="1"/>
  <c r="X60" i="1"/>
  <c r="Y60" i="1" s="1"/>
  <c r="I61" i="1"/>
  <c r="J61" i="1"/>
  <c r="N61" i="1"/>
  <c r="O61" i="1"/>
  <c r="Q61" i="1" s="1"/>
  <c r="P61" i="1"/>
  <c r="X61" i="1"/>
  <c r="I62" i="1"/>
  <c r="J62" i="1"/>
  <c r="K62" i="1" s="1"/>
  <c r="N62" i="1"/>
  <c r="O62" i="1"/>
  <c r="P62" i="1"/>
  <c r="X62" i="1"/>
  <c r="I63" i="1"/>
  <c r="N63" i="1"/>
  <c r="O63" i="1"/>
  <c r="P63" i="1"/>
  <c r="X63" i="1"/>
  <c r="I64" i="1"/>
  <c r="N64" i="1"/>
  <c r="O64" i="1"/>
  <c r="P64" i="1"/>
  <c r="X64" i="1"/>
  <c r="I65" i="1"/>
  <c r="N65" i="1"/>
  <c r="R65" i="1" s="1"/>
  <c r="Y65" i="1" s="1"/>
  <c r="O65" i="1"/>
  <c r="Q65" i="1" s="1"/>
  <c r="P65" i="1"/>
  <c r="X65" i="1"/>
  <c r="I66" i="1"/>
  <c r="N66" i="1"/>
  <c r="O66" i="1"/>
  <c r="P66" i="1"/>
  <c r="X66" i="1"/>
  <c r="I67" i="1"/>
  <c r="N67" i="1"/>
  <c r="O67" i="1"/>
  <c r="P67" i="1"/>
  <c r="X67" i="1"/>
  <c r="I68" i="1"/>
  <c r="J68" i="1"/>
  <c r="K68" i="1" s="1"/>
  <c r="N68" i="1"/>
  <c r="O68" i="1"/>
  <c r="P68" i="1"/>
  <c r="X68" i="1"/>
  <c r="I69" i="1"/>
  <c r="J69" i="1"/>
  <c r="K69" i="1"/>
  <c r="N69" i="1"/>
  <c r="R69" i="1" s="1"/>
  <c r="Y69" i="1" s="1"/>
  <c r="O69" i="1"/>
  <c r="P69" i="1"/>
  <c r="Q69" i="1" s="1"/>
  <c r="X69" i="1"/>
  <c r="I70" i="1"/>
  <c r="J70" i="1" s="1"/>
  <c r="N70" i="1"/>
  <c r="R70" i="1" s="1"/>
  <c r="Y70" i="1" s="1"/>
  <c r="O70" i="1"/>
  <c r="P70" i="1"/>
  <c r="X70" i="1"/>
  <c r="I71" i="1"/>
  <c r="J71" i="1"/>
  <c r="K71" i="1"/>
  <c r="N71" i="1"/>
  <c r="O71" i="1"/>
  <c r="P71" i="1"/>
  <c r="X71" i="1"/>
  <c r="I72" i="1"/>
  <c r="N72" i="1"/>
  <c r="R72" i="1" s="1"/>
  <c r="Y72" i="1" s="1"/>
  <c r="O72" i="1"/>
  <c r="P72" i="1"/>
  <c r="X72" i="1"/>
  <c r="I73" i="1"/>
  <c r="J73" i="1"/>
  <c r="K73" i="1"/>
  <c r="N73" i="1"/>
  <c r="O73" i="1"/>
  <c r="P73" i="1"/>
  <c r="X73" i="1"/>
  <c r="I74" i="1"/>
  <c r="N74" i="1"/>
  <c r="O74" i="1"/>
  <c r="P74" i="1"/>
  <c r="X74" i="1"/>
  <c r="I75" i="1"/>
  <c r="J75" i="1"/>
  <c r="K75" i="1"/>
  <c r="N75" i="1"/>
  <c r="O75" i="1"/>
  <c r="P75" i="1"/>
  <c r="X75" i="1"/>
  <c r="I76" i="1"/>
  <c r="J76" i="1"/>
  <c r="N76" i="1"/>
  <c r="O76" i="1"/>
  <c r="P76" i="1"/>
  <c r="X76" i="1"/>
  <c r="I77" i="1"/>
  <c r="J77" i="1"/>
  <c r="N77" i="1"/>
  <c r="O77" i="1"/>
  <c r="Q77" i="1" s="1"/>
  <c r="R77" i="1" s="1"/>
  <c r="P77" i="1"/>
  <c r="X77" i="1"/>
  <c r="I78" i="1"/>
  <c r="J78" i="1"/>
  <c r="N78" i="1"/>
  <c r="O78" i="1"/>
  <c r="P78" i="1"/>
  <c r="Q78" i="1" s="1"/>
  <c r="R78" i="1" s="1"/>
  <c r="X78" i="1"/>
  <c r="I79" i="1"/>
  <c r="N79" i="1"/>
  <c r="O79" i="1"/>
  <c r="Q79" i="1" s="1"/>
  <c r="P79" i="1"/>
  <c r="X79" i="1"/>
  <c r="I80" i="1"/>
  <c r="N80" i="1"/>
  <c r="R80" i="1" s="1"/>
  <c r="Y80" i="1" s="1"/>
  <c r="O80" i="1"/>
  <c r="P80" i="1"/>
  <c r="X80" i="1"/>
  <c r="I81" i="1"/>
  <c r="N81" i="1"/>
  <c r="R81" i="1" s="1"/>
  <c r="Y81" i="1" s="1"/>
  <c r="O81" i="1"/>
  <c r="Q81" i="1" s="1"/>
  <c r="P81" i="1"/>
  <c r="X81" i="1"/>
  <c r="I83" i="1"/>
  <c r="N83" i="1"/>
  <c r="O83" i="1"/>
  <c r="P83" i="1"/>
  <c r="X83" i="1"/>
  <c r="I84" i="1"/>
  <c r="N84" i="1"/>
  <c r="O84" i="1"/>
  <c r="P84" i="1"/>
  <c r="X84" i="1"/>
  <c r="I85" i="1"/>
  <c r="J85" i="1"/>
  <c r="N85" i="1"/>
  <c r="O85" i="1"/>
  <c r="P85" i="1"/>
  <c r="Q85" i="1" s="1"/>
  <c r="X85" i="1"/>
  <c r="Y85" i="1" s="1"/>
  <c r="I86" i="1"/>
  <c r="J86" i="1"/>
  <c r="K86" i="1"/>
  <c r="N86" i="1"/>
  <c r="O86" i="1"/>
  <c r="P86" i="1"/>
  <c r="X86" i="1"/>
  <c r="I87" i="1"/>
  <c r="J87" i="1" s="1"/>
  <c r="N87" i="1"/>
  <c r="R87" i="1" s="1"/>
  <c r="Y87" i="1" s="1"/>
  <c r="O87" i="1"/>
  <c r="P87" i="1"/>
  <c r="X87" i="1"/>
  <c r="I88" i="1"/>
  <c r="J88" i="1"/>
  <c r="K88" i="1"/>
  <c r="N88" i="1"/>
  <c r="O88" i="1"/>
  <c r="P88" i="1"/>
  <c r="Q88" i="1" s="1"/>
  <c r="X88" i="1"/>
  <c r="I89" i="1"/>
  <c r="N89" i="1"/>
  <c r="R89" i="1" s="1"/>
  <c r="Y89" i="1" s="1"/>
  <c r="O89" i="1"/>
  <c r="P89" i="1"/>
  <c r="X89" i="1"/>
  <c r="I90" i="1"/>
  <c r="J90" i="1"/>
  <c r="K90" i="1"/>
  <c r="N90" i="1"/>
  <c r="O90" i="1"/>
  <c r="P90" i="1"/>
  <c r="X90" i="1"/>
  <c r="I91" i="1"/>
  <c r="N91" i="1"/>
  <c r="O91" i="1"/>
  <c r="P91" i="1"/>
  <c r="X91" i="1"/>
  <c r="I92" i="1"/>
  <c r="J92" i="1"/>
  <c r="K92" i="1"/>
  <c r="N92" i="1"/>
  <c r="O92" i="1"/>
  <c r="P92" i="1"/>
  <c r="X92" i="1"/>
  <c r="I101" i="1"/>
  <c r="N101" i="1"/>
  <c r="O101" i="1"/>
  <c r="P101" i="1"/>
  <c r="X101" i="1"/>
  <c r="I102" i="1"/>
  <c r="J102" i="1"/>
  <c r="K102" i="1"/>
  <c r="N102" i="1"/>
  <c r="O102" i="1"/>
  <c r="P102" i="1"/>
  <c r="X102" i="1"/>
  <c r="I103" i="1"/>
  <c r="J103" i="1"/>
  <c r="N103" i="1"/>
  <c r="O103" i="1"/>
  <c r="P103" i="1"/>
  <c r="X103" i="1"/>
  <c r="I104" i="1"/>
  <c r="J104" i="1"/>
  <c r="K104" i="1"/>
  <c r="N104" i="1"/>
  <c r="O104" i="1"/>
  <c r="P104" i="1"/>
  <c r="X104" i="1"/>
  <c r="I105" i="1"/>
  <c r="J105" i="1"/>
  <c r="N105" i="1"/>
  <c r="O105" i="1"/>
  <c r="P105" i="1"/>
  <c r="X105" i="1"/>
  <c r="I106" i="1"/>
  <c r="J106" i="1"/>
  <c r="K106" i="1"/>
  <c r="N106" i="1"/>
  <c r="O106" i="1"/>
  <c r="P106" i="1"/>
  <c r="X106" i="1"/>
  <c r="I107" i="1"/>
  <c r="J107" i="1"/>
  <c r="N107" i="1"/>
  <c r="O107" i="1"/>
  <c r="P107" i="1"/>
  <c r="X107" i="1"/>
  <c r="N108" i="1"/>
  <c r="O108" i="1"/>
  <c r="P108" i="1"/>
  <c r="X108" i="1"/>
  <c r="I93" i="1"/>
  <c r="J93" i="1"/>
  <c r="N93" i="1"/>
  <c r="O93" i="1"/>
  <c r="P93" i="1"/>
  <c r="X93" i="1"/>
  <c r="I94" i="1"/>
  <c r="J94" i="1"/>
  <c r="K94" i="1"/>
  <c r="N94" i="1"/>
  <c r="O94" i="1"/>
  <c r="P94" i="1"/>
  <c r="X94" i="1"/>
  <c r="I95" i="1"/>
  <c r="J95" i="1"/>
  <c r="N95" i="1"/>
  <c r="O95" i="1"/>
  <c r="P95" i="1"/>
  <c r="X95" i="1"/>
  <c r="I96" i="1"/>
  <c r="J96" i="1"/>
  <c r="K96" i="1"/>
  <c r="N96" i="1"/>
  <c r="O96" i="1"/>
  <c r="P96" i="1"/>
  <c r="X96" i="1"/>
  <c r="H27" i="1"/>
  <c r="H22" i="1"/>
  <c r="G22" i="1"/>
  <c r="P39" i="1"/>
  <c r="Q47" i="1"/>
  <c r="Q37" i="1"/>
  <c r="Q73" i="1"/>
  <c r="R73" i="1" s="1"/>
  <c r="Q63" i="1"/>
  <c r="J101" i="1"/>
  <c r="J110" i="1"/>
  <c r="I110" i="1"/>
  <c r="G97" i="1"/>
  <c r="G130" i="1" s="1"/>
  <c r="Q108" i="1"/>
  <c r="R108" i="1"/>
  <c r="Y108" i="1"/>
  <c r="R88" i="1"/>
  <c r="Y88" i="1"/>
  <c r="R85" i="1"/>
  <c r="Q102" i="1"/>
  <c r="R102" i="1"/>
  <c r="Y102" i="1"/>
  <c r="Q90" i="1"/>
  <c r="R90" i="1" s="1"/>
  <c r="Y90" i="1" s="1"/>
  <c r="R79" i="1"/>
  <c r="Y79" i="1"/>
  <c r="Q32" i="1"/>
  <c r="Q104" i="1"/>
  <c r="R104" i="1"/>
  <c r="Y104" i="1"/>
  <c r="Q96" i="1"/>
  <c r="R96" i="1"/>
  <c r="Y96" i="1"/>
  <c r="Q106" i="1"/>
  <c r="R106" i="1"/>
  <c r="Y106" i="1"/>
  <c r="Q71" i="1"/>
  <c r="R71" i="1"/>
  <c r="Y71" i="1" s="1"/>
  <c r="R48" i="1"/>
  <c r="Y48" i="1" s="1"/>
  <c r="Q86" i="1"/>
  <c r="Q84" i="1"/>
  <c r="R84" i="1" s="1"/>
  <c r="Y84" i="1" s="1"/>
  <c r="Y77" i="1"/>
  <c r="Q87" i="1"/>
  <c r="Q40" i="1"/>
  <c r="R40" i="1"/>
  <c r="Y40" i="1" s="1"/>
  <c r="I33" i="1"/>
  <c r="J33" i="1"/>
  <c r="K33" i="1"/>
  <c r="Q38" i="1"/>
  <c r="R38" i="1" s="1"/>
  <c r="Y38" i="1"/>
  <c r="Q93" i="1"/>
  <c r="R93" i="1"/>
  <c r="Y93" i="1"/>
  <c r="Q76" i="1"/>
  <c r="R76" i="1"/>
  <c r="Y76" i="1" s="1"/>
  <c r="Q95" i="1"/>
  <c r="R95" i="1"/>
  <c r="Y95" i="1"/>
  <c r="Q94" i="1"/>
  <c r="R94" i="1"/>
  <c r="Y94" i="1"/>
  <c r="Q101" i="1"/>
  <c r="R101" i="1"/>
  <c r="Y101" i="1"/>
  <c r="Q92" i="1"/>
  <c r="R92" i="1"/>
  <c r="Y92" i="1" s="1"/>
  <c r="Q75" i="1"/>
  <c r="R75" i="1" s="1"/>
  <c r="Y75" i="1" s="1"/>
  <c r="Q62" i="1"/>
  <c r="R62" i="1"/>
  <c r="Q55" i="1"/>
  <c r="Q70" i="1"/>
  <c r="Q67" i="1"/>
  <c r="R67" i="1"/>
  <c r="Y67" i="1" s="1"/>
  <c r="Q60" i="1"/>
  <c r="R60" i="1"/>
  <c r="R59" i="1"/>
  <c r="Y59" i="1" s="1"/>
  <c r="Q57" i="1"/>
  <c r="Y57" i="1"/>
  <c r="Q54" i="1"/>
  <c r="R54" i="1" s="1"/>
  <c r="Y54" i="1" s="1"/>
  <c r="Q52" i="1"/>
  <c r="Y52" i="1"/>
  <c r="Q49" i="1"/>
  <c r="Q46" i="1"/>
  <c r="Q44" i="1"/>
  <c r="R44" i="1"/>
  <c r="Y44" i="1" s="1"/>
  <c r="Q41" i="1"/>
  <c r="Q107" i="1"/>
  <c r="R107" i="1"/>
  <c r="Y107" i="1"/>
  <c r="Q89" i="1"/>
  <c r="Q83" i="1"/>
  <c r="R83" i="1"/>
  <c r="Q80" i="1"/>
  <c r="Q72" i="1"/>
  <c r="Q66" i="1"/>
  <c r="R66" i="1" s="1"/>
  <c r="Y66" i="1" s="1"/>
  <c r="Q64" i="1"/>
  <c r="R64" i="1"/>
  <c r="Y64" i="1"/>
  <c r="R56" i="1"/>
  <c r="K50" i="1"/>
  <c r="Q105" i="1"/>
  <c r="R105" i="1"/>
  <c r="Y105" i="1"/>
  <c r="Q103" i="1"/>
  <c r="R103" i="1"/>
  <c r="Y103" i="1"/>
  <c r="K85" i="1"/>
  <c r="K76" i="1"/>
  <c r="K60" i="1"/>
  <c r="K54" i="1"/>
  <c r="K48" i="1"/>
  <c r="R47" i="1"/>
  <c r="Y47" i="1" s="1"/>
  <c r="J91" i="1"/>
  <c r="K91" i="1"/>
  <c r="J89" i="1"/>
  <c r="K89" i="1" s="1"/>
  <c r="J83" i="1"/>
  <c r="J80" i="1"/>
  <c r="J74" i="1"/>
  <c r="K74" i="1"/>
  <c r="J72" i="1"/>
  <c r="K72" i="1" s="1"/>
  <c r="J64" i="1"/>
  <c r="K52" i="1"/>
  <c r="K44" i="1"/>
  <c r="Q36" i="1"/>
  <c r="Q34" i="1"/>
  <c r="Q31" i="1"/>
  <c r="R31" i="1" s="1"/>
  <c r="Y31" i="1"/>
  <c r="K95" i="1"/>
  <c r="K107" i="1"/>
  <c r="K103" i="1"/>
  <c r="K93" i="1"/>
  <c r="K105" i="1"/>
  <c r="K40" i="1"/>
  <c r="K38" i="1"/>
  <c r="K34" i="1"/>
  <c r="K32" i="1"/>
  <c r="H15" i="1"/>
  <c r="H97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P9" i="1"/>
  <c r="P10" i="1"/>
  <c r="P11" i="1"/>
  <c r="P12" i="1"/>
  <c r="Q12" i="1" s="1"/>
  <c r="P13" i="1"/>
  <c r="P14" i="1"/>
  <c r="P15" i="1"/>
  <c r="P16" i="1"/>
  <c r="P17" i="1"/>
  <c r="Q17" i="1" s="1"/>
  <c r="P18" i="1"/>
  <c r="P19" i="1"/>
  <c r="P20" i="1"/>
  <c r="P21" i="1"/>
  <c r="P22" i="1"/>
  <c r="P23" i="1"/>
  <c r="P24" i="1"/>
  <c r="P25" i="1"/>
  <c r="Q25" i="1" s="1"/>
  <c r="P26" i="1"/>
  <c r="P27" i="1"/>
  <c r="P28" i="1"/>
  <c r="P29" i="1"/>
  <c r="Q29" i="1" s="1"/>
  <c r="P30" i="1"/>
  <c r="O9" i="1"/>
  <c r="O10" i="1"/>
  <c r="O11" i="1"/>
  <c r="Q11" i="1" s="1"/>
  <c r="R11" i="1" s="1"/>
  <c r="O12" i="1"/>
  <c r="O13" i="1"/>
  <c r="O14" i="1"/>
  <c r="O15" i="1"/>
  <c r="Q15" i="1" s="1"/>
  <c r="R15" i="1" s="1"/>
  <c r="O16" i="1"/>
  <c r="Q16" i="1" s="1"/>
  <c r="O17" i="1"/>
  <c r="O18" i="1"/>
  <c r="Q18" i="1" s="1"/>
  <c r="O19" i="1"/>
  <c r="Q19" i="1" s="1"/>
  <c r="R19" i="1" s="1"/>
  <c r="Y19" i="1" s="1"/>
  <c r="O20" i="1"/>
  <c r="Q20" i="1" s="1"/>
  <c r="O21" i="1"/>
  <c r="O22" i="1"/>
  <c r="O23" i="1"/>
  <c r="Q23" i="1" s="1"/>
  <c r="R23" i="1" s="1"/>
  <c r="Y23" i="1" s="1"/>
  <c r="O24" i="1"/>
  <c r="O25" i="1"/>
  <c r="O26" i="1"/>
  <c r="Q26" i="1" s="1"/>
  <c r="O27" i="1"/>
  <c r="O28" i="1"/>
  <c r="O29" i="1"/>
  <c r="O30" i="1"/>
  <c r="N9" i="1"/>
  <c r="N10" i="1"/>
  <c r="N11" i="1"/>
  <c r="N12" i="1"/>
  <c r="N13" i="1"/>
  <c r="N14" i="1"/>
  <c r="N15" i="1"/>
  <c r="N16" i="1"/>
  <c r="N17" i="1"/>
  <c r="R17" i="1" s="1"/>
  <c r="Y17" i="1" s="1"/>
  <c r="N18" i="1"/>
  <c r="N19" i="1"/>
  <c r="N20" i="1"/>
  <c r="N21" i="1"/>
  <c r="R21" i="1" s="1"/>
  <c r="N22" i="1"/>
  <c r="N23" i="1"/>
  <c r="N24" i="1"/>
  <c r="N25" i="1"/>
  <c r="R25" i="1" s="1"/>
  <c r="Y25" i="1" s="1"/>
  <c r="N26" i="1"/>
  <c r="N27" i="1"/>
  <c r="N28" i="1"/>
  <c r="N29" i="1"/>
  <c r="N30" i="1"/>
  <c r="I131" i="1"/>
  <c r="J131" i="1"/>
  <c r="H130" i="1"/>
  <c r="B21" i="3" s="1"/>
  <c r="K101" i="1"/>
  <c r="K110" i="1"/>
  <c r="Q28" i="1"/>
  <c r="R20" i="1"/>
  <c r="Y20" i="1"/>
  <c r="Q21" i="1"/>
  <c r="Y21" i="1"/>
  <c r="Q27" i="1"/>
  <c r="R27" i="1"/>
  <c r="Y27" i="1" s="1"/>
  <c r="Q13" i="1"/>
  <c r="R26" i="1"/>
  <c r="Y26" i="1" s="1"/>
  <c r="Q22" i="1"/>
  <c r="R22" i="1" s="1"/>
  <c r="Q30" i="1"/>
  <c r="R30" i="1" s="1"/>
  <c r="Y30" i="1" s="1"/>
  <c r="R29" i="1"/>
  <c r="Y29" i="1"/>
  <c r="R16" i="1"/>
  <c r="Y16" i="1"/>
  <c r="Y15" i="1"/>
  <c r="Q9" i="1"/>
  <c r="Q14" i="1"/>
  <c r="R14" i="1"/>
  <c r="Y14" i="1" s="1"/>
  <c r="R12" i="1"/>
  <c r="Y12" i="1"/>
  <c r="Y11" i="1"/>
  <c r="Q10" i="1"/>
  <c r="R10" i="1" s="1"/>
  <c r="Y10" i="1" s="1"/>
  <c r="I9" i="1"/>
  <c r="J9" i="1"/>
  <c r="I10" i="1"/>
  <c r="J10" i="1" s="1"/>
  <c r="K10" i="1" s="1"/>
  <c r="I11" i="1"/>
  <c r="J11" i="1" s="1"/>
  <c r="I12" i="1"/>
  <c r="J12" i="1" s="1"/>
  <c r="K12" i="1"/>
  <c r="I13" i="1"/>
  <c r="J13" i="1" s="1"/>
  <c r="I14" i="1"/>
  <c r="I15" i="1"/>
  <c r="J15" i="1"/>
  <c r="K15" i="1" s="1"/>
  <c r="I16" i="1"/>
  <c r="I17" i="1"/>
  <c r="J17" i="1" s="1"/>
  <c r="I18" i="1"/>
  <c r="J18" i="1"/>
  <c r="I19" i="1"/>
  <c r="I20" i="1"/>
  <c r="I21" i="1"/>
  <c r="J21" i="1"/>
  <c r="I22" i="1"/>
  <c r="J22" i="1" s="1"/>
  <c r="K22" i="1" s="1"/>
  <c r="I23" i="1"/>
  <c r="J23" i="1" s="1"/>
  <c r="I24" i="1"/>
  <c r="I25" i="1"/>
  <c r="J25" i="1" s="1"/>
  <c r="I26" i="1"/>
  <c r="J26" i="1" s="1"/>
  <c r="I27" i="1"/>
  <c r="J27" i="1" s="1"/>
  <c r="K27" i="1" s="1"/>
  <c r="I28" i="1"/>
  <c r="J28" i="1" s="1"/>
  <c r="I29" i="1"/>
  <c r="J29" i="1" s="1"/>
  <c r="I30" i="1"/>
  <c r="J30" i="1"/>
  <c r="K30" i="1" s="1"/>
  <c r="I6" i="1"/>
  <c r="J6" i="1" s="1"/>
  <c r="N6" i="1"/>
  <c r="O6" i="1"/>
  <c r="P6" i="1"/>
  <c r="X6" i="1"/>
  <c r="I7" i="1"/>
  <c r="N7" i="1"/>
  <c r="O7" i="1"/>
  <c r="P7" i="1"/>
  <c r="X7" i="1"/>
  <c r="I8" i="1"/>
  <c r="J8" i="1"/>
  <c r="N8" i="1"/>
  <c r="O8" i="1"/>
  <c r="P8" i="1"/>
  <c r="X8" i="1"/>
  <c r="K131" i="1"/>
  <c r="I97" i="1"/>
  <c r="Q6" i="1"/>
  <c r="R6" i="1"/>
  <c r="Y6" i="1"/>
  <c r="K23" i="1"/>
  <c r="J19" i="1"/>
  <c r="K19" i="1" s="1"/>
  <c r="K25" i="1"/>
  <c r="J20" i="1"/>
  <c r="K20" i="1"/>
  <c r="K9" i="1"/>
  <c r="J14" i="1"/>
  <c r="K14" i="1" s="1"/>
  <c r="Q7" i="1"/>
  <c r="R7" i="1"/>
  <c r="J7" i="1"/>
  <c r="K7" i="1" s="1"/>
  <c r="Y7" i="1"/>
  <c r="B37" i="3" l="1"/>
  <c r="B40" i="3" s="1"/>
  <c r="M133" i="1"/>
  <c r="L133" i="1"/>
  <c r="B24" i="3"/>
  <c r="H133" i="1"/>
  <c r="G133" i="1"/>
  <c r="B13" i="3"/>
  <c r="B16" i="3" s="1"/>
  <c r="J16" i="1"/>
  <c r="K16" i="1"/>
  <c r="J47" i="1"/>
  <c r="K47" i="1" s="1"/>
  <c r="N97" i="1"/>
  <c r="N130" i="1" s="1"/>
  <c r="J35" i="1"/>
  <c r="K35" i="1" s="1"/>
  <c r="I130" i="1"/>
  <c r="K11" i="1"/>
  <c r="K26" i="1"/>
  <c r="K28" i="1"/>
  <c r="J24" i="1"/>
  <c r="K24" i="1"/>
  <c r="K18" i="1"/>
  <c r="R13" i="1"/>
  <c r="Y13" i="1" s="1"/>
  <c r="R9" i="1"/>
  <c r="Y9" i="1" s="1"/>
  <c r="K83" i="1"/>
  <c r="J66" i="1"/>
  <c r="K66" i="1" s="1"/>
  <c r="J37" i="1"/>
  <c r="K37" i="1"/>
  <c r="R36" i="1"/>
  <c r="Y36" i="1" s="1"/>
  <c r="K29" i="1"/>
  <c r="J53" i="1"/>
  <c r="K53" i="1" s="1"/>
  <c r="R33" i="1"/>
  <c r="Y33" i="1" s="1"/>
  <c r="K21" i="1"/>
  <c r="J97" i="1"/>
  <c r="J130" i="1" s="1"/>
  <c r="J133" i="1" s="1"/>
  <c r="K6" i="1"/>
  <c r="K13" i="1"/>
  <c r="O97" i="1"/>
  <c r="P97" i="1"/>
  <c r="P130" i="1" s="1"/>
  <c r="Q8" i="1"/>
  <c r="R8" i="1" s="1"/>
  <c r="K8" i="1"/>
  <c r="R28" i="1"/>
  <c r="Y28" i="1" s="1"/>
  <c r="Y22" i="1"/>
  <c r="Y83" i="1"/>
  <c r="Y78" i="1"/>
  <c r="R55" i="1"/>
  <c r="Y55" i="1" s="1"/>
  <c r="J45" i="1"/>
  <c r="K45" i="1" s="1"/>
  <c r="Y62" i="1"/>
  <c r="R86" i="1"/>
  <c r="Y86" i="1" s="1"/>
  <c r="J81" i="1"/>
  <c r="K81" i="1"/>
  <c r="K78" i="1"/>
  <c r="J65" i="1"/>
  <c r="K65" i="1"/>
  <c r="Q53" i="1"/>
  <c r="R53" i="1" s="1"/>
  <c r="Y53" i="1" s="1"/>
  <c r="Q35" i="1"/>
  <c r="R35" i="1" s="1"/>
  <c r="Y35" i="1" s="1"/>
  <c r="K17" i="1"/>
  <c r="K87" i="1"/>
  <c r="K80" i="1"/>
  <c r="Y73" i="1"/>
  <c r="K64" i="1"/>
  <c r="R63" i="1"/>
  <c r="Y63" i="1" s="1"/>
  <c r="R49" i="1"/>
  <c r="Y49" i="1" s="1"/>
  <c r="J42" i="1"/>
  <c r="K42" i="1" s="1"/>
  <c r="R41" i="1"/>
  <c r="Y41" i="1" s="1"/>
  <c r="N55" i="3"/>
  <c r="R61" i="1"/>
  <c r="Y61" i="1" s="1"/>
  <c r="Q45" i="1"/>
  <c r="R45" i="1" s="1"/>
  <c r="Y45" i="1" s="1"/>
  <c r="R18" i="1"/>
  <c r="Y18" i="1" s="1"/>
  <c r="Q24" i="1"/>
  <c r="R24" i="1" s="1"/>
  <c r="Y24" i="1" s="1"/>
  <c r="K58" i="1"/>
  <c r="K70" i="1"/>
  <c r="Q91" i="1"/>
  <c r="R91" i="1" s="1"/>
  <c r="Y91" i="1" s="1"/>
  <c r="J84" i="1"/>
  <c r="K84" i="1"/>
  <c r="J79" i="1"/>
  <c r="K79" i="1"/>
  <c r="K77" i="1"/>
  <c r="Q74" i="1"/>
  <c r="R74" i="1" s="1"/>
  <c r="Y74" i="1" s="1"/>
  <c r="Q68" i="1"/>
  <c r="R68" i="1" s="1"/>
  <c r="Y68" i="1" s="1"/>
  <c r="J67" i="1"/>
  <c r="K67" i="1"/>
  <c r="J63" i="1"/>
  <c r="K63" i="1" s="1"/>
  <c r="K61" i="1"/>
  <c r="Q58" i="1"/>
  <c r="R58" i="1" s="1"/>
  <c r="Y58" i="1" s="1"/>
  <c r="R37" i="1"/>
  <c r="Y37" i="1" s="1"/>
  <c r="K39" i="1"/>
  <c r="N39" i="3"/>
  <c r="U6" i="3" s="1"/>
  <c r="X97" i="1"/>
  <c r="T6" i="4"/>
  <c r="K97" i="2"/>
  <c r="Q9" i="2"/>
  <c r="R9" i="2" s="1"/>
  <c r="Y9" i="2" s="1"/>
  <c r="Q10" i="2"/>
  <c r="R10" i="2" s="1"/>
  <c r="Y10" i="2" s="1"/>
  <c r="R11" i="2"/>
  <c r="Q32" i="2"/>
  <c r="Q33" i="2"/>
  <c r="R33" i="2" s="1"/>
  <c r="Y33" i="2" s="1"/>
  <c r="R37" i="2"/>
  <c r="Y37" i="2" s="1"/>
  <c r="R39" i="2"/>
  <c r="Y39" i="2" s="1"/>
  <c r="R43" i="2"/>
  <c r="Y43" i="2" s="1"/>
  <c r="Q64" i="2"/>
  <c r="R64" i="2" s="1"/>
  <c r="Y64" i="2" s="1"/>
  <c r="Q65" i="2"/>
  <c r="R65" i="2" s="1"/>
  <c r="Y65" i="2" s="1"/>
  <c r="Q66" i="2"/>
  <c r="R73" i="2"/>
  <c r="Y73" i="2" s="1"/>
  <c r="Y103" i="2"/>
  <c r="Q59" i="2"/>
  <c r="R59" i="2" s="1"/>
  <c r="Y59" i="2" s="1"/>
  <c r="R102" i="2"/>
  <c r="Y102" i="2" s="1"/>
  <c r="I43" i="2"/>
  <c r="J43" i="2" s="1"/>
  <c r="H110" i="2"/>
  <c r="C22" i="3" s="1"/>
  <c r="N22" i="3" s="1"/>
  <c r="S5" i="3" s="1"/>
  <c r="Y75" i="2"/>
  <c r="Q67" i="2"/>
  <c r="K41" i="2"/>
  <c r="K28" i="2"/>
  <c r="Y16" i="2"/>
  <c r="Y40" i="2"/>
  <c r="R45" i="2"/>
  <c r="Y45" i="2" s="1"/>
  <c r="Q7" i="2"/>
  <c r="R7" i="2" s="1"/>
  <c r="Y7" i="2" s="1"/>
  <c r="N76" i="2"/>
  <c r="N109" i="2" s="1"/>
  <c r="C45" i="3" s="1"/>
  <c r="K9" i="2"/>
  <c r="Q46" i="2"/>
  <c r="R46" i="2" s="1"/>
  <c r="Y46" i="2" s="1"/>
  <c r="Q47" i="2"/>
  <c r="R47" i="2" s="1"/>
  <c r="Y47" i="2" s="1"/>
  <c r="R49" i="2"/>
  <c r="Y49" i="2" s="1"/>
  <c r="Q52" i="2"/>
  <c r="Q58" i="2"/>
  <c r="R58" i="2" s="1"/>
  <c r="Y58" i="2" s="1"/>
  <c r="Q83" i="2"/>
  <c r="R83" i="2" s="1"/>
  <c r="Y83" i="2" s="1"/>
  <c r="Q100" i="2"/>
  <c r="R100" i="2" s="1"/>
  <c r="Y100" i="2" s="1"/>
  <c r="Q101" i="2"/>
  <c r="R101" i="2" s="1"/>
  <c r="Y101" i="2" s="1"/>
  <c r="I80" i="2"/>
  <c r="J80" i="2" s="1"/>
  <c r="C29" i="3"/>
  <c r="N29" i="3" s="1"/>
  <c r="T4" i="3" s="1"/>
  <c r="L112" i="2"/>
  <c r="R14" i="2"/>
  <c r="Y14" i="2" s="1"/>
  <c r="Q19" i="2"/>
  <c r="R19" i="2" s="1"/>
  <c r="Y19" i="2" s="1"/>
  <c r="Q84" i="2"/>
  <c r="R18" i="2"/>
  <c r="Y18" i="2" s="1"/>
  <c r="R41" i="2"/>
  <c r="Y41" i="2" s="1"/>
  <c r="R51" i="2"/>
  <c r="Y51" i="2" s="1"/>
  <c r="R52" i="2"/>
  <c r="Y52" i="2" s="1"/>
  <c r="Q57" i="2"/>
  <c r="R60" i="2"/>
  <c r="Y60" i="2" s="1"/>
  <c r="Q62" i="2"/>
  <c r="R62" i="2" s="1"/>
  <c r="Y62" i="2" s="1"/>
  <c r="Q70" i="2"/>
  <c r="R70" i="2" s="1"/>
  <c r="Y70" i="2" s="1"/>
  <c r="P93" i="2"/>
  <c r="K70" i="2"/>
  <c r="K67" i="2"/>
  <c r="R32" i="2"/>
  <c r="Y32" i="2" s="1"/>
  <c r="K93" i="2"/>
  <c r="G76" i="2"/>
  <c r="G109" i="2" s="1"/>
  <c r="N89" i="2"/>
  <c r="N110" i="2" s="1"/>
  <c r="C46" i="3" s="1"/>
  <c r="N46" i="3" s="1"/>
  <c r="Y15" i="2"/>
  <c r="R56" i="2"/>
  <c r="Y56" i="2" s="1"/>
  <c r="Q17" i="2"/>
  <c r="Q23" i="2"/>
  <c r="R23" i="2" s="1"/>
  <c r="Y23" i="2" s="1"/>
  <c r="R24" i="2"/>
  <c r="Y24" i="2" s="1"/>
  <c r="R29" i="2"/>
  <c r="Y29" i="2" s="1"/>
  <c r="Q30" i="2"/>
  <c r="R30" i="2" s="1"/>
  <c r="Y30" i="2" s="1"/>
  <c r="R36" i="2"/>
  <c r="Y36" i="2" s="1"/>
  <c r="Q38" i="2"/>
  <c r="Q42" i="2"/>
  <c r="R42" i="2" s="1"/>
  <c r="Y42" i="2" s="1"/>
  <c r="Q44" i="2"/>
  <c r="R44" i="2" s="1"/>
  <c r="Y44" i="2" s="1"/>
  <c r="Q50" i="2"/>
  <c r="R50" i="2" s="1"/>
  <c r="Y50" i="2" s="1"/>
  <c r="R66" i="2"/>
  <c r="Y66" i="2" s="1"/>
  <c r="R67" i="2"/>
  <c r="Y67" i="2" s="1"/>
  <c r="R72" i="2"/>
  <c r="Y72" i="2" s="1"/>
  <c r="Q88" i="2"/>
  <c r="R88" i="2" s="1"/>
  <c r="Y88" i="2" s="1"/>
  <c r="Q99" i="2"/>
  <c r="R99" i="2" s="1"/>
  <c r="Y99" i="2" s="1"/>
  <c r="T5" i="3"/>
  <c r="G110" i="2"/>
  <c r="C14" i="3" s="1"/>
  <c r="N14" i="3" s="1"/>
  <c r="R5" i="3" s="1"/>
  <c r="Y20" i="2"/>
  <c r="R63" i="2"/>
  <c r="Y63" i="2" s="1"/>
  <c r="H104" i="2"/>
  <c r="H111" i="2" s="1"/>
  <c r="C23" i="3" s="1"/>
  <c r="N23" i="3" s="1"/>
  <c r="S6" i="3" s="1"/>
  <c r="K99" i="2"/>
  <c r="Q94" i="2"/>
  <c r="R94" i="2" s="1"/>
  <c r="Y94" i="2" s="1"/>
  <c r="K35" i="2"/>
  <c r="J14" i="2"/>
  <c r="K14" i="2" s="1"/>
  <c r="Q21" i="2"/>
  <c r="Q26" i="2"/>
  <c r="R26" i="2" s="1"/>
  <c r="Y26" i="2" s="1"/>
  <c r="Q27" i="2"/>
  <c r="R27" i="2" s="1"/>
  <c r="Y27" i="2" s="1"/>
  <c r="Q28" i="2"/>
  <c r="R28" i="2" s="1"/>
  <c r="Y28" i="2" s="1"/>
  <c r="Q35" i="2"/>
  <c r="R35" i="2" s="1"/>
  <c r="Y35" i="2" s="1"/>
  <c r="K38" i="2"/>
  <c r="Q53" i="2"/>
  <c r="R53" i="2" s="1"/>
  <c r="Y53" i="2" s="1"/>
  <c r="Q54" i="2"/>
  <c r="R57" i="2"/>
  <c r="Y57" i="2" s="1"/>
  <c r="Q61" i="2"/>
  <c r="R61" i="2" s="1"/>
  <c r="Y61" i="2" s="1"/>
  <c r="P68" i="2"/>
  <c r="Q68" i="2" s="1"/>
  <c r="R68" i="2" s="1"/>
  <c r="Y68" i="2" s="1"/>
  <c r="Q80" i="2"/>
  <c r="R80" i="2" s="1"/>
  <c r="Y80" i="2" s="1"/>
  <c r="Q82" i="2"/>
  <c r="R84" i="2"/>
  <c r="Y84" i="2" s="1"/>
  <c r="Q85" i="2"/>
  <c r="R85" i="2" s="1"/>
  <c r="Y85" i="2" s="1"/>
  <c r="Q95" i="2"/>
  <c r="R95" i="2" s="1"/>
  <c r="Y95" i="2" s="1"/>
  <c r="P96" i="2"/>
  <c r="Q97" i="2"/>
  <c r="R97" i="2" s="1"/>
  <c r="Y97" i="2" s="1"/>
  <c r="R98" i="2"/>
  <c r="Y98" i="2" s="1"/>
  <c r="I19" i="2"/>
  <c r="I95" i="2"/>
  <c r="C37" i="3"/>
  <c r="M112" i="2"/>
  <c r="C13" i="3"/>
  <c r="Y6" i="2"/>
  <c r="R17" i="2"/>
  <c r="Y17" i="2" s="1"/>
  <c r="R8" i="2"/>
  <c r="Y8" i="2" s="1"/>
  <c r="I12" i="2"/>
  <c r="P12" i="2"/>
  <c r="Q12" i="2" s="1"/>
  <c r="R12" i="2" s="1"/>
  <c r="Y12" i="2" s="1"/>
  <c r="K31" i="2"/>
  <c r="J15" i="2"/>
  <c r="K15" i="2" s="1"/>
  <c r="K85" i="2"/>
  <c r="K68" i="2"/>
  <c r="X109" i="2"/>
  <c r="X112" i="2" s="1"/>
  <c r="K75" i="2"/>
  <c r="K47" i="2"/>
  <c r="I89" i="2"/>
  <c r="I110" i="2" s="1"/>
  <c r="C6" i="3" s="1"/>
  <c r="N6" i="3" s="1"/>
  <c r="Q5" i="3" s="1"/>
  <c r="J82" i="2"/>
  <c r="K82" i="2" s="1"/>
  <c r="J52" i="2"/>
  <c r="K52" i="2" s="1"/>
  <c r="K84" i="2"/>
  <c r="K56" i="2"/>
  <c r="J23" i="2"/>
  <c r="K23" i="2" s="1"/>
  <c r="K10" i="2"/>
  <c r="Q89" i="2"/>
  <c r="Q110" i="2" s="1"/>
  <c r="C71" i="3" s="1"/>
  <c r="N71" i="3" s="1"/>
  <c r="J27" i="2"/>
  <c r="K27" i="2" s="1"/>
  <c r="H76" i="2"/>
  <c r="H109" i="2" s="1"/>
  <c r="Y11" i="2"/>
  <c r="R13" i="2"/>
  <c r="Y13" i="2" s="1"/>
  <c r="K26" i="2"/>
  <c r="K36" i="2"/>
  <c r="R38" i="2"/>
  <c r="Y38" i="2" s="1"/>
  <c r="J40" i="2"/>
  <c r="K40" i="2" s="1"/>
  <c r="R54" i="2"/>
  <c r="Y54" i="2" s="1"/>
  <c r="K55" i="2"/>
  <c r="J60" i="2"/>
  <c r="K60" i="2" s="1"/>
  <c r="J71" i="2"/>
  <c r="K71" i="2" s="1"/>
  <c r="R82" i="2"/>
  <c r="Y82" i="2" s="1"/>
  <c r="N111" i="2"/>
  <c r="C47" i="3" s="1"/>
  <c r="N47" i="3" s="1"/>
  <c r="K66" i="2"/>
  <c r="K58" i="2"/>
  <c r="K25" i="2"/>
  <c r="K103" i="2"/>
  <c r="J64" i="2"/>
  <c r="K64" i="2" s="1"/>
  <c r="K30" i="2"/>
  <c r="J59" i="2"/>
  <c r="K59" i="2" s="1"/>
  <c r="N104" i="2"/>
  <c r="K48" i="2"/>
  <c r="J32" i="2"/>
  <c r="K32" i="2" s="1"/>
  <c r="O76" i="2"/>
  <c r="K18" i="2"/>
  <c r="R21" i="2"/>
  <c r="Y21" i="2" s="1"/>
  <c r="Q31" i="2"/>
  <c r="R31" i="2" s="1"/>
  <c r="Y31" i="2" s="1"/>
  <c r="K43" i="2"/>
  <c r="J51" i="2"/>
  <c r="K51" i="2" s="1"/>
  <c r="R55" i="2"/>
  <c r="Y55" i="2" s="1"/>
  <c r="Q69" i="2"/>
  <c r="R69" i="2" s="1"/>
  <c r="Y69" i="2" s="1"/>
  <c r="Q81" i="2"/>
  <c r="R81" i="2" s="1"/>
  <c r="Y81" i="2" s="1"/>
  <c r="R87" i="2"/>
  <c r="Y87" i="2" s="1"/>
  <c r="J96" i="2"/>
  <c r="K74" i="2"/>
  <c r="K98" i="2"/>
  <c r="I104" i="2"/>
  <c r="K42" i="2"/>
  <c r="K17" i="2"/>
  <c r="R34" i="2"/>
  <c r="Y34" i="2" s="1"/>
  <c r="R74" i="2"/>
  <c r="Y74" i="2" s="1"/>
  <c r="Q93" i="2"/>
  <c r="R93" i="2" s="1"/>
  <c r="Y93" i="2" s="1"/>
  <c r="K7" i="2"/>
  <c r="AA15" i="4"/>
  <c r="AA14" i="4"/>
  <c r="AA13" i="4"/>
  <c r="AA11" i="4"/>
  <c r="AA5" i="4"/>
  <c r="AA6" i="4"/>
  <c r="T19" i="4"/>
  <c r="AA19" i="4" s="1"/>
  <c r="M5" i="4"/>
  <c r="K167" i="4"/>
  <c r="S207" i="4"/>
  <c r="S210" i="4" s="1"/>
  <c r="P167" i="4"/>
  <c r="P207" i="4" s="1"/>
  <c r="P210" i="4" s="1"/>
  <c r="T16" i="4"/>
  <c r="AA16" i="4" s="1"/>
  <c r="T7" i="4"/>
  <c r="AA7" i="4" s="1"/>
  <c r="AA8" i="4"/>
  <c r="R207" i="4"/>
  <c r="R210" i="4" s="1"/>
  <c r="Z167" i="4"/>
  <c r="Z207" i="4" s="1"/>
  <c r="Z210" i="4" s="1"/>
  <c r="O130" i="1" l="1"/>
  <c r="Q97" i="1"/>
  <c r="Q130" i="1" s="1"/>
  <c r="R97" i="1"/>
  <c r="R130" i="1" s="1"/>
  <c r="R133" i="1" s="1"/>
  <c r="Y8" i="1"/>
  <c r="N133" i="1"/>
  <c r="B45" i="3"/>
  <c r="B61" i="3"/>
  <c r="B64" i="3" s="1"/>
  <c r="P133" i="1"/>
  <c r="B5" i="3"/>
  <c r="B8" i="3" s="1"/>
  <c r="I133" i="1"/>
  <c r="K97" i="1"/>
  <c r="K130" i="1" s="1"/>
  <c r="K133" i="1" s="1"/>
  <c r="X130" i="1"/>
  <c r="C32" i="3"/>
  <c r="N32" i="3" s="1"/>
  <c r="T7" i="3" s="1"/>
  <c r="R89" i="2"/>
  <c r="N112" i="2"/>
  <c r="G112" i="2"/>
  <c r="J19" i="2"/>
  <c r="K19" i="2" s="1"/>
  <c r="I111" i="2"/>
  <c r="P76" i="2"/>
  <c r="P109" i="2" s="1"/>
  <c r="C48" i="3"/>
  <c r="I76" i="2"/>
  <c r="I109" i="2" s="1"/>
  <c r="J95" i="2"/>
  <c r="J104" i="2" s="1"/>
  <c r="K104" i="2" s="1"/>
  <c r="Q96" i="2"/>
  <c r="R96" i="2" s="1"/>
  <c r="Y96" i="2" s="1"/>
  <c r="P104" i="2"/>
  <c r="J76" i="2"/>
  <c r="J109" i="2" s="1"/>
  <c r="K96" i="2"/>
  <c r="C21" i="3"/>
  <c r="H112" i="2"/>
  <c r="O109" i="2"/>
  <c r="C7" i="3"/>
  <c r="N7" i="3" s="1"/>
  <c r="Q6" i="3" s="1"/>
  <c r="J111" i="2"/>
  <c r="R110" i="2"/>
  <c r="Y110" i="2" s="1"/>
  <c r="Y89" i="2"/>
  <c r="R76" i="2"/>
  <c r="J89" i="2"/>
  <c r="J110" i="2" s="1"/>
  <c r="K80" i="2"/>
  <c r="K89" i="2" s="1"/>
  <c r="K110" i="2" s="1"/>
  <c r="J12" i="2"/>
  <c r="K12" i="2" s="1"/>
  <c r="C16" i="3"/>
  <c r="N16" i="3" s="1"/>
  <c r="N13" i="3"/>
  <c r="R4" i="3" s="1"/>
  <c r="R7" i="3" s="1"/>
  <c r="N37" i="3"/>
  <c r="U4" i="3" s="1"/>
  <c r="C40" i="3"/>
  <c r="N40" i="3" s="1"/>
  <c r="U7" i="3" s="1"/>
  <c r="T207" i="4"/>
  <c r="T210" i="4" s="1"/>
  <c r="L167" i="4"/>
  <c r="M167" i="4" s="1"/>
  <c r="K238" i="4"/>
  <c r="K240" i="4" s="1"/>
  <c r="AA167" i="4"/>
  <c r="AA207" i="4"/>
  <c r="AA210" i="4" s="1"/>
  <c r="B48" i="3" l="1"/>
  <c r="N45" i="3"/>
  <c r="Q133" i="1"/>
  <c r="B70" i="3"/>
  <c r="B73" i="3" s="1"/>
  <c r="N48" i="3"/>
  <c r="Y97" i="1"/>
  <c r="B53" i="3"/>
  <c r="B56" i="3" s="1"/>
  <c r="O133" i="1"/>
  <c r="X133" i="1"/>
  <c r="Y130" i="1"/>
  <c r="Y133" i="1" s="1"/>
  <c r="K111" i="2"/>
  <c r="C61" i="3"/>
  <c r="K95" i="2"/>
  <c r="Q76" i="2"/>
  <c r="Q109" i="2" s="1"/>
  <c r="K76" i="2"/>
  <c r="K109" i="2" s="1"/>
  <c r="K112" i="2" s="1"/>
  <c r="P111" i="2"/>
  <c r="Q104" i="2"/>
  <c r="C53" i="3"/>
  <c r="O112" i="2"/>
  <c r="I112" i="2"/>
  <c r="C5" i="3"/>
  <c r="R109" i="2"/>
  <c r="Y76" i="2"/>
  <c r="N21" i="3"/>
  <c r="S4" i="3" s="1"/>
  <c r="S7" i="3" s="1"/>
  <c r="C24" i="3"/>
  <c r="N24" i="3" s="1"/>
  <c r="J112" i="2"/>
  <c r="N61" i="3"/>
  <c r="K243" i="4"/>
  <c r="K244" i="4" s="1"/>
  <c r="K245" i="4" s="1"/>
  <c r="K246" i="4" s="1"/>
  <c r="Q111" i="2" l="1"/>
  <c r="R104" i="2"/>
  <c r="C70" i="3"/>
  <c r="N70" i="3" s="1"/>
  <c r="C63" i="3"/>
  <c r="P112" i="2"/>
  <c r="N5" i="3"/>
  <c r="Q4" i="3" s="1"/>
  <c r="Q7" i="3" s="1"/>
  <c r="C8" i="3"/>
  <c r="N8" i="3" s="1"/>
  <c r="Y109" i="2"/>
  <c r="N53" i="3"/>
  <c r="C56" i="3"/>
  <c r="N56" i="3" s="1"/>
  <c r="Y104" i="2" l="1"/>
  <c r="R111" i="2"/>
  <c r="C72" i="3"/>
  <c r="N63" i="3"/>
  <c r="C64" i="3"/>
  <c r="N64" i="3" s="1"/>
  <c r="Q112" i="2"/>
  <c r="N72" i="3" l="1"/>
  <c r="C73" i="3"/>
  <c r="N73" i="3" s="1"/>
  <c r="Y111" i="2"/>
  <c r="Y112" i="2" s="1"/>
  <c r="R112" i="2"/>
</calcChain>
</file>

<file path=xl/comments1.xml><?xml version="1.0" encoding="utf-8"?>
<comments xmlns="http://schemas.openxmlformats.org/spreadsheetml/2006/main">
  <authors>
    <author>andy</author>
  </authors>
  <commentList>
    <comment ref="C93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LA ORDEN NO ESTA SELLADA</t>
        </r>
      </text>
    </comment>
  </commentList>
</comments>
</file>

<file path=xl/sharedStrings.xml><?xml version="1.0" encoding="utf-8"?>
<sst xmlns="http://schemas.openxmlformats.org/spreadsheetml/2006/main" count="2173" uniqueCount="1216">
  <si>
    <t>INFORMACION DEL PACIENTE</t>
  </si>
  <si>
    <t>SERVICIO RECIBIDO</t>
  </si>
  <si>
    <t>COSTOS DE PRODUCCION</t>
  </si>
  <si>
    <t>UTILIDADES TOTALES</t>
  </si>
  <si>
    <t>CUADRE C+U</t>
  </si>
  <si>
    <t>N°</t>
  </si>
  <si>
    <t>FECHA</t>
  </si>
  <si>
    <t>NOMBRE DE PACIENTE</t>
  </si>
  <si>
    <t>TEL</t>
  </si>
  <si>
    <t>ARO</t>
  </si>
  <si>
    <t>LENTE</t>
  </si>
  <si>
    <t>V, TOTALES</t>
  </si>
  <si>
    <t>IVA</t>
  </si>
  <si>
    <t>VENTA - IVA</t>
  </si>
  <si>
    <t>C. ARO</t>
  </si>
  <si>
    <t>C. LENTE</t>
  </si>
  <si>
    <t>COSTOS T.</t>
  </si>
  <si>
    <t>UTILIDAD ARO.</t>
  </si>
  <si>
    <t>UTILIDAD LENTES</t>
  </si>
  <si>
    <t>UTILIDAD T.</t>
  </si>
  <si>
    <t>ABONO</t>
  </si>
  <si>
    <t>REC</t>
  </si>
  <si>
    <t>FACTURA</t>
  </si>
  <si>
    <t>SUMA</t>
  </si>
  <si>
    <t>TOTAL</t>
  </si>
  <si>
    <t>OPTIVA AV PLUS S A  DE C  V</t>
  </si>
  <si>
    <t>REPORTE DE VENTAS GENERALES DE SUCURSAL METROCENTRO  ENERO DEL 2019</t>
  </si>
  <si>
    <t>JOSE MARIO CRUZ</t>
  </si>
  <si>
    <t>EXAMEN</t>
  </si>
  <si>
    <t>COSTO ARO</t>
  </si>
  <si>
    <t>COSTO LENTES</t>
  </si>
  <si>
    <t>CARLOS ISRAEL ARGUETA</t>
  </si>
  <si>
    <t>7258-7658</t>
  </si>
  <si>
    <t>LACOSTE 615 53-16-145</t>
  </si>
  <si>
    <t>V/S POLY BCO AR SUPER H</t>
  </si>
  <si>
    <t>PRISCILA GUZMAN</t>
  </si>
  <si>
    <t>7581-6746</t>
  </si>
  <si>
    <t>DICAPRIO PC 152 BLACK 52-17-135</t>
  </si>
  <si>
    <t>V/S POLY BCO CON AR SUPER H</t>
  </si>
  <si>
    <t>ESTELA MARIN DE ALBERTO</t>
  </si>
  <si>
    <t>2242-2367</t>
  </si>
  <si>
    <t>DREAMSTYLE F12 52-20-135</t>
  </si>
  <si>
    <t>LENTE PROPIO</t>
  </si>
  <si>
    <t>GLENDA YAMILETH VASQUEZ</t>
  </si>
  <si>
    <t>7111-6886</t>
  </si>
  <si>
    <t>AND VAS  6153 52-17-140 102</t>
  </si>
  <si>
    <t>JHOAN SAMAYOA</t>
  </si>
  <si>
    <t>7768-1859</t>
  </si>
  <si>
    <t>GRANDE GR 807 BLACK 60-18</t>
  </si>
  <si>
    <t>ANDREA  CAMILA ANDINO Y CLAUDIA CECILIA LUNA</t>
  </si>
  <si>
    <t>7285-5342    2282-2584</t>
  </si>
  <si>
    <t>2 AROS AND VAS VINO Y ROSADO/ CAFÉ Y NEGRO</t>
  </si>
  <si>
    <t xml:space="preserve">2 PARES DE LENTES V/S POLY BCO CON SUPER </t>
  </si>
  <si>
    <t>JESSY DE CERRANO</t>
  </si>
  <si>
    <t>L/CON COSMETICO  FRES GO BULE</t>
  </si>
  <si>
    <t>ROSY MORALES S/P GABRIEL ALEXANDER MORALES</t>
  </si>
  <si>
    <t>RAY BAN RB 5261 2004</t>
  </si>
  <si>
    <t>BERTA ALICIA VASQUEZ</t>
  </si>
  <si>
    <t>2298-1637</t>
  </si>
  <si>
    <t>DANIEL RIVERA</t>
  </si>
  <si>
    <t>LACOSTE L 2797 424 54-17-145</t>
  </si>
  <si>
    <t>MULTIFOCAL TRANSITIONS CON AR SUPER H</t>
  </si>
  <si>
    <t>ANGELA AMAYA DE RIVERA</t>
  </si>
  <si>
    <t>PROPIO</t>
  </si>
  <si>
    <t>VARILUX PHYSIO POLY BCO</t>
  </si>
  <si>
    <t>JOSE  REMBERTO MENDEZ</t>
  </si>
  <si>
    <t>7638-8058</t>
  </si>
  <si>
    <t xml:space="preserve">AND VAS AZUL CON BLANCO </t>
  </si>
  <si>
    <t>ANA DE VIGIL</t>
  </si>
  <si>
    <t>7208-1025</t>
  </si>
  <si>
    <t>AND VAS F108 54-17-140</t>
  </si>
  <si>
    <t>BIFOCAL POLY BCO</t>
  </si>
  <si>
    <t>SARA LOANY FLORES</t>
  </si>
  <si>
    <t>PRPIO</t>
  </si>
  <si>
    <t xml:space="preserve">CLAUDIA GUZMAN </t>
  </si>
  <si>
    <t>SOLUCION MONOGREEN</t>
  </si>
  <si>
    <t>ANA  VICTORIA DE AGUILAR Y CANDY GUADALUPE AGUILAR</t>
  </si>
  <si>
    <t>2334-1107</t>
  </si>
  <si>
    <t>AND VAS F638 49-17-140 AND VAS 15144 47-16-128</t>
  </si>
  <si>
    <t>1 V/S POLY BCO CON AR Y OVATION POLY BCO</t>
  </si>
  <si>
    <t>ERIKA MARIA GUARDADO</t>
  </si>
  <si>
    <t>6314-4929</t>
  </si>
  <si>
    <t>GNX 5040</t>
  </si>
  <si>
    <t>MAYRA IVETTE MORENO</t>
  </si>
  <si>
    <t>7952-3818</t>
  </si>
  <si>
    <t>VISION MAX VI11044 50-18-138</t>
  </si>
  <si>
    <t>VARILUX CONFORT POLY BCO</t>
  </si>
  <si>
    <t>KARLA GABRIELA ZELAYA ORELLANA</t>
  </si>
  <si>
    <t>2596-9641</t>
  </si>
  <si>
    <t>RAY BAN RB 5286 2012 51-18-140</t>
  </si>
  <si>
    <t>MARIA ANGELICA PADILLA</t>
  </si>
  <si>
    <t>AND VAS ACETATO NEGRO Y NARANJA</t>
  </si>
  <si>
    <t>GABRIELA BARRIENTOS / VALERIA BARRIENTOS</t>
  </si>
  <si>
    <t>7039-1092</t>
  </si>
  <si>
    <t>AND VAS  ACETATO AZUL  AND VAS F78C6</t>
  </si>
  <si>
    <t>2 LENTES V/S POLY BCO AR SUPER H</t>
  </si>
  <si>
    <t>RAFAEL MARGOT PORTILLO</t>
  </si>
  <si>
    <t xml:space="preserve">EXAMEN </t>
  </si>
  <si>
    <t>7628-7577</t>
  </si>
  <si>
    <t>MILENIUM CAPRI BLUE  52-17-140</t>
  </si>
  <si>
    <t>JOSELNE ISABEL GUEVARA</t>
  </si>
  <si>
    <t>RUBIA MARLENE PEREZ / GUSTAVO ALEXANDER MOLINA</t>
  </si>
  <si>
    <t>2130-9162</t>
  </si>
  <si>
    <t>GUESS GU 85009C8 TOMMY TH 1294 / GUCCI GU 2560-F 072</t>
  </si>
  <si>
    <t>2 V/S POLY BCO Y 1 POLY BCO CON AR</t>
  </si>
  <si>
    <t>ANA LORENA TORRES</t>
  </si>
  <si>
    <t>CAMBIO DE VARILLAS</t>
  </si>
  <si>
    <t>VITALIA ARGENTINA AGUIRRE</t>
  </si>
  <si>
    <t>7521-8032</t>
  </si>
  <si>
    <t>ANTIRREFLEJO</t>
  </si>
  <si>
    <t>ARO PROPIO</t>
  </si>
  <si>
    <t>7788-9717</t>
  </si>
  <si>
    <t>KIMBERLY STEPHANIE MOLINA  / RUBIA MARLENE PEREZ</t>
  </si>
  <si>
    <t>MARC JACOBS / JIMMY CHOO Y DIOR</t>
  </si>
  <si>
    <t>3 PARES DE LENTES V/S POLY BCO CON AR S H</t>
  </si>
  <si>
    <t>KATERINE ADRIANA CARRILLO</t>
  </si>
  <si>
    <t>7993-4139</t>
  </si>
  <si>
    <t>CAROLINA HERRERA</t>
  </si>
  <si>
    <t>ANGEL GOMEZ</t>
  </si>
  <si>
    <t>7419-2445</t>
  </si>
  <si>
    <t>V/S  POLY BCO CON AR S</t>
  </si>
  <si>
    <t>BRYAN EMANUEL NAVAS</t>
  </si>
  <si>
    <t xml:space="preserve">AND VAS ACETATO NEGRO </t>
  </si>
  <si>
    <t>FAC 519</t>
  </si>
  <si>
    <t>FLOR ESPERANZA HERNANDEZ</t>
  </si>
  <si>
    <t>SILVIA CAROLINA CARDOZA</t>
  </si>
  <si>
    <t>MARINA SALINAS Y ELENA DOLDAND</t>
  </si>
  <si>
    <t>6311-1123</t>
  </si>
  <si>
    <t>VISION MAX ES11037 52-20-138 C2</t>
  </si>
  <si>
    <t>7753-4075</t>
  </si>
  <si>
    <t>CAMBIO DE ARO</t>
  </si>
  <si>
    <t>AROS RAY BAN RB 5286 /RB 7897</t>
  </si>
  <si>
    <t>2 PARES D LENTES V/S POLY BCO CON AR S H</t>
  </si>
  <si>
    <t>CAROLINA MONTANO</t>
  </si>
  <si>
    <t>7474-9998</t>
  </si>
  <si>
    <t>FAC 522</t>
  </si>
  <si>
    <t>CRISANTOS ALVARADO</t>
  </si>
  <si>
    <t>MAYRA VASQUEZ</t>
  </si>
  <si>
    <t>7486-1436</t>
  </si>
  <si>
    <t>GUESS  GU 1866 F002 55-18-145</t>
  </si>
  <si>
    <t>OVATION POLY BCO</t>
  </si>
  <si>
    <t>ALEJANDRO JOSUE QUINTANILLA</t>
  </si>
  <si>
    <t>7991-9373</t>
  </si>
  <si>
    <t>AND VAS F1113 C535 34-15</t>
  </si>
  <si>
    <t>NATURAL</t>
  </si>
  <si>
    <t>TATIANA RODRIGUEZ</t>
  </si>
  <si>
    <t>FLOR DE MARIA VILLEDA HERNANDEZ</t>
  </si>
  <si>
    <t>RICARDO MANUEL VASQUEZ</t>
  </si>
  <si>
    <t>7490-6602</t>
  </si>
  <si>
    <t>CHANEL CH 5142 53-16</t>
  </si>
  <si>
    <t>7742-8897</t>
  </si>
  <si>
    <t>DREAM STYLE PA3 C2</t>
  </si>
  <si>
    <t>7870-8188</t>
  </si>
  <si>
    <t>DREAM STYLE WESTON C3 57-15-140</t>
  </si>
  <si>
    <t>NORMA CECILIA QUINTANILLA</t>
  </si>
  <si>
    <t>LUIS HENRIQUE</t>
  </si>
  <si>
    <t>DENNY EMPERATRIZ SERRANO VILLEDA</t>
  </si>
  <si>
    <t>ANA ARACELY  REYES/ARMANDO RAFAEL RIVAS</t>
  </si>
  <si>
    <t>GABRIELA LISSETTE ARTERO</t>
  </si>
  <si>
    <t xml:space="preserve"> </t>
  </si>
  <si>
    <t>AND VAS F56 53-16-140</t>
  </si>
  <si>
    <t>PLAQUETAS</t>
  </si>
  <si>
    <t>BLACK 52-16-135</t>
  </si>
  <si>
    <t>7856-8857</t>
  </si>
  <si>
    <t>GUESS GU 2560 045 52-16-135 / ARO PROPIO</t>
  </si>
  <si>
    <t>V/S POLY BCO CON  AR S H / OVATION POLY BCO AR</t>
  </si>
  <si>
    <t>MILLENIAL BLUE 52-17-140</t>
  </si>
  <si>
    <t>ARGELIA GUADALUPE COTO</t>
  </si>
  <si>
    <t>ANA ELIZABETH BERRIOS DE SANDOVAL</t>
  </si>
  <si>
    <t>RICARDO SAMUEL PUENTE</t>
  </si>
  <si>
    <t>YANIRA ARACELY CUBIAS</t>
  </si>
  <si>
    <t>ANA ZAMORA</t>
  </si>
  <si>
    <t>2270-2726</t>
  </si>
  <si>
    <t>ES 11033 48-18-138 C7</t>
  </si>
  <si>
    <t>OVATION CON AR BCO</t>
  </si>
  <si>
    <t>7034-4860</t>
  </si>
  <si>
    <t>AND VAS NEGRO</t>
  </si>
  <si>
    <t>V/S POLY BCO CON CRIZAL</t>
  </si>
  <si>
    <t>7252-4764</t>
  </si>
  <si>
    <t>ZB A 003 C2 51-14-135</t>
  </si>
  <si>
    <t>7473-3464</t>
  </si>
  <si>
    <t>ACUVUE 2 -6.00 -6.50</t>
  </si>
  <si>
    <t xml:space="preserve">L/C COLOR GRIS </t>
  </si>
  <si>
    <t>MONOGREEN 50 ML</t>
  </si>
  <si>
    <t>LAURA ELIZABETH CAMPOS</t>
  </si>
  <si>
    <t>EILEEN ARIANNA GARCIA</t>
  </si>
  <si>
    <t>7631-4917</t>
  </si>
  <si>
    <t>VISION MAX ES 11032 52-18-138</t>
  </si>
  <si>
    <t>ELFO KIDS MF-04N 42-14-125</t>
  </si>
  <si>
    <t>FAC 540</t>
  </si>
  <si>
    <t>FAC 535</t>
  </si>
  <si>
    <t>FAC 531</t>
  </si>
  <si>
    <t>RONY GEOVANY RIVERA  HERNANDEZ</t>
  </si>
  <si>
    <t>TERESA DE JESUS DE SANCHEZ</t>
  </si>
  <si>
    <t>VICTOR MIRANDA</t>
  </si>
  <si>
    <t>6176-4554</t>
  </si>
  <si>
    <t>RAY BAN RB 8902 2042 55-17</t>
  </si>
  <si>
    <t>VARILILUX PHYSIO CON AR ADELGAZADO</t>
  </si>
  <si>
    <t>7095-0394</t>
  </si>
  <si>
    <t>VISION MAX ES 11036 50-18 C7</t>
  </si>
  <si>
    <t>EMPORIOM IM 1001 C4</t>
  </si>
  <si>
    <t xml:space="preserve">LAURA   </t>
  </si>
  <si>
    <t>LIQUIDO LIMPIADOR</t>
  </si>
  <si>
    <t>XIOMARA BEATRIZ LINARES ROMERO</t>
  </si>
  <si>
    <t>SONIA RIVAS Y SARA RIVAS</t>
  </si>
  <si>
    <t>7429-0247</t>
  </si>
  <si>
    <t>RAY BAN RB 8834 53-15-140</t>
  </si>
  <si>
    <t>OVATION POY BCO CON AR</t>
  </si>
  <si>
    <t>4 LENTES V/S POLY BCO AR SUPER H</t>
  </si>
  <si>
    <t>AND VAS 6212 51-21-140 AND VAS 6183 52-17-140</t>
  </si>
  <si>
    <t xml:space="preserve">JACQUELINE ANDREA CASTRO </t>
  </si>
  <si>
    <t>GRACIELA ALEJANDRA OTERO</t>
  </si>
  <si>
    <t>FLOR ELIZABETH LAZO</t>
  </si>
  <si>
    <t>FRANCISCO NAVAS</t>
  </si>
  <si>
    <t>JENIFER QUINTANILLA S/P BETZAIDA QUINTANILLA</t>
  </si>
  <si>
    <t>JENNI VANESSA FUENTES</t>
  </si>
  <si>
    <t>PATRICIA GARCIA JUAREZ</t>
  </si>
  <si>
    <t>7790-8046</t>
  </si>
  <si>
    <t>AND VAS  ACETATO ROSADO CON CAFÉ</t>
  </si>
  <si>
    <t>V/S POLY BCO  CON AR</t>
  </si>
  <si>
    <t>6305-7873</t>
  </si>
  <si>
    <t>MILLENIAL BLUE  52-17-140</t>
  </si>
  <si>
    <t>7999-5689</t>
  </si>
  <si>
    <t>TIMBERLAND TB 1350 COL009 54-17-145</t>
  </si>
  <si>
    <t>OVATION TRANSITIONS POLY BCO</t>
  </si>
  <si>
    <t>SOLUCION  PARA LIMPIAR LENTES</t>
  </si>
  <si>
    <t>7556-3710</t>
  </si>
  <si>
    <t>DREAMSTYLE SMYRNA 53-17-140</t>
  </si>
  <si>
    <t>7951-6649</t>
  </si>
  <si>
    <t>AND VAS NEGRO CON CELESTE</t>
  </si>
  <si>
    <t>V/S POLY BCO</t>
  </si>
  <si>
    <t>2223-9060</t>
  </si>
  <si>
    <t>AND VAS 8005 56-16-135</t>
  </si>
  <si>
    <t>VARILUX CONFORT CON AR SUPERHIDROFOBICO</t>
  </si>
  <si>
    <t>RICARDO CABRERA</t>
  </si>
  <si>
    <t>ROXANA CORTEZ S/P  ALEXIA MELISSA CORTEZ</t>
  </si>
  <si>
    <t>CLAUDIA LUNA</t>
  </si>
  <si>
    <t>DIANA  RACHEL BELTRAN CASTELLANOS</t>
  </si>
  <si>
    <t>7508-8567</t>
  </si>
  <si>
    <t>REPARACION</t>
  </si>
  <si>
    <t>7850-5535</t>
  </si>
  <si>
    <t>AND VAS F 153 53-17-140</t>
  </si>
  <si>
    <t>VARIILUX CONFORT POLY BCO</t>
  </si>
  <si>
    <t>7978-0854</t>
  </si>
  <si>
    <t>DREAMSTYLE C01 45-16-130</t>
  </si>
  <si>
    <t xml:space="preserve">V/S POLY BCO </t>
  </si>
  <si>
    <t>CELINA PAREDES DE SANTOS</t>
  </si>
  <si>
    <t>7945-6857</t>
  </si>
  <si>
    <t>TIFFANY RO177 54-17-140</t>
  </si>
  <si>
    <t>DREAMSTYLE</t>
  </si>
  <si>
    <t>FAC 551</t>
  </si>
  <si>
    <t>NOE ERNESTO ESCOBAR AMAYA</t>
  </si>
  <si>
    <t>ELISA RIVAS S/P FERNANDA PAOLA</t>
  </si>
  <si>
    <t>7421-9650</t>
  </si>
  <si>
    <t>GRANDE ANTUQUE GUN METAL</t>
  </si>
  <si>
    <t>PHYSIO CON TRANSITIONS VERDE</t>
  </si>
  <si>
    <t>7929-2500</t>
  </si>
  <si>
    <t>CAPRI BLUE  48-17-130</t>
  </si>
  <si>
    <t>MIGUEL ANGEL MERCADO</t>
  </si>
  <si>
    <t>6177-7979</t>
  </si>
  <si>
    <t>EXAMEN VISUAL</t>
  </si>
  <si>
    <t>ZONIA ADELI VASQUEZ DE HERNANDEZ</t>
  </si>
  <si>
    <t>7700-8713</t>
  </si>
  <si>
    <t>VISION MAX ES 11037 52-20-138 C2</t>
  </si>
  <si>
    <t>BIFOCAL POLY BCO CON AR S H</t>
  </si>
  <si>
    <t>DILCIA QUINTANILLA</t>
  </si>
  <si>
    <t>MARIA EUGENIA MORALES</t>
  </si>
  <si>
    <t xml:space="preserve">DICAPRIO DC 323 </t>
  </si>
  <si>
    <t>BLACK 52-18-140</t>
  </si>
  <si>
    <t>7797-5608</t>
  </si>
  <si>
    <t>CAROLINA HERRERA VHE633</t>
  </si>
  <si>
    <t>VARILUX CONFORT</t>
  </si>
  <si>
    <t>FAC5558</t>
  </si>
  <si>
    <t>ADRIANA CAMILA LAZO</t>
  </si>
  <si>
    <t>OSCAR CRUZ</t>
  </si>
  <si>
    <t>7743-9206</t>
  </si>
  <si>
    <t>AND VAS ACETATO  NEGRO/ ROSA</t>
  </si>
  <si>
    <t>CLIP DE SOL</t>
  </si>
  <si>
    <t>SELINA GARCIA</t>
  </si>
  <si>
    <t>BLANCA CELIA ESTUPIDIAN HERNANDEZ</t>
  </si>
  <si>
    <t>GRANDE GR809 ANTIQUE BLUE</t>
  </si>
  <si>
    <t>DICAPRIO</t>
  </si>
  <si>
    <t>FAC 562</t>
  </si>
  <si>
    <t>KENIA MARJORIE HENRIQUEZ</t>
  </si>
  <si>
    <t>FREDY NEHEMIAS GONZALEZ</t>
  </si>
  <si>
    <t>7403-4569</t>
  </si>
  <si>
    <t>JOEL ALEXANDER HENRIQUEZ</t>
  </si>
  <si>
    <t>7819-8000</t>
  </si>
  <si>
    <t>AND VAS F102 C543</t>
  </si>
  <si>
    <t>TOMMY TH1406 FMW 145</t>
  </si>
  <si>
    <t>GABRIELA ISABEL GUILLEN</t>
  </si>
  <si>
    <t>7681-2028</t>
  </si>
  <si>
    <t>BUBERRY 8526 54-16-135 C5</t>
  </si>
  <si>
    <t>V/S POLY BCO CON AR GREEN</t>
  </si>
  <si>
    <t>RAMON ALBERTO FLORES VARGAS</t>
  </si>
  <si>
    <t>SONIA MARGARTA RIVAS RAMIREZ</t>
  </si>
  <si>
    <t>7834-6899</t>
  </si>
  <si>
    <t>ANA MARCELA RODRIGUEZ LARIOS</t>
  </si>
  <si>
    <t>7012-5426</t>
  </si>
  <si>
    <t>RAY BAN 6622 C5 50-17-138</t>
  </si>
  <si>
    <t>V/S POLY BCO CON AR SUPERHIDROFOBICO</t>
  </si>
  <si>
    <t>AMIGA DE DENIS MONTO TOTAL 170 ABONO 70 EN EFECTIVO Y QUEDA UN SALDO DE 100 CON DESCUENTO A TARJETA DE DEBITO</t>
  </si>
  <si>
    <t>JOCELYN STEFANI NAVARO QUIÑONEZ</t>
  </si>
  <si>
    <t>6160-7097</t>
  </si>
  <si>
    <t>AND VAS 15 277 49-15-130 C5</t>
  </si>
  <si>
    <t>7676-3319</t>
  </si>
  <si>
    <t>SONIA CAROLINA MADRID LOPEZ</t>
  </si>
  <si>
    <t>AND VAS F 108 51-1-140</t>
  </si>
  <si>
    <t>ANA PATRICIA PLEITEZ DE IRAHETA</t>
  </si>
  <si>
    <t>6315-0691</t>
  </si>
  <si>
    <t>XIOMARA BEATRIZ LINARES</t>
  </si>
  <si>
    <t>7927-0237</t>
  </si>
  <si>
    <t xml:space="preserve">RAY BAN   </t>
  </si>
  <si>
    <t>CARLA NOEMI VENTURA ESCOBAR</t>
  </si>
  <si>
    <t>7687-2221</t>
  </si>
  <si>
    <t>AND VAS 6206 53-16-140 C01</t>
  </si>
  <si>
    <t>V/S POLY BCO CON AR PRIMIUM</t>
  </si>
  <si>
    <t>7297-7200</t>
  </si>
  <si>
    <t>OVATION CON AR H</t>
  </si>
  <si>
    <t xml:space="preserve"> CARLOS ALBERTO HERNANDEZ</t>
  </si>
  <si>
    <t>RAY BAN RB 8556 C03 54-16-140 RB 8558 C04 52-16-140</t>
  </si>
  <si>
    <t>2 PARES DE LENTES V/S POLY BCO CON AR S H</t>
  </si>
  <si>
    <t>TANIA MARGARTA FONSECA</t>
  </si>
  <si>
    <t>7297-3796</t>
  </si>
  <si>
    <t>HUGO BOSS 1239 54-18-140 C2</t>
  </si>
  <si>
    <t>CONFORT POLY BCO</t>
  </si>
  <si>
    <t xml:space="preserve">RAY BAN RB 8460 </t>
  </si>
  <si>
    <t>REPORTE DE VENTAS GENERALES DE SUCURSAL METROCENTRO CREDITOS EMPRESARIALES ENERO DEL 2019</t>
  </si>
  <si>
    <t>METROCENTRO</t>
  </si>
  <si>
    <t>TARJETAS DE DEBITO</t>
  </si>
  <si>
    <t>EMPRESARIAL</t>
  </si>
  <si>
    <t>TOTAL AROS</t>
  </si>
  <si>
    <t xml:space="preserve"> LENTES</t>
  </si>
  <si>
    <t>EMPRESA</t>
  </si>
  <si>
    <t>CULTURA</t>
  </si>
  <si>
    <t>JUAN ANTONIO ALFARO</t>
  </si>
  <si>
    <t>MILENIAL BLACK  52-17-140</t>
  </si>
  <si>
    <t>VARILUX PHYSIO CON AR</t>
  </si>
  <si>
    <t>MILTON ROBERTO SANTOS</t>
  </si>
  <si>
    <t>KAPPA</t>
  </si>
  <si>
    <t>RAY BAN 8904 C06</t>
  </si>
  <si>
    <t>V/S POLY BCO CON AR</t>
  </si>
  <si>
    <t>ANA RUBIDIA LOPEZ</t>
  </si>
  <si>
    <t>OVATIONS</t>
  </si>
  <si>
    <t>CANDIES C A 0117 077 53-15-135</t>
  </si>
  <si>
    <t>AND VAS F 21 51-15-135</t>
  </si>
  <si>
    <t>JOSE CARLOS MOLINA CASCO</t>
  </si>
  <si>
    <t>DAVID ANTONIO CASTRO</t>
  </si>
  <si>
    <t>SIA</t>
  </si>
  <si>
    <t>HUGO BOSS 8114-54-17-141 C4</t>
  </si>
  <si>
    <t>MELADYS DEL TRANSITO APARICIO</t>
  </si>
  <si>
    <t>MIGRACION</t>
  </si>
  <si>
    <t>V/S POLY CON AR</t>
  </si>
  <si>
    <t xml:space="preserve">ROXANA DE LA PAZ   </t>
  </si>
  <si>
    <t>VARILUX PHYSIO CON AR ADELGAZADO</t>
  </si>
  <si>
    <t>RAY BAN RB 8902 35-17-140</t>
  </si>
  <si>
    <t>ROSA ISABEL GARCIA RIVERA</t>
  </si>
  <si>
    <t>ES 85011 51-18- C4</t>
  </si>
  <si>
    <t>JOSE ISRAEL SORTO ORTIZ S/P ELSA ORTIZ</t>
  </si>
  <si>
    <t>DANIEL ANTONIO CASTRO MEDRANO</t>
  </si>
  <si>
    <t>HUGO BOSS 8114 C4 54-17-142</t>
  </si>
  <si>
    <t>V/S AR SUPERHIDROFOBICO</t>
  </si>
  <si>
    <t>HELMULTH LOPEZ GOCHEZ / BEATRIZ SANTOS</t>
  </si>
  <si>
    <t>VESTA</t>
  </si>
  <si>
    <t>RESUMEN DE VENTAS METROCENTRO</t>
  </si>
  <si>
    <t>PRADA</t>
  </si>
  <si>
    <t>MULTI</t>
  </si>
  <si>
    <t>1 V/S POLY POLARIZADO Y ESPEJEADO 1 V/S POLY BCO CON AR</t>
  </si>
  <si>
    <t>GUCCI  R0255</t>
  </si>
  <si>
    <t>BRISEIDA DE MARTINEZ</t>
  </si>
  <si>
    <t>7208-2600</t>
  </si>
  <si>
    <t>HARLEY DAVIDSON AD 710-BRN 55-18-145</t>
  </si>
  <si>
    <t>PROGRESIVO VARILUX PHYSIO CON AR</t>
  </si>
  <si>
    <t>DIANA RAMIREZ</t>
  </si>
  <si>
    <t>AMANDA YANETH HERNANDEZ</t>
  </si>
  <si>
    <t>LUIS ENRIQUE NAJARRO</t>
  </si>
  <si>
    <t>MARIA SANTOS MARTINEZ</t>
  </si>
  <si>
    <t>BLANCA CAROLINA CARIAS RAMIREZ</t>
  </si>
  <si>
    <t>LUIS BALTAZAR HERNANDEZ Y MIRNA ELIZABETH UMANZOR</t>
  </si>
  <si>
    <t>OSCAR RUTILIO ALAS LARA</t>
  </si>
  <si>
    <t>LUIS FLORES</t>
  </si>
  <si>
    <t>JOSUE ALEXANDER RODAS</t>
  </si>
  <si>
    <t>MARIA EMPERATRIZ RODRIGUEZ</t>
  </si>
  <si>
    <t>LENTE DE CONTACTO</t>
  </si>
  <si>
    <t>7705-9985</t>
  </si>
  <si>
    <t>ACUVUE 2</t>
  </si>
  <si>
    <t>7973-8732</t>
  </si>
  <si>
    <t>AND VAS ACETATO AZUL ROSADO</t>
  </si>
  <si>
    <t>7822-8496</t>
  </si>
  <si>
    <t>VISION MAX VI11045 50-18-138 C4</t>
  </si>
  <si>
    <t>BIFOCALES POLY BCO</t>
  </si>
  <si>
    <t>7111-8004</t>
  </si>
  <si>
    <t>1004 01/01/2019</t>
  </si>
  <si>
    <t>7138-7702</t>
  </si>
  <si>
    <t>AND VAS 6190  48-15-130 / ACETATO 53-18-29-140</t>
  </si>
  <si>
    <t xml:space="preserve">V/S PHOTOCROMATICO / OVATIONS </t>
  </si>
  <si>
    <t>7813-2222</t>
  </si>
  <si>
    <t>VISION MAX ES 11033 48-18-138</t>
  </si>
  <si>
    <t>PROG. OVTION POLY BCO</t>
  </si>
  <si>
    <t>AJUSTE</t>
  </si>
  <si>
    <t>7755-1150</t>
  </si>
  <si>
    <t>CAPRI T 30 GRAY 48-16-125</t>
  </si>
  <si>
    <t>CARLOSRODRIGUEZ</t>
  </si>
  <si>
    <t>LIMPIEZA</t>
  </si>
  <si>
    <t>RICARDO MENDOZA</t>
  </si>
  <si>
    <t>7468-9307</t>
  </si>
  <si>
    <t>CLIP  DE SOL Y LIMPIEZA DE ARO</t>
  </si>
  <si>
    <t>ORBELINA DE MALDONADO Y KATHYA</t>
  </si>
  <si>
    <t>FABIOLA MARIA ESTRADA MAYEN</t>
  </si>
  <si>
    <t>DIANA MENENDEZ ZEPEDA</t>
  </si>
  <si>
    <t>7820-4390</t>
  </si>
  <si>
    <t>GUCCI R0255 / DOLCE GABANA DG30</t>
  </si>
  <si>
    <t>V/S CON CRIZAL / OVATION</t>
  </si>
  <si>
    <t>AND VAS POLY BCO AR</t>
  </si>
  <si>
    <t>AND VAS ROSADO Y CAFÉ</t>
  </si>
  <si>
    <t>7454-2925</t>
  </si>
  <si>
    <t>RAY BAN RB61899 2511-53-19-135</t>
  </si>
  <si>
    <t>CARLOS MAURICIO SOLORZANO</t>
  </si>
  <si>
    <t>EDUARDO CHAVEZ GUTIERREZ</t>
  </si>
  <si>
    <t>7853-8319</t>
  </si>
  <si>
    <t>SIBOTE ST8078 55-18-140</t>
  </si>
  <si>
    <t>BIFOCALES VIDRIO PHOTOGRAY</t>
  </si>
  <si>
    <t>7450-3632</t>
  </si>
  <si>
    <t>RAYBAN  RB5279 C113 55-18-142</t>
  </si>
  <si>
    <t>JOSHUA OLIVA LOPEZ</t>
  </si>
  <si>
    <t>LAURA ALEJANDRA REYES DE CRUZ</t>
  </si>
  <si>
    <t>7104-5314</t>
  </si>
  <si>
    <t>AND VAS 6166 53-17-140 C02</t>
  </si>
  <si>
    <t>7082-3660</t>
  </si>
  <si>
    <t xml:space="preserve">AND VAS 6166   </t>
  </si>
  <si>
    <t>DESGLOSE DE VENTAS</t>
  </si>
  <si>
    <t>RECUPERADO</t>
  </si>
  <si>
    <t>EDGAR ANTONIO CACERES</t>
  </si>
  <si>
    <t>7398-6612</t>
  </si>
  <si>
    <t>ACUVUE OASYS -3.00-2.50 28°  -2.25-2.25 140°</t>
  </si>
  <si>
    <t>ANA MARIA DE FATIMA</t>
  </si>
  <si>
    <t>CARLOS ALFREDO GRANADOS GOMEZ</t>
  </si>
  <si>
    <t>ROXANA SOTO LOBO</t>
  </si>
  <si>
    <t>ROSA ANGELICA LOBO DE SOTO</t>
  </si>
  <si>
    <t>LUCIA GARCIA UMANZOR</t>
  </si>
  <si>
    <t>ROSA AGUILAR</t>
  </si>
  <si>
    <t>7948-8383</t>
  </si>
  <si>
    <t>AND VAS 6177 52-15-135 C02</t>
  </si>
  <si>
    <t>7682-5832</t>
  </si>
  <si>
    <t>DICAPRIO DC 177 BLACK GOD 53-17-140</t>
  </si>
  <si>
    <t>7929-7761</t>
  </si>
  <si>
    <t>ACETATO  1120G24 52-16-137 C4</t>
  </si>
  <si>
    <t>SUB FIRE 80 207 53-17-140</t>
  </si>
  <si>
    <t>BIFOCALES EN POLY BCO</t>
  </si>
  <si>
    <t>7036-1153</t>
  </si>
  <si>
    <t>VISION MAX ES11035 C4</t>
  </si>
  <si>
    <t>MULTIFOCAL VARILUX CONFORT</t>
  </si>
  <si>
    <t>SOLUCION PARA LENTES DE CONTACTO</t>
  </si>
  <si>
    <t>FAC 571</t>
  </si>
  <si>
    <t>ABNER MAURICIO MARTINEZ</t>
  </si>
  <si>
    <t>JONATHAN RAMIREZ VALLADARES</t>
  </si>
  <si>
    <t>LUIS GIL</t>
  </si>
  <si>
    <t>7277-4144</t>
  </si>
  <si>
    <t>VISION MAX V111044 50-18-138 C4</t>
  </si>
  <si>
    <t>V/S EN VIDRIO</t>
  </si>
  <si>
    <t>7541-4653</t>
  </si>
  <si>
    <t>LENTE DE CONTACTO HAZEL -6.00</t>
  </si>
  <si>
    <t>SOLUCION PARA LIMPIAR LENTES Y FRANELA</t>
  </si>
  <si>
    <t>ALEJANDRA MICHELLE GOMEZ ESTRADA</t>
  </si>
  <si>
    <t>JOSUE SAMUEL RIVAS</t>
  </si>
  <si>
    <t>7741-9599</t>
  </si>
  <si>
    <t>SIBOTE 518078 55-18-140</t>
  </si>
  <si>
    <t>7162-5629</t>
  </si>
  <si>
    <t>NAUTICA N8102 325 54-18-140</t>
  </si>
  <si>
    <t>NOE ARIAS</t>
  </si>
  <si>
    <t xml:space="preserve">AMPARO TORRES DE MORENO </t>
  </si>
  <si>
    <t>ADALBERTO ANTONIO OLIVARES</t>
  </si>
  <si>
    <t>MARLENE ESTER GOMEZ</t>
  </si>
  <si>
    <t>KAREN PATRICIA CASTRO</t>
  </si>
  <si>
    <t>7119-2826</t>
  </si>
  <si>
    <t xml:space="preserve">SIBOTE </t>
  </si>
  <si>
    <t>PROGRESIVO OVATION POLY BCO</t>
  </si>
  <si>
    <t>7031-3141</t>
  </si>
  <si>
    <t>CAPRI MAROON 52-17-140</t>
  </si>
  <si>
    <t>7540-4985</t>
  </si>
  <si>
    <t>GUESS GU 1926 001 54-17-140</t>
  </si>
  <si>
    <t>V/S POLY BCO CON AR CRIZAL</t>
  </si>
  <si>
    <t>7198-3944</t>
  </si>
  <si>
    <t>CHANEL CH 58 C7 CL</t>
  </si>
  <si>
    <t>6198-7881</t>
  </si>
  <si>
    <t>AND VAS F1127 C511</t>
  </si>
  <si>
    <t>POLY BCO CON AR SUPERHIDROFOBICO</t>
  </si>
  <si>
    <t>BERTA DEL CID</t>
  </si>
  <si>
    <t>ANA MARIELOS PEREZ</t>
  </si>
  <si>
    <t>2280-2510</t>
  </si>
  <si>
    <t>AND VAS F21515 C2 51-15-135</t>
  </si>
  <si>
    <t>PROGRESIVOS OVATION CON TRANSITIONS</t>
  </si>
  <si>
    <t>NANCY YAMILETH BELTRAN CASTELLANO</t>
  </si>
  <si>
    <t>YANETH VELASQUEZ</t>
  </si>
  <si>
    <t>6109-2432</t>
  </si>
  <si>
    <t>AND VAS NEGRO CON ANARANJADO</t>
  </si>
  <si>
    <t>7199-6664</t>
  </si>
  <si>
    <t>FRANELA</t>
  </si>
  <si>
    <t>KEIRY LISSETTE MARTINEZ</t>
  </si>
  <si>
    <t>6004-0361</t>
  </si>
  <si>
    <t>CRISTINA JOSIAS ADONAY</t>
  </si>
  <si>
    <t>JOSE</t>
  </si>
  <si>
    <t>JUAN</t>
  </si>
  <si>
    <t>DENIS RIVAS</t>
  </si>
  <si>
    <t>SOLUCION PARA LIMPIAR LENTES</t>
  </si>
  <si>
    <t>MARIA JULIA HERNANDEZ</t>
  </si>
  <si>
    <t>7865-2286</t>
  </si>
  <si>
    <t>DREAM STYLE F3 30-18-135</t>
  </si>
  <si>
    <t>BIFOCAL EN POLY BCO</t>
  </si>
  <si>
    <t>ALEJANDRO GARCIA JIMENEZ</t>
  </si>
  <si>
    <t>7744-7540</t>
  </si>
  <si>
    <t>OAKLEY 8228 C9</t>
  </si>
  <si>
    <t>FRANCISCA PATRICIA GIMENEZ DE GARCIA</t>
  </si>
  <si>
    <t>7744-8542</t>
  </si>
  <si>
    <t>AND VAS 6191 50-16-130 C03</t>
  </si>
  <si>
    <t xml:space="preserve">VARILUX PHYSIO   </t>
  </si>
  <si>
    <t>FAC 590</t>
  </si>
  <si>
    <t>FERNANDO MANUEL HERNANDEZ</t>
  </si>
  <si>
    <t>AND VAS FRENTE NEGRO VARILLAS ROJO Y NEGRO</t>
  </si>
  <si>
    <t>KARINA AVILA</t>
  </si>
  <si>
    <t>NATALY NOHEMY HERNANDEZ UMANZOR</t>
  </si>
  <si>
    <t>MILAGRO CANJURA</t>
  </si>
  <si>
    <t>7633-7223</t>
  </si>
  <si>
    <t xml:space="preserve">V/S POLY BCO CON AR </t>
  </si>
  <si>
    <t>7138-7703</t>
  </si>
  <si>
    <t>AND VAS F 611 51-16-140</t>
  </si>
  <si>
    <t>15216 C 12 50-15-128</t>
  </si>
  <si>
    <t>ASTRID SOFIA VELASCO</t>
  </si>
  <si>
    <t>2204-8974</t>
  </si>
  <si>
    <t>DIOR RO232 54-15-140</t>
  </si>
  <si>
    <t>JULIA ELENA LOPEZ</t>
  </si>
  <si>
    <t>7743-4374</t>
  </si>
  <si>
    <t>GUCCI GG 3785 C5</t>
  </si>
  <si>
    <t>ESCAMILLA NUÑEZ</t>
  </si>
  <si>
    <t>JOCELYN ABIGAIL FLORES VILLANUEVA</t>
  </si>
  <si>
    <t>GABRIELA MARTINEZ S/P SOFIA RIVAS</t>
  </si>
  <si>
    <t>AND VAS F1127 54-16-140</t>
  </si>
  <si>
    <t>CINTA PARA LENTES</t>
  </si>
  <si>
    <t>AND VAS  6182 51-18-140 C01</t>
  </si>
  <si>
    <t>FAC 599</t>
  </si>
  <si>
    <t>FRANCISCA AMELIA CORNEJO</t>
  </si>
  <si>
    <t>RITA YANCY MENENDEZ</t>
  </si>
  <si>
    <t>7985-2276</t>
  </si>
  <si>
    <t>AND VAS L1001 30031353</t>
  </si>
  <si>
    <t>7900-9998</t>
  </si>
  <si>
    <t>RAYBAN RB 5383 2026 54-16-142</t>
  </si>
  <si>
    <t>VARILUX PHYSION CON AR SUPERHIDROFOBICO</t>
  </si>
  <si>
    <t>FLOR DE MARIA</t>
  </si>
  <si>
    <t>LAURA ESTELA MORALES ALFARO</t>
  </si>
  <si>
    <t>FELIX ALEJANDRO GONZALEZ</t>
  </si>
  <si>
    <t>7165-1967</t>
  </si>
  <si>
    <t>GUCCI GG 3647 135</t>
  </si>
  <si>
    <t>PROGRESIVO VARULUX CONFORT CON AR SUPERHIDROFOBICO</t>
  </si>
  <si>
    <t>7853-1130</t>
  </si>
  <si>
    <t>RAYBAN RB 5252 TORTOISE</t>
  </si>
  <si>
    <t>RAFAEL ARMANDO ALFARO</t>
  </si>
  <si>
    <t>7241-3322</t>
  </si>
  <si>
    <t>SIBOTE ST 8077 57-17-140</t>
  </si>
  <si>
    <t>KATHERINE BEATRIZ</t>
  </si>
  <si>
    <t>7466-8887</t>
  </si>
  <si>
    <t>ACETATO XC 49 55-17-140</t>
  </si>
  <si>
    <t xml:space="preserve">HECTOR ANTONIO DUBON </t>
  </si>
  <si>
    <t>VALERIA ALEJANDRA CRUZ</t>
  </si>
  <si>
    <t>7165-7280</t>
  </si>
  <si>
    <t>SEGURIDAD INDUSTRIAL 5787+ U6</t>
  </si>
  <si>
    <t>PROGRESIVO OVATION TRANSITIONS</t>
  </si>
  <si>
    <t>AND VAS F 96 52-17-140</t>
  </si>
  <si>
    <t>MARIA DE LOS SANTOS</t>
  </si>
  <si>
    <t>GABRIELA MARIA FERNANDEZ</t>
  </si>
  <si>
    <t>7999-7349</t>
  </si>
  <si>
    <t>AND VAS A 3006 C2 55-16-140</t>
  </si>
  <si>
    <t>REPORTE DE VENTAS GENERALES DE SUCURSAL METROCENTRO DESCUENTOS CON CARGO AUTOMATICO FEBRERO DEL 2019</t>
  </si>
  <si>
    <t>REPORTE DE VENTAS GENERALES DE SUCURSAL METROCENTRO CREDITOS EMPRESARIALES FEBRERO DEL 2019</t>
  </si>
  <si>
    <t>REPORTE DE VENTAS GENERALES DE SUCURSAL METROCENTRO FEBRERO DEL 2019</t>
  </si>
  <si>
    <t>7038-2397</t>
  </si>
  <si>
    <t>.</t>
  </si>
  <si>
    <t>AND VAS ACETATO ROJO Y AZUL</t>
  </si>
  <si>
    <t>VARILUX PHYSIO CON AR SUPERHIDROFOBICO</t>
  </si>
  <si>
    <t>SAUL ERNESTO COLOCHO / CRUZ ROJA</t>
  </si>
  <si>
    <t>BRIGIT AZUCENA FLORES S/P JHONNY EDUARDO MARTINEZ</t>
  </si>
  <si>
    <t>6431-7370</t>
  </si>
  <si>
    <t>AND VAS F81 47-18-135</t>
  </si>
  <si>
    <t>7943-6452</t>
  </si>
  <si>
    <t>AND VAS F199 49-20-140</t>
  </si>
  <si>
    <t>VARILUX PHYSIO CON TRANSITIONS</t>
  </si>
  <si>
    <t>JOSUE ALEXANDER DIAZ MELENDEZ</t>
  </si>
  <si>
    <t>7968-8760</t>
  </si>
  <si>
    <t>HUGO BOSS 8602 C8/ AND VAS 6172 C03</t>
  </si>
  <si>
    <t>V/S POLY BCO CON AR SH / BIFOCAL POLY BCO</t>
  </si>
  <si>
    <t>JENNIFER GUADALUPE SOLORZANO LOPEZ</t>
  </si>
  <si>
    <t>2204-1493</t>
  </si>
  <si>
    <t xml:space="preserve">CAROLINA HERRERA SHE 191 54-15-COL 006 140 / </t>
  </si>
  <si>
    <t>2 PARES DE LENTES V/S POLY BCO CON AR SUPERHIDROFOBICO</t>
  </si>
  <si>
    <t>JONATHAN DANILO PEREZ SANCHEZ</t>
  </si>
  <si>
    <t>LENTE VISION SENCILLA POLY BCO CON CRIZAL</t>
  </si>
  <si>
    <t xml:space="preserve">LENTES DE CONTACTO TORICOS ACUVUE OASYS </t>
  </si>
  <si>
    <t>CLAUDIA MARISOL PINEDA DE EVANGELISTA</t>
  </si>
  <si>
    <t>6302-6607</t>
  </si>
  <si>
    <t>RAY BAN RB 5265 D 2012</t>
  </si>
  <si>
    <t>MARIA LOURDES GONZALEZ DE NAVARRO</t>
  </si>
  <si>
    <t>7204-6699</t>
  </si>
  <si>
    <t>RAY BAN RB 8824 C20 54-17-140</t>
  </si>
  <si>
    <t>LUISIANA BEATRIZ TORRES DIAZ</t>
  </si>
  <si>
    <t>7636-6402</t>
  </si>
  <si>
    <t>BV 2022 53-16-140</t>
  </si>
  <si>
    <t>LENTES BIFOCALES POLY BCO CON AR SH</t>
  </si>
  <si>
    <t>7571-1047</t>
  </si>
  <si>
    <t>GUESS GU 2380 BE 55-17-140</t>
  </si>
  <si>
    <t>REPORTE DE VENTAS GENERALES DE SUCURSAL METROCENTRO CARGOS AUTOMATICOS  ENERO DEL 2019</t>
  </si>
  <si>
    <t>ENERO</t>
  </si>
  <si>
    <t>VENTAS</t>
  </si>
  <si>
    <t>FEBRERO</t>
  </si>
  <si>
    <t xml:space="preserve">MARZO </t>
  </si>
  <si>
    <t>ABRIL</t>
  </si>
  <si>
    <t xml:space="preserve">MAYO </t>
  </si>
  <si>
    <t xml:space="preserve">JUNIO </t>
  </si>
  <si>
    <t xml:space="preserve">JULIO </t>
  </si>
  <si>
    <t>AGOSTO</t>
  </si>
  <si>
    <t>SEPTIEMBRE</t>
  </si>
  <si>
    <t>CARGOS AUTOMATICOS</t>
  </si>
  <si>
    <t>EMPRESARIALES</t>
  </si>
  <si>
    <t>AÑO 2019</t>
  </si>
  <si>
    <t>RESUMEN DE VENTAS GENERALES EJERCICIO FISCAL AÑO 2019</t>
  </si>
  <si>
    <t>OCTUBRE</t>
  </si>
  <si>
    <t>NOVIEMBRE</t>
  </si>
  <si>
    <t>DICIEMBRE</t>
  </si>
  <si>
    <t>OPTICA AV PLUS S A DE C V</t>
  </si>
  <si>
    <t>RESUMEN DE VENTA DE AROS EJERCICIO FISCAL AÑO 2019</t>
  </si>
  <si>
    <t>RESUMEN COSTO DE AROS EJERCICIO FISCAL AÑO 2019</t>
  </si>
  <si>
    <t>RESUMEN VENTA DE LENTES EJERCICIO FISCAL AÑO 2019</t>
  </si>
  <si>
    <t>RESUMEN COSTO DE LENTES EJERCICIO FISCAL AÑO 2019</t>
  </si>
  <si>
    <t>RESUMEN UTILIDAD DE AROS EJERCICIO FISCAL AÑO 2019</t>
  </si>
  <si>
    <t>RESUMEN UTILIDAD DE LENTES EJERCICIO FISCAL AÑO 2019</t>
  </si>
  <si>
    <t>VENTA AROS</t>
  </si>
  <si>
    <t>VENTA LENTES</t>
  </si>
  <si>
    <t>COSTO AROS</t>
  </si>
  <si>
    <t>UTILIDAD DE LENTES</t>
  </si>
  <si>
    <t>RESUMEN COSTOS TOTALES  EJERCICIO FISCAL AÑO 2019</t>
  </si>
  <si>
    <t>RESUMEN UTILIDADES TOTALES  EJERCICIO FISCAL AÑO 2019</t>
  </si>
  <si>
    <t>VENTAS GENERALES</t>
  </si>
  <si>
    <t>V. GENERALES</t>
  </si>
  <si>
    <t>VENTA DE ARO</t>
  </si>
  <si>
    <t>VENTA DE LENTE</t>
  </si>
  <si>
    <t>COSTO DE AROS</t>
  </si>
  <si>
    <t>COSTO DE LENTES</t>
  </si>
  <si>
    <t>UTILIDAD DE AROS</t>
  </si>
  <si>
    <t>COSTOS TOTALES</t>
  </si>
  <si>
    <t xml:space="preserve"> OPTICA AV PLUS S A D E C  V RESUMEN DEL AÑO 2019</t>
  </si>
  <si>
    <t>ADRIAN NAVARRO BENITEZ / SMURFIT KAPPA</t>
  </si>
  <si>
    <t>SANDRA DEL CARMEN LEIVA</t>
  </si>
  <si>
    <t>METRO</t>
  </si>
  <si>
    <t>7677-1660</t>
  </si>
  <si>
    <t>VISION MAX VI 11044 C7</t>
  </si>
  <si>
    <t>BIFOCAL POLY TRANSITIONS</t>
  </si>
  <si>
    <t>MAURICIO ROBERTO ZAVALA</t>
  </si>
  <si>
    <t>2235-1901</t>
  </si>
  <si>
    <t>FLEXURE FX110 METAL</t>
  </si>
  <si>
    <t>OVATIONS BCO</t>
  </si>
  <si>
    <t>SUCURSAL</t>
  </si>
  <si>
    <t>CARLOS MOISES DIAZ ZELAYA</t>
  </si>
  <si>
    <t>HOTEL SHERATON</t>
  </si>
  <si>
    <t>AND VAS 6172 C04</t>
  </si>
  <si>
    <t>V/S POLY CON AR CRIZAL</t>
  </si>
  <si>
    <t>NELSON  ALBERTO PEREZ</t>
  </si>
  <si>
    <t>PROFAMILIA</t>
  </si>
  <si>
    <t>7837-4907</t>
  </si>
  <si>
    <t>RAYBAN RB8901 2061</t>
  </si>
  <si>
    <t>SILVIA GUADALUPE HERNANDEZ</t>
  </si>
  <si>
    <t>DIOR RCVO682 TPK</t>
  </si>
  <si>
    <t>VARILUX PHYSIO TRANSITIONS</t>
  </si>
  <si>
    <t>CELIA DOLORES ACEVEDO</t>
  </si>
  <si>
    <t>7239-2109</t>
  </si>
  <si>
    <t>GUESS GU2560-F 072</t>
  </si>
  <si>
    <t>JOSE ANIBAL GONZALEZ</t>
  </si>
  <si>
    <t>6012-7108</t>
  </si>
  <si>
    <t>ANDVAS VC-48</t>
  </si>
  <si>
    <t>BIFOCAL BCO</t>
  </si>
  <si>
    <t>ELMER IGNACIO MARTINEZ</t>
  </si>
  <si>
    <t>6162-9657</t>
  </si>
  <si>
    <t>ANDVAS A2110</t>
  </si>
  <si>
    <t>MARIA ANTONIA LOPEZ</t>
  </si>
  <si>
    <t>7841-7334</t>
  </si>
  <si>
    <t>DOLCE GABANA</t>
  </si>
  <si>
    <t>MARGARITA PATRICIA CASTILLO</t>
  </si>
  <si>
    <t>7319-2753</t>
  </si>
  <si>
    <t>BLANCA VICTORIA GRANDE</t>
  </si>
  <si>
    <t>7457-2740</t>
  </si>
  <si>
    <t>METAL</t>
  </si>
  <si>
    <t>MIRNA GUADALUPE NERIO</t>
  </si>
  <si>
    <t>7749-2053</t>
  </si>
  <si>
    <t>MARCK JACOBS</t>
  </si>
  <si>
    <t>HELEN IVONNE TICAS</t>
  </si>
  <si>
    <t>7626-7420</t>
  </si>
  <si>
    <t>ANDVAS</t>
  </si>
  <si>
    <t>OVATIONS POLY BCO</t>
  </si>
  <si>
    <t>HEIDI CELINA RAMIREZ</t>
  </si>
  <si>
    <t>7048-1703</t>
  </si>
  <si>
    <t>KENNETH COLE</t>
  </si>
  <si>
    <t>HECTOR FABRICIO BURGOS</t>
  </si>
  <si>
    <t>7170-2907</t>
  </si>
  <si>
    <t xml:space="preserve">GUESS    </t>
  </si>
  <si>
    <t>V/S POLY BCO CON AR SH</t>
  </si>
  <si>
    <t>ROXANA LIZETH CRUZ</t>
  </si>
  <si>
    <t>7628-5726</t>
  </si>
  <si>
    <t>OVATIONS POLY BCO CON AR SH</t>
  </si>
  <si>
    <t>PATRICIA DE LOS ANGELES ESTRADA</t>
  </si>
  <si>
    <t>7039-1682</t>
  </si>
  <si>
    <t>VAN HEAUSEN</t>
  </si>
  <si>
    <t>CELIA DEL CARMEN RAMIREZ</t>
  </si>
  <si>
    <t>7870-8303</t>
  </si>
  <si>
    <t>MARC JACOBS</t>
  </si>
  <si>
    <t>NORA MARISELA MENA</t>
  </si>
  <si>
    <t>7069-2421</t>
  </si>
  <si>
    <t>ECONOMICO</t>
  </si>
  <si>
    <t>MAVIS AMARILIS CONTRERAS</t>
  </si>
  <si>
    <t>7225-7313</t>
  </si>
  <si>
    <t>JESSY CAROLINE ZIGUENZA</t>
  </si>
  <si>
    <t>7199-9516</t>
  </si>
  <si>
    <t>CONVERSE</t>
  </si>
  <si>
    <t>TELEFONO</t>
  </si>
  <si>
    <t>HUGO ERNESTO ORDOEZ</t>
  </si>
  <si>
    <t>7118-9847</t>
  </si>
  <si>
    <t>ANDVAS UT147 C3</t>
  </si>
  <si>
    <t>JAZMINE ANTUANET</t>
  </si>
  <si>
    <t>CONSULTA</t>
  </si>
  <si>
    <t>ANDERSON TOBAR</t>
  </si>
  <si>
    <t>DANIELA MARIA LARA</t>
  </si>
  <si>
    <t>EDUARDO ERNESTO ROQUE</t>
  </si>
  <si>
    <t>7476-4016</t>
  </si>
  <si>
    <t>ANDVAS HD 101 C6</t>
  </si>
  <si>
    <t>SANDRA VERONICA GARCIA</t>
  </si>
  <si>
    <t>VITO</t>
  </si>
  <si>
    <t>2 V/S CON AR 2 OVATIONS BCO</t>
  </si>
  <si>
    <t>JOSE ROBERTO CAÑAS</t>
  </si>
  <si>
    <t>SOLUCION</t>
  </si>
  <si>
    <t>SONIA QUINTANILLA</t>
  </si>
  <si>
    <t>ALMUADILLA</t>
  </si>
  <si>
    <t>AIDA GUERRA</t>
  </si>
  <si>
    <t>FRAN Y SOLU</t>
  </si>
  <si>
    <t>JUAN ANTONIO ORELLANA</t>
  </si>
  <si>
    <t>HARLEY HD700 GUN</t>
  </si>
  <si>
    <t>V/S POLY BCON CON AR</t>
  </si>
  <si>
    <t>LUIS ALBERTO BARRERA</t>
  </si>
  <si>
    <t>GANT GW 4025</t>
  </si>
  <si>
    <t>BIFOCAL, TRANSITIONS</t>
  </si>
  <si>
    <t>MANUEL GARCIA</t>
  </si>
  <si>
    <t>ESTUCHES</t>
  </si>
  <si>
    <t>CARLOS ENRIQUE ALVARADO</t>
  </si>
  <si>
    <t>2283-9126</t>
  </si>
  <si>
    <t>V/S POLY CON AR SH</t>
  </si>
  <si>
    <t>JORGE ALBERTO RUIZ</t>
  </si>
  <si>
    <t>EPA</t>
  </si>
  <si>
    <t>7438-2887</t>
  </si>
  <si>
    <t>OAKLEY</t>
  </si>
  <si>
    <t>JOSE FRNCISCO MORALES</t>
  </si>
  <si>
    <t>7370-3826</t>
  </si>
  <si>
    <t>NAUTICA N8185 005</t>
  </si>
  <si>
    <t>MUÑOZ LOPEZ JOSE ANDRES</t>
  </si>
  <si>
    <t>BLANCA ESTELA ROSALES</t>
  </si>
  <si>
    <t>2226-3906</t>
  </si>
  <si>
    <t>ANDVAS F80</t>
  </si>
  <si>
    <t>MARIA RIVAS</t>
  </si>
  <si>
    <t>7015-3422</t>
  </si>
  <si>
    <t>ANDVAS F25</t>
  </si>
  <si>
    <t>MARILYN ELIZABETH VIGIL</t>
  </si>
  <si>
    <t>CHANEL CH5142 C03</t>
  </si>
  <si>
    <t>CLAUDIA GUADALUPE JOVEL</t>
  </si>
  <si>
    <t>PROFA</t>
  </si>
  <si>
    <t>7020-9886</t>
  </si>
  <si>
    <t>ACUVE</t>
  </si>
  <si>
    <t>CONTACTO</t>
  </si>
  <si>
    <t>FIDEL ANGEL</t>
  </si>
  <si>
    <t>MARIA RODRIGUEZ</t>
  </si>
  <si>
    <t>FREDY ABDIEL MELENDEZ</t>
  </si>
  <si>
    <t>7987-4663</t>
  </si>
  <si>
    <t>TRENDY CAPRI</t>
  </si>
  <si>
    <t>BLANCA IVANIA MELENDEZ</t>
  </si>
  <si>
    <t>ANDVAS A20022</t>
  </si>
  <si>
    <t>GERSON FERNANDO MUÑOZ</t>
  </si>
  <si>
    <t>7737-2419</t>
  </si>
  <si>
    <t>EYE CONIC CAPRI</t>
  </si>
  <si>
    <t>PABLO ERNESTO GOMEZ</t>
  </si>
  <si>
    <t xml:space="preserve"> FRANELA Y SOLUCION</t>
  </si>
  <si>
    <t>ANA GLORIA</t>
  </si>
  <si>
    <t>PATRICIA ALCIRA HERNANDEZ</t>
  </si>
  <si>
    <t>6181-3053</t>
  </si>
  <si>
    <t>ANDVAS 6213 C02</t>
  </si>
  <si>
    <t xml:space="preserve">BIFOCAL POLY BCO </t>
  </si>
  <si>
    <t>CESAR ANTONIO DE PAZ</t>
  </si>
  <si>
    <t>7732-6258</t>
  </si>
  <si>
    <t>ANDVAS A2007</t>
  </si>
  <si>
    <t>ENEYDA BELTRAN</t>
  </si>
  <si>
    <t>7062-1728</t>
  </si>
  <si>
    <t>KATHERINE RODRIGUEZ</t>
  </si>
  <si>
    <t>FRESH GO</t>
  </si>
  <si>
    <t>CONTACTO GREY</t>
  </si>
  <si>
    <t>GUILLERMO CASTRO</t>
  </si>
  <si>
    <t>JACQUELINE ROXANA BAIRES</t>
  </si>
  <si>
    <t>BARILLAS PLAQUETAS</t>
  </si>
  <si>
    <t>ANA GLORIA GARCIA</t>
  </si>
  <si>
    <t>6420-7708</t>
  </si>
  <si>
    <t>RAYBAN 8910 C04</t>
  </si>
  <si>
    <t>PROGRESIVO COMFORT CON AR Y TRANS.</t>
  </si>
  <si>
    <t>JOSE MARIA ALVAREZ</t>
  </si>
  <si>
    <t>7201-9693</t>
  </si>
  <si>
    <t>ANDVAS F177</t>
  </si>
  <si>
    <t>MONTAJE</t>
  </si>
  <si>
    <t>JOSE LUIS ANGEL</t>
  </si>
  <si>
    <t>SOLUCION FRANELA</t>
  </si>
  <si>
    <t>ENEYDA LISSETTE MONTES</t>
  </si>
  <si>
    <t>7720-1100</t>
  </si>
  <si>
    <t>ANDVAS HD135 COL03</t>
  </si>
  <si>
    <t>JOCELYN</t>
  </si>
  <si>
    <t>MONOGREEN</t>
  </si>
  <si>
    <t>ANA MARIA</t>
  </si>
  <si>
    <t>VISION MAX AEREO</t>
  </si>
  <si>
    <t>SARA ISABEL CORTEZ DE HUESO</t>
  </si>
  <si>
    <t>JULYSA GABRIELA LOPEZ GONZALEZ</t>
  </si>
  <si>
    <t>7601-4343</t>
  </si>
  <si>
    <t>ANDVAS A3024</t>
  </si>
  <si>
    <t>WENDY AVALOS S/P DARLYN NICOLE</t>
  </si>
  <si>
    <t>SIBOTE</t>
  </si>
  <si>
    <t>6000-2729</t>
  </si>
  <si>
    <t>SIBOTE ST8078</t>
  </si>
  <si>
    <t>SARA ISABEL CORTEZ DE HUEZO</t>
  </si>
  <si>
    <t>JIMMY CHOO 134 J6L 135</t>
  </si>
  <si>
    <t>ROGER ANTONY ABREGO</t>
  </si>
  <si>
    <t>7562-7161</t>
  </si>
  <si>
    <t>GUCCI GG1021</t>
  </si>
  <si>
    <t>PROCESO V/S CON AR SH</t>
  </si>
  <si>
    <t>MARILYN VIGIL GALEAS</t>
  </si>
  <si>
    <t>MARTA ALICIA QUINTANILLA</t>
  </si>
  <si>
    <t>SIBOTE ST 8078</t>
  </si>
  <si>
    <t>SERGIO FRANCISCO ORTIZ</t>
  </si>
  <si>
    <t>7223-6973</t>
  </si>
  <si>
    <t>GRANDE GR 811</t>
  </si>
  <si>
    <t>JOSE ROBERTO ESPAÑA</t>
  </si>
  <si>
    <t>PROGRESIVO PHYSIO TRANS Y AR SH</t>
  </si>
  <si>
    <t>KAREN VANESA RAMIREZ</t>
  </si>
  <si>
    <t>7744-6487</t>
  </si>
  <si>
    <t>JENNY CECIBEL LANDAVERDE</t>
  </si>
  <si>
    <t>OSCAR ANTONIO ALDANA LOPEZ</t>
  </si>
  <si>
    <t>7233-2053</t>
  </si>
  <si>
    <t>VISION MAX</t>
  </si>
  <si>
    <t>PROGRESIVO COMFORT CON AR</t>
  </si>
  <si>
    <t>KARLA VALENCIA</t>
  </si>
  <si>
    <t>ACETATO ECONOMICO</t>
  </si>
  <si>
    <t>RUBIA</t>
  </si>
  <si>
    <t>YESSENIA CRUZ</t>
  </si>
  <si>
    <t>P7008 53-18-140</t>
  </si>
  <si>
    <t>SALVADOR LEMUS</t>
  </si>
  <si>
    <t>2222-6513</t>
  </si>
  <si>
    <t>ANDVAS A2100</t>
  </si>
  <si>
    <t>V/S CON AR</t>
  </si>
  <si>
    <t>JOSUE RODRIGUEZ</t>
  </si>
  <si>
    <t>RUBEN ELIAS ALVARES</t>
  </si>
  <si>
    <t>PROGRESIVO VARILUX PHYSIO</t>
  </si>
  <si>
    <t>ZORINA ESTER MASFERRER</t>
  </si>
  <si>
    <t>7815-3915</t>
  </si>
  <si>
    <t>TIFANNY Y CO</t>
  </si>
  <si>
    <t>PROGRESIVO VARILUX PHYSIO CON AR SH</t>
  </si>
  <si>
    <t>CLAUDIA GARCIA</t>
  </si>
  <si>
    <t>ANDVAS A2007 C5</t>
  </si>
  <si>
    <t>V/S CON AR SH</t>
  </si>
  <si>
    <t>SERGIO ANTONI SALAMANCA</t>
  </si>
  <si>
    <t>7231-1686</t>
  </si>
  <si>
    <t>EDWIN AGUIRRE S/P GLENDA NAVARRETE</t>
  </si>
  <si>
    <t>ANDVAS VO4072 1044</t>
  </si>
  <si>
    <t>LENTE V/S POLY BCO CON AR</t>
  </si>
  <si>
    <t>CESAR MONTES</t>
  </si>
  <si>
    <t>IRMA ELENA NAVAS TORRES</t>
  </si>
  <si>
    <t>CONTACTO GRADUADO</t>
  </si>
  <si>
    <t>TONY ADALBERTO JOSE BONILLA</t>
  </si>
  <si>
    <t>7662-0421</t>
  </si>
  <si>
    <t>CAPRI T30 BROW</t>
  </si>
  <si>
    <t>GEOVANY RIVAS</t>
  </si>
  <si>
    <t>CAMBIO PLAQUETA</t>
  </si>
  <si>
    <t>LUIS EDUARDO GARCIA</t>
  </si>
  <si>
    <t>7843-2227</t>
  </si>
  <si>
    <t>GRANDE BLUE</t>
  </si>
  <si>
    <t>15/3/1º9</t>
  </si>
  <si>
    <t>ALEXIS ARMANDO GARCIA</t>
  </si>
  <si>
    <t>7332-0972</t>
  </si>
  <si>
    <t>METAL JM 13 C3</t>
  </si>
  <si>
    <t>ESTER CORNEJO DE ELIAS</t>
  </si>
  <si>
    <t>7300-2606</t>
  </si>
  <si>
    <t>GUCCI GG42440ZL</t>
  </si>
  <si>
    <t>MARTINA LORENA BENAVIDES</t>
  </si>
  <si>
    <t>7720-5756</t>
  </si>
  <si>
    <t>RAY BAN RB5265-D</t>
  </si>
  <si>
    <t>PROGRESIVO VARILUX COMFORT</t>
  </si>
  <si>
    <t>EUNICE ELIZABETH QUIJADA</t>
  </si>
  <si>
    <t>7940-0294</t>
  </si>
  <si>
    <t>JM816 C3</t>
  </si>
  <si>
    <t>PROGRESIVO OVATIONS CON AR SH</t>
  </si>
  <si>
    <t>JOSELYN VANESSA VASQUEZ</t>
  </si>
  <si>
    <t>ANDVAS 6113 C02</t>
  </si>
  <si>
    <t>MAYRA ELIZABETH MORAN</t>
  </si>
  <si>
    <t>7943-1241</t>
  </si>
  <si>
    <t>ANDVAS 88764 C2</t>
  </si>
  <si>
    <t>V/S CON AR SH TRANSITIONS</t>
  </si>
  <si>
    <t>JOSSELINE ALEJANDRA PEREZ</t>
  </si>
  <si>
    <t>DAYANARA JUDITH PEREZ</t>
  </si>
  <si>
    <t>7611-7620</t>
  </si>
  <si>
    <t>GUESS GU256 F045</t>
  </si>
  <si>
    <t>V/S CON AR CRIZAL</t>
  </si>
  <si>
    <t>JONATHAN PEREZ</t>
  </si>
  <si>
    <t>VERONICA MARINA CAÑAS</t>
  </si>
  <si>
    <t>CINDY LISSETTE GIRON</t>
  </si>
  <si>
    <t>7973-4906</t>
  </si>
  <si>
    <t>MARINA MARTINEZ</t>
  </si>
  <si>
    <t>7536-83</t>
  </si>
  <si>
    <t xml:space="preserve">CONTACTO </t>
  </si>
  <si>
    <t>TATIANA YAMILETH PADILLA</t>
  </si>
  <si>
    <t>MARIA IRMA AVALOS</t>
  </si>
  <si>
    <t>ACETATO</t>
  </si>
  <si>
    <t>CARLOS MARROQUIN SP LESLIE</t>
  </si>
  <si>
    <t>2532-6487</t>
  </si>
  <si>
    <t>ANDVAS HD 133</t>
  </si>
  <si>
    <t>KAREN PATRICIA ESCOBAR</t>
  </si>
  <si>
    <t>7899-9206</t>
  </si>
  <si>
    <t>ANDVAS XC49 C3</t>
  </si>
  <si>
    <t xml:space="preserve">V/S POLY BCO CON AR  </t>
  </si>
  <si>
    <t>LOREN GLORIA MARIBEL</t>
  </si>
  <si>
    <t>7872-6844</t>
  </si>
  <si>
    <t>VISION MAX ES11033 4818135</t>
  </si>
  <si>
    <t>V/S FOTOCROMATICO Y AR</t>
  </si>
  <si>
    <t>JESUS CORNEJO</t>
  </si>
  <si>
    <t>FRANCISCA CORNEJO</t>
  </si>
  <si>
    <t>GUESS GU2494 0 56</t>
  </si>
  <si>
    <t>JUAN CARLOS MELENDEZ CRESPIN</t>
  </si>
  <si>
    <t>7459-3033</t>
  </si>
  <si>
    <t>VARILUX COMFORT CON AR SH</t>
  </si>
  <si>
    <t>INGRID JENIFER DURAN S/P ALEXIS DURAN</t>
  </si>
  <si>
    <t>7987-6532</t>
  </si>
  <si>
    <t>ANDVAS UT159</t>
  </si>
  <si>
    <t>JEYMI GUADALUPE DE PAZ</t>
  </si>
  <si>
    <t>7687-8571</t>
  </si>
  <si>
    <t>MARIA LEMUS</t>
  </si>
  <si>
    <t>7756-4846</t>
  </si>
  <si>
    <t>TORY BOSH TH2070 1150</t>
  </si>
  <si>
    <t>VARILUX COMFORT CON TRANSITIONS</t>
  </si>
  <si>
    <t>ALISSON CEA</t>
  </si>
  <si>
    <t xml:space="preserve">SOLUCION </t>
  </si>
  <si>
    <t>JOSUE MUÑOZ</t>
  </si>
  <si>
    <t>MONICA ISABEL GOMEZ</t>
  </si>
  <si>
    <t>7465-8362</t>
  </si>
  <si>
    <t>ANDVAS 6166C04</t>
  </si>
  <si>
    <t>JOSE RENE RUIZ</t>
  </si>
  <si>
    <t>7789-5185</t>
  </si>
  <si>
    <t>VISION MAX ES11036</t>
  </si>
  <si>
    <t>VARILUX COMFORT</t>
  </si>
  <si>
    <t>SAUL ERNESTO FLORES</t>
  </si>
  <si>
    <t>RAYBAN RB7078</t>
  </si>
  <si>
    <t>GABRIELA CHAVEZ MIJANGO</t>
  </si>
  <si>
    <t>ANDVAS HD132 C03</t>
  </si>
  <si>
    <t>VERONICA SOFIA CHAVEZ</t>
  </si>
  <si>
    <t>ANDVAS ACETATO</t>
  </si>
  <si>
    <t>WILFREDO ALIRIO Y ROSITA CRUZ</t>
  </si>
  <si>
    <t>GOBERNACION</t>
  </si>
  <si>
    <t>7070-3027</t>
  </si>
  <si>
    <t>GUESS GU1783 GANT GA3059 020</t>
  </si>
  <si>
    <t>2 V/S POLY BCO CON AR</t>
  </si>
  <si>
    <t>STEFANY IVETTE MIRANDA</t>
  </si>
  <si>
    <t>7318-9912</t>
  </si>
  <si>
    <t>MARC JACOBS MMJ649</t>
  </si>
  <si>
    <t>JACQUELINE PINEDA SP MATEO SANCHEZ</t>
  </si>
  <si>
    <t>CRUZROJA</t>
  </si>
  <si>
    <t>2239-2638</t>
  </si>
  <si>
    <t>CARRERA HNF 125</t>
  </si>
  <si>
    <t>JOSUE DAVID ORTIZ</t>
  </si>
  <si>
    <t>7276-6085</t>
  </si>
  <si>
    <t>ANDVAS A2107 C2</t>
  </si>
  <si>
    <t>LAURA ARGUETA</t>
  </si>
  <si>
    <t>7569-7903</t>
  </si>
  <si>
    <t>OVATIONS CON AR</t>
  </si>
  <si>
    <t>ROBERTO MARTINEZ</t>
  </si>
  <si>
    <t>7958-6181</t>
  </si>
  <si>
    <t>LACOSTE L2792 615</t>
  </si>
  <si>
    <t xml:space="preserve">V/S POLY BCO  </t>
  </si>
  <si>
    <t>HECTOR ANTONIO MENDEZ</t>
  </si>
  <si>
    <t>7786-5507</t>
  </si>
  <si>
    <t>GRANDE GR805</t>
  </si>
  <si>
    <t>OMAR RAMOS</t>
  </si>
  <si>
    <t>GENESIS CASTANEDA</t>
  </si>
  <si>
    <t xml:space="preserve">IRMA NAVAS TORRES </t>
  </si>
  <si>
    <t>SOLUCION DE LENTE DE CONTACTO</t>
  </si>
  <si>
    <t>MAURICIO EDAGRDO AMAYA</t>
  </si>
  <si>
    <t>7271-5628</t>
  </si>
  <si>
    <t>VIDRIO FOTHOGRAY</t>
  </si>
  <si>
    <t>JESSICA JEANETH CARDOZA</t>
  </si>
  <si>
    <t>METAL VO4072 W44</t>
  </si>
  <si>
    <t>PATRICIA NOHEMY MEDINA</t>
  </si>
  <si>
    <t>7604-1653</t>
  </si>
  <si>
    <t>RAYBAN RB 5318 2066GANT G3002SBLK</t>
  </si>
  <si>
    <t>2 OVATIONS POLY BCO CON AR</t>
  </si>
  <si>
    <t>EDGAR ANTONIO LOPEZ</t>
  </si>
  <si>
    <t>CHORY</t>
  </si>
  <si>
    <t>7165-3174</t>
  </si>
  <si>
    <t>VISION MAX VL11044</t>
  </si>
  <si>
    <t>BIFOCAL TRANSITIONS</t>
  </si>
  <si>
    <t>DAVID RAMIREZ</t>
  </si>
  <si>
    <t>7618-0058</t>
  </si>
  <si>
    <t>ANDVAS UT147 C4</t>
  </si>
  <si>
    <t>JULIO ABNER HERNANDEZ Y OSCAR PEREZ</t>
  </si>
  <si>
    <t>7921-0722</t>
  </si>
  <si>
    <t>RAYBAN RB8870 GUESS GU1869 002</t>
  </si>
  <si>
    <t>VARILUX PHYSIO TRANSITIONS Y AR VARILUX COMFORT AR</t>
  </si>
  <si>
    <t>SAUL</t>
  </si>
  <si>
    <t>LIMPIEZA Y AJUSTE</t>
  </si>
  <si>
    <t>GABRIELA GALDAMEZ</t>
  </si>
  <si>
    <t>CONTACTO BLUE</t>
  </si>
  <si>
    <t>ARTURO DIAZ</t>
  </si>
  <si>
    <t>PABLO SANTIAGO AVILES</t>
  </si>
  <si>
    <t>7316-8093</t>
  </si>
  <si>
    <t>ANDVAS 6190 C02</t>
  </si>
  <si>
    <t>MONICA SERVELLON GERARDO SERVELLON</t>
  </si>
  <si>
    <t>7305-9049</t>
  </si>
  <si>
    <t>ANDVAS A3006 C2 ANDVAS A2008 C6</t>
  </si>
  <si>
    <t>ALDO MARTINEZ</t>
  </si>
  <si>
    <t>6175-6462</t>
  </si>
  <si>
    <t>23/3719</t>
  </si>
  <si>
    <t>7749-4327</t>
  </si>
  <si>
    <t>DIOR N6 SIBOTE ST 8078</t>
  </si>
  <si>
    <t>LUCY RUANO</t>
  </si>
  <si>
    <t>FRESHGO Y SOLUCION</t>
  </si>
  <si>
    <t>OSCAR IVAN JIMENEZ</t>
  </si>
  <si>
    <t>X</t>
  </si>
  <si>
    <t>GILBERTO ARMANDO DOMINGUEZ</t>
  </si>
  <si>
    <t>7924-4039</t>
  </si>
  <si>
    <t>CIDIA NINIVE VENTURA</t>
  </si>
  <si>
    <t>7048-6287</t>
  </si>
  <si>
    <t>BIOFINITY</t>
  </si>
  <si>
    <t>LENTES DE CONTACTO</t>
  </si>
  <si>
    <t>OLGA MARGARITA GONZALES</t>
  </si>
  <si>
    <t>7148-9690</t>
  </si>
  <si>
    <t>ANDVAS F199</t>
  </si>
  <si>
    <t>ROSEMBER GIOVANI MELARA</t>
  </si>
  <si>
    <t>6162-9253</t>
  </si>
  <si>
    <t>ANDVAS A2113</t>
  </si>
  <si>
    <t>POLY BCO Y AR SH</t>
  </si>
  <si>
    <t>DINA ESTHER ORELLANA</t>
  </si>
  <si>
    <t>6147-0162</t>
  </si>
  <si>
    <t>ANA MARTINEZ</t>
  </si>
  <si>
    <t>2262-3263</t>
  </si>
  <si>
    <t>GUCCI GG3785</t>
  </si>
  <si>
    <t>ROXANA ELIZABETH MORALES</t>
  </si>
  <si>
    <t>ANDVAS A3024 C5</t>
  </si>
  <si>
    <t>24/3719</t>
  </si>
  <si>
    <t>DIANA CAROLINA RAMOS</t>
  </si>
  <si>
    <t>6016-6902</t>
  </si>
  <si>
    <t>ANDVAS A2100 C2</t>
  </si>
  <si>
    <t>V/S  POLY BCO CON AR</t>
  </si>
  <si>
    <t>JOSE CASTILLO S/P ROSSANA CASTILLO</t>
  </si>
  <si>
    <t>7635-8994</t>
  </si>
  <si>
    <t xml:space="preserve">DICAPRIO </t>
  </si>
  <si>
    <t>ANGELA ZULEYMA PARADA</t>
  </si>
  <si>
    <t>RAYBAN RB6281D 2503</t>
  </si>
  <si>
    <t>VARILUX COMFORT TRANSITIONS</t>
  </si>
  <si>
    <t>EVELYN PORTILLO</t>
  </si>
  <si>
    <t>6180-0080</t>
  </si>
  <si>
    <t>TORNILLO</t>
  </si>
  <si>
    <t>IDALIA S/P MARCELA BAUTISTA</t>
  </si>
  <si>
    <t>7001-7543</t>
  </si>
  <si>
    <t>SE 020 SE020 C01</t>
  </si>
  <si>
    <t>CINTHYA BONILLA</t>
  </si>
  <si>
    <t>7474-6605</t>
  </si>
  <si>
    <t>MARIA MARIA</t>
  </si>
  <si>
    <t>FRESHGO</t>
  </si>
  <si>
    <t>JAZMIN MARISOL FERDANDO MATEO</t>
  </si>
  <si>
    <t>7575-9153</t>
  </si>
  <si>
    <t>ANDVAS F78C511</t>
  </si>
  <si>
    <t>ESTEFHANY CAROLINA BOLAÑOS</t>
  </si>
  <si>
    <t>ANDVAS HD135 CO02</t>
  </si>
  <si>
    <t>HOWARD MARCELO MARROQUIN</t>
  </si>
  <si>
    <t>JM821 C2</t>
  </si>
  <si>
    <t>V/S POLY BACO CON AR</t>
  </si>
  <si>
    <t>FELIX MAURICIO RIVAS</t>
  </si>
  <si>
    <t>7045-2330</t>
  </si>
  <si>
    <t>NIKE</t>
  </si>
  <si>
    <t>JOSE ARGUETA S/P LORENA PORTILLO</t>
  </si>
  <si>
    <t>USULUTAN</t>
  </si>
  <si>
    <t>7899-4382</t>
  </si>
  <si>
    <t>RAYBAN</t>
  </si>
  <si>
    <t>VARILUX COMFORT POLY BCO</t>
  </si>
  <si>
    <t>KIRIAM LAINEZ LOZANO</t>
  </si>
  <si>
    <t>6020-5091</t>
  </si>
  <si>
    <t>ANA MERCEDES ZAYAS</t>
  </si>
  <si>
    <t>7989-0842</t>
  </si>
  <si>
    <t>BENITA DEL CARMEN</t>
  </si>
  <si>
    <t>2626-4322</t>
  </si>
  <si>
    <t>JOSE ARNOLDO SORTO</t>
  </si>
  <si>
    <t>PATRICIA DE LOS ANGELES</t>
  </si>
  <si>
    <t>6166-0253</t>
  </si>
  <si>
    <t>SILVIA DOLORES MORALES</t>
  </si>
  <si>
    <t>7886-8179</t>
  </si>
  <si>
    <t>JAKEFITH SALS804</t>
  </si>
  <si>
    <t>ANA LIDIA ROMERO S/P DAMNE ANAI</t>
  </si>
  <si>
    <t>ROSA ELIDA NOLASCO</t>
  </si>
  <si>
    <t>7989-4417</t>
  </si>
  <si>
    <t>RAYBAN RB5391 2003</t>
  </si>
  <si>
    <t>OVATIONS POLY TRANSITIONS</t>
  </si>
  <si>
    <t>MARGARITA DEL CARMEN JOVEL</t>
  </si>
  <si>
    <t>7988-4156</t>
  </si>
  <si>
    <t>V/S POLY BCO CON AR Y TRANSITIONS</t>
  </si>
  <si>
    <t>TRINIDAD MARIBEL</t>
  </si>
  <si>
    <t>7283-2151</t>
  </si>
  <si>
    <t>VIDRIO FOTOGRAY</t>
  </si>
  <si>
    <t>ANGEL AMAYA S/P DIANA CECILIA</t>
  </si>
  <si>
    <t>7376-4159</t>
  </si>
  <si>
    <t>ELSA GUARDADO DE CABALLERO</t>
  </si>
  <si>
    <t>7404-3331</t>
  </si>
  <si>
    <t>GUESS GU1858 090</t>
  </si>
  <si>
    <t xml:space="preserve">OVATION POLY BCO </t>
  </si>
  <si>
    <t>ALEJANDRA REBECA GONZALES</t>
  </si>
  <si>
    <t>7839-7059</t>
  </si>
  <si>
    <t>ANDVAS HD 135 COL03</t>
  </si>
  <si>
    <t>FRANCISCO ANTONIO ZELAYA</t>
  </si>
  <si>
    <t>7818-0774</t>
  </si>
  <si>
    <t>JM13 C1</t>
  </si>
  <si>
    <t>NATURAL EN POLY BCO</t>
  </si>
  <si>
    <t>WILFREDO OLIVA</t>
  </si>
  <si>
    <t>7973-6591</t>
  </si>
  <si>
    <t>ANDVAS A2115 C2</t>
  </si>
  <si>
    <t>VARILUX COMFORT TRANSITIONS GREEN</t>
  </si>
  <si>
    <t>TANIA AVILES</t>
  </si>
  <si>
    <t>SANDRA MATA</t>
  </si>
  <si>
    <t>SAMUEL ERNESTO RAMIREZ</t>
  </si>
  <si>
    <t>ANDVAS 6190 C04</t>
  </si>
  <si>
    <t>JOAQUIN RODRIGUEZ</t>
  </si>
  <si>
    <t>VARILLAS</t>
  </si>
  <si>
    <t>RENE DAVID IDALGO</t>
  </si>
  <si>
    <t>7601-2203</t>
  </si>
  <si>
    <t>TOMMY TH1406 FMW145</t>
  </si>
  <si>
    <t>EILEEN JEANETTE MARTINEZ</t>
  </si>
  <si>
    <t>7749-0068</t>
  </si>
  <si>
    <t>GUESS GM197 BRN Y BURBERRY</t>
  </si>
  <si>
    <t>ABIGAIL ROQUE</t>
  </si>
  <si>
    <t>EVELYN CANDRAY</t>
  </si>
  <si>
    <t>FRESH GO Y SOLUCION</t>
  </si>
  <si>
    <t>BERTA LILA CRUZ</t>
  </si>
  <si>
    <t>2557-5904</t>
  </si>
  <si>
    <t>ANDVAS F153</t>
  </si>
  <si>
    <t>BIFOCAL POLY BACO</t>
  </si>
  <si>
    <t>MARIA REUMALDA BAÑOS</t>
  </si>
  <si>
    <t>2 EXAMENES</t>
  </si>
  <si>
    <t>JOSE GEOVANY ARAGON</t>
  </si>
  <si>
    <t>BIFOCAL FOTOCROMATICO</t>
  </si>
  <si>
    <t>ANA MIRIAM PONCE</t>
  </si>
  <si>
    <t>RENE ORELLANA</t>
  </si>
  <si>
    <t>BLANCA JACQUELINE VASQUEZ</t>
  </si>
  <si>
    <t>7683-5066</t>
  </si>
  <si>
    <t>METALICO BV4182 2022</t>
  </si>
  <si>
    <t>ROSA CLARIBEL Y RENE MARTINEZ</t>
  </si>
  <si>
    <t>7799-4782</t>
  </si>
  <si>
    <t>NIKE4265 S4 Y NIKE 9679</t>
  </si>
  <si>
    <t>2 VARILUX PHYSIO CON AR SH</t>
  </si>
  <si>
    <t>NELLY MARTINEZ</t>
  </si>
  <si>
    <t>MARIA ANGELA MUÑOZ</t>
  </si>
  <si>
    <t>ANDVAS ES85013 C3</t>
  </si>
  <si>
    <t>ARACELY CRUZ</t>
  </si>
  <si>
    <t>LIZET PATRICIA QUINTANILLA</t>
  </si>
  <si>
    <t>7716-3023</t>
  </si>
  <si>
    <t>OVATIONS TRANSITIONS</t>
  </si>
  <si>
    <t>NORA MABEL LOPEZ</t>
  </si>
  <si>
    <t>7744-0973</t>
  </si>
  <si>
    <t>METAL 1212C2</t>
  </si>
  <si>
    <t>MAURICIO ERNESTO MELARA</t>
  </si>
  <si>
    <t>7988-3055</t>
  </si>
  <si>
    <t>RAYBAN RB8875 C1</t>
  </si>
  <si>
    <t>YOLANDA GUADALUPE MONTEAGUDO</t>
  </si>
  <si>
    <t>7724-9958</t>
  </si>
  <si>
    <t>METAL ECO CD-270</t>
  </si>
  <si>
    <t xml:space="preserve">V/S POLY BCO CON AR   </t>
  </si>
  <si>
    <t>JOSE ERNESTO HERNANDEZ</t>
  </si>
  <si>
    <t>7093-0896</t>
  </si>
  <si>
    <t>KEVIN GEOVANY MERINO</t>
  </si>
  <si>
    <t>7255-4949</t>
  </si>
  <si>
    <t>EMPORIO EA3089 5042</t>
  </si>
  <si>
    <t>V/S POLY BCO CON AR SH Y ADELGAZADO</t>
  </si>
  <si>
    <t>KAREN MARIELA MARTINEZ</t>
  </si>
  <si>
    <t>7016-3666</t>
  </si>
  <si>
    <t>BURBERRY B2189 3014</t>
  </si>
  <si>
    <t>VARILUX PHYSIO CON AR SH</t>
  </si>
  <si>
    <t>MARIA MAGDALENA OZUNA</t>
  </si>
  <si>
    <t>7876-9953</t>
  </si>
  <si>
    <t>RAYBAN RB5162 2031</t>
  </si>
  <si>
    <t>CALEB DIAZ</t>
  </si>
  <si>
    <t>7554-3704</t>
  </si>
  <si>
    <t>SOLUCION Y AJUSTE</t>
  </si>
  <si>
    <t>YESENIA DEL CARMEN TORRES</t>
  </si>
  <si>
    <t>7148-9232</t>
  </si>
  <si>
    <t>ANDVAS F611</t>
  </si>
  <si>
    <t>V/S POLY CON TRANSITIONS</t>
  </si>
  <si>
    <t>VILMA SIBRIAN</t>
  </si>
  <si>
    <t>WAPAS</t>
  </si>
  <si>
    <t>7749-0868</t>
  </si>
  <si>
    <t>GM 197 BRN</t>
  </si>
  <si>
    <t>DOLCE GABANNA DG1260</t>
  </si>
  <si>
    <t>VENTA</t>
  </si>
  <si>
    <t>SALDO</t>
  </si>
  <si>
    <t>COMISION</t>
  </si>
  <si>
    <t>RECIBIDO</t>
  </si>
  <si>
    <t>FAC 565</t>
  </si>
  <si>
    <t>FAC 563</t>
  </si>
  <si>
    <t>REC 923</t>
  </si>
  <si>
    <t>FAC 560</t>
  </si>
  <si>
    <t>FAC 561</t>
  </si>
  <si>
    <t>FAC 557</t>
  </si>
  <si>
    <t>WENDY BEATRIZ GIRON</t>
  </si>
  <si>
    <t>7055-4663</t>
  </si>
  <si>
    <t>VISION SENCILLA POLY BCO CON AR</t>
  </si>
  <si>
    <t>AND VAS MORADO</t>
  </si>
  <si>
    <t>REC 1017</t>
  </si>
  <si>
    <t>REC 912</t>
  </si>
  <si>
    <t>FAC 556 23/01/2019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</si>
</sst>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;[Red]\-&quot;$&quot;#,##0"/>
    <numFmt numFmtId="44" formatCode="_-&quot;$&quot;* #,##0.00_-;\-&quot;$&quot;* #,##0.00_-;_-&quot;$&quot;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theme="1"/>
      <name val="Century Gothic"/>
      <family val="2"/>
    </font>
    <font>
      <sz val="7"/>
      <color theme="1"/>
      <name val="Calibri"/>
      <family val="2"/>
      <scheme val="minor"/>
    </font>
    <font>
      <sz val="8"/>
      <color theme="1"/>
      <name val="Century Gothic"/>
      <family val="2"/>
    </font>
    <font>
      <b/>
      <sz val="8"/>
      <name val="Calibri"/>
      <family val="2"/>
      <scheme val="minor"/>
    </font>
    <font>
      <b/>
      <sz val="8"/>
      <name val="Century Gothic"/>
      <family val="2"/>
    </font>
    <font>
      <sz val="8"/>
      <name val="Calibri"/>
      <family val="2"/>
      <scheme val="minor"/>
    </font>
    <font>
      <sz val="8"/>
      <name val="Century Gothic"/>
      <family val="2"/>
    </font>
    <font>
      <sz val="7"/>
      <name val="Century Gothic"/>
      <family val="2"/>
    </font>
    <font>
      <sz val="11"/>
      <name val="Calibri"/>
      <family val="2"/>
      <scheme val="minor"/>
    </font>
    <font>
      <b/>
      <sz val="7"/>
      <name val="Century Gothic"/>
      <family val="2"/>
    </font>
    <font>
      <b/>
      <sz val="11"/>
      <name val="Calibri"/>
      <family val="2"/>
      <scheme val="minor"/>
    </font>
    <font>
      <b/>
      <sz val="10"/>
      <name val="Century Gothic"/>
      <family val="2"/>
    </font>
    <font>
      <b/>
      <sz val="10"/>
      <name val="Calibri"/>
      <family val="2"/>
      <scheme val="minor"/>
    </font>
    <font>
      <sz val="7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entury Gothic"/>
      <family val="2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6">
    <xf numFmtId="0" fontId="0" fillId="0" borderId="0" xfId="0"/>
    <xf numFmtId="0" fontId="3" fillId="0" borderId="5" xfId="0" applyFont="1" applyBorder="1"/>
    <xf numFmtId="0" fontId="2" fillId="0" borderId="5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wrapText="1"/>
    </xf>
    <xf numFmtId="14" fontId="4" fillId="0" borderId="5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44" fontId="4" fillId="0" borderId="0" xfId="1" applyFont="1"/>
    <xf numFmtId="0" fontId="0" fillId="3" borderId="0" xfId="0" applyFill="1"/>
    <xf numFmtId="44" fontId="5" fillId="3" borderId="5" xfId="1" applyFont="1" applyFill="1" applyBorder="1"/>
    <xf numFmtId="44" fontId="6" fillId="3" borderId="5" xfId="1" applyFont="1" applyFill="1" applyBorder="1" applyAlignment="1">
      <alignment wrapText="1"/>
    </xf>
    <xf numFmtId="44" fontId="6" fillId="3" borderId="5" xfId="1" applyFont="1" applyFill="1" applyBorder="1"/>
    <xf numFmtId="0" fontId="6" fillId="3" borderId="5" xfId="0" applyFont="1" applyFill="1" applyBorder="1" applyAlignment="1">
      <alignment horizontal="center"/>
    </xf>
    <xf numFmtId="0" fontId="6" fillId="3" borderId="5" xfId="0" applyFont="1" applyFill="1" applyBorder="1" applyAlignment="1">
      <alignment wrapText="1"/>
    </xf>
    <xf numFmtId="44" fontId="6" fillId="3" borderId="5" xfId="1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/>
    </xf>
    <xf numFmtId="44" fontId="6" fillId="3" borderId="5" xfId="0" applyNumberFormat="1" applyFont="1" applyFill="1" applyBorder="1" applyAlignment="1">
      <alignment horizontal="center" vertical="center"/>
    </xf>
    <xf numFmtId="0" fontId="5" fillId="3" borderId="0" xfId="0" applyFont="1" applyFill="1"/>
    <xf numFmtId="0" fontId="7" fillId="3" borderId="0" xfId="0" applyFont="1" applyFill="1"/>
    <xf numFmtId="0" fontId="8" fillId="3" borderId="5" xfId="0" applyFont="1" applyFill="1" applyBorder="1" applyAlignment="1">
      <alignment horizontal="center"/>
    </xf>
    <xf numFmtId="0" fontId="8" fillId="3" borderId="5" xfId="0" applyFont="1" applyFill="1" applyBorder="1" applyAlignment="1">
      <alignment wrapText="1"/>
    </xf>
    <xf numFmtId="44" fontId="8" fillId="3" borderId="5" xfId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 wrapText="1"/>
    </xf>
    <xf numFmtId="44" fontId="8" fillId="3" borderId="5" xfId="0" applyNumberFormat="1" applyFont="1" applyFill="1" applyBorder="1" applyAlignment="1">
      <alignment horizontal="center" vertical="center"/>
    </xf>
    <xf numFmtId="0" fontId="5" fillId="3" borderId="5" xfId="0" applyFont="1" applyFill="1" applyBorder="1"/>
    <xf numFmtId="0" fontId="6" fillId="3" borderId="0" xfId="0" applyFont="1" applyFill="1" applyAlignment="1">
      <alignment horizontal="center"/>
    </xf>
    <xf numFmtId="0" fontId="6" fillId="3" borderId="0" xfId="0" applyFont="1" applyFill="1" applyAlignment="1">
      <alignment wrapText="1"/>
    </xf>
    <xf numFmtId="44" fontId="6" fillId="3" borderId="0" xfId="1" applyFont="1" applyFill="1"/>
    <xf numFmtId="0" fontId="6" fillId="3" borderId="0" xfId="0" applyFont="1" applyFill="1"/>
    <xf numFmtId="0" fontId="8" fillId="0" borderId="5" xfId="0" applyFont="1" applyBorder="1" applyAlignment="1">
      <alignment horizontal="center"/>
    </xf>
    <xf numFmtId="14" fontId="8" fillId="0" borderId="5" xfId="0" applyNumberFormat="1" applyFont="1" applyBorder="1" applyAlignment="1">
      <alignment horizontal="center"/>
    </xf>
    <xf numFmtId="0" fontId="8" fillId="0" borderId="5" xfId="0" applyFont="1" applyBorder="1" applyAlignment="1">
      <alignment wrapText="1"/>
    </xf>
    <xf numFmtId="44" fontId="8" fillId="0" borderId="5" xfId="1" applyFont="1" applyBorder="1"/>
    <xf numFmtId="44" fontId="8" fillId="0" borderId="5" xfId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0" fillId="0" borderId="0" xfId="0" applyFont="1"/>
    <xf numFmtId="0" fontId="6" fillId="0" borderId="5" xfId="0" applyFont="1" applyBorder="1" applyAlignment="1">
      <alignment horizontal="center"/>
    </xf>
    <xf numFmtId="0" fontId="6" fillId="0" borderId="5" xfId="0" applyFont="1" applyBorder="1" applyAlignment="1">
      <alignment wrapText="1"/>
    </xf>
    <xf numFmtId="44" fontId="6" fillId="0" borderId="5" xfId="1" applyFont="1" applyBorder="1"/>
    <xf numFmtId="44" fontId="6" fillId="0" borderId="5" xfId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2" fillId="3" borderId="0" xfId="0" applyFont="1" applyFill="1"/>
    <xf numFmtId="0" fontId="12" fillId="0" borderId="0" xfId="0" applyFont="1"/>
    <xf numFmtId="44" fontId="13" fillId="4" borderId="5" xfId="1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/>
    </xf>
    <xf numFmtId="44" fontId="13" fillId="4" borderId="5" xfId="0" applyNumberFormat="1" applyFont="1" applyFill="1" applyBorder="1" applyAlignment="1">
      <alignment horizontal="center" vertical="center"/>
    </xf>
    <xf numFmtId="14" fontId="13" fillId="4" borderId="5" xfId="0" applyNumberFormat="1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vertical="center" wrapText="1"/>
    </xf>
    <xf numFmtId="44" fontId="13" fillId="4" borderId="5" xfId="1" applyFont="1" applyFill="1" applyBorder="1" applyAlignment="1">
      <alignment vertical="center"/>
    </xf>
    <xf numFmtId="0" fontId="14" fillId="3" borderId="0" xfId="0" applyFont="1" applyFill="1" applyAlignment="1">
      <alignment vertical="center"/>
    </xf>
    <xf numFmtId="0" fontId="14" fillId="4" borderId="0" xfId="0" applyFont="1" applyFill="1" applyAlignment="1">
      <alignment vertical="center"/>
    </xf>
    <xf numFmtId="14" fontId="6" fillId="3" borderId="5" xfId="1" applyNumberFormat="1" applyFont="1" applyFill="1" applyBorder="1" applyAlignment="1">
      <alignment horizontal="center"/>
    </xf>
    <xf numFmtId="49" fontId="6" fillId="3" borderId="5" xfId="1" applyNumberFormat="1" applyFont="1" applyFill="1" applyBorder="1" applyAlignment="1">
      <alignment horizontal="center" vertical="center" wrapText="1"/>
    </xf>
    <xf numFmtId="0" fontId="8" fillId="0" borderId="5" xfId="0" applyFont="1" applyBorder="1" applyAlignment="1"/>
    <xf numFmtId="0" fontId="5" fillId="0" borderId="0" xfId="0" applyFont="1"/>
    <xf numFmtId="0" fontId="6" fillId="4" borderId="5" xfId="0" applyFont="1" applyFill="1" applyBorder="1" applyAlignment="1">
      <alignment horizontal="center"/>
    </xf>
    <xf numFmtId="14" fontId="6" fillId="4" borderId="5" xfId="0" applyNumberFormat="1" applyFont="1" applyFill="1" applyBorder="1" applyAlignment="1">
      <alignment horizontal="center"/>
    </xf>
    <xf numFmtId="0" fontId="6" fillId="4" borderId="5" xfId="0" applyFont="1" applyFill="1" applyBorder="1" applyAlignment="1">
      <alignment wrapText="1"/>
    </xf>
    <xf numFmtId="0" fontId="6" fillId="4" borderId="5" xfId="0" applyFont="1" applyFill="1" applyBorder="1" applyAlignment="1"/>
    <xf numFmtId="44" fontId="6" fillId="4" borderId="5" xfId="1" applyFont="1" applyFill="1" applyBorder="1"/>
    <xf numFmtId="44" fontId="6" fillId="4" borderId="5" xfId="1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/>
    </xf>
    <xf numFmtId="44" fontId="6" fillId="4" borderId="5" xfId="0" applyNumberFormat="1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/>
    </xf>
    <xf numFmtId="0" fontId="6" fillId="6" borderId="0" xfId="0" applyFont="1" applyFill="1" applyAlignment="1">
      <alignment wrapText="1"/>
    </xf>
    <xf numFmtId="44" fontId="6" fillId="6" borderId="0" xfId="1" applyFont="1" applyFill="1"/>
    <xf numFmtId="44" fontId="6" fillId="6" borderId="0" xfId="0" applyNumberFormat="1" applyFont="1" applyFill="1"/>
    <xf numFmtId="0" fontId="6" fillId="6" borderId="0" xfId="0" applyFont="1" applyFill="1"/>
    <xf numFmtId="0" fontId="5" fillId="6" borderId="0" xfId="0" applyFont="1" applyFill="1"/>
    <xf numFmtId="44" fontId="5" fillId="6" borderId="0" xfId="0" applyNumberFormat="1" applyFont="1" applyFill="1"/>
    <xf numFmtId="0" fontId="6" fillId="3" borderId="3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6" fillId="3" borderId="4" xfId="0" applyFont="1" applyFill="1" applyBorder="1" applyAlignment="1">
      <alignment horizontal="center" wrapText="1"/>
    </xf>
    <xf numFmtId="0" fontId="6" fillId="3" borderId="0" xfId="0" applyFont="1" applyFill="1" applyBorder="1" applyAlignment="1">
      <alignment horizontal="center" vertical="center" wrapText="1"/>
    </xf>
    <xf numFmtId="44" fontId="6" fillId="3" borderId="0" xfId="1" applyFont="1" applyFill="1" applyBorder="1" applyAlignment="1">
      <alignment horizontal="center" vertical="center" wrapText="1"/>
    </xf>
    <xf numFmtId="49" fontId="6" fillId="3" borderId="0" xfId="0" applyNumberFormat="1" applyFont="1" applyFill="1" applyBorder="1" applyAlignment="1">
      <alignment horizontal="center" vertical="center" wrapText="1"/>
    </xf>
    <xf numFmtId="14" fontId="8" fillId="3" borderId="5" xfId="0" applyNumberFormat="1" applyFont="1" applyFill="1" applyBorder="1" applyAlignment="1">
      <alignment horizontal="center" vertical="center"/>
    </xf>
    <xf numFmtId="49" fontId="9" fillId="3" borderId="5" xfId="1" applyNumberFormat="1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44" fontId="7" fillId="3" borderId="5" xfId="0" applyNumberFormat="1" applyFont="1" applyFill="1" applyBorder="1" applyAlignment="1">
      <alignment horizontal="center" vertical="center"/>
    </xf>
    <xf numFmtId="14" fontId="8" fillId="0" borderId="5" xfId="0" applyNumberFormat="1" applyFont="1" applyBorder="1" applyAlignment="1">
      <alignment horizontal="center" vertical="center"/>
    </xf>
    <xf numFmtId="0" fontId="15" fillId="0" borderId="5" xfId="0" applyFont="1" applyBorder="1"/>
    <xf numFmtId="44" fontId="5" fillId="4" borderId="5" xfId="1" applyFont="1" applyFill="1" applyBorder="1"/>
    <xf numFmtId="44" fontId="6" fillId="4" borderId="5" xfId="1" applyFont="1" applyFill="1" applyBorder="1" applyAlignment="1">
      <alignment horizontal="center"/>
    </xf>
    <xf numFmtId="44" fontId="6" fillId="4" borderId="5" xfId="1" applyFont="1" applyFill="1" applyBorder="1" applyAlignment="1">
      <alignment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wrapText="1"/>
    </xf>
    <xf numFmtId="44" fontId="8" fillId="0" borderId="0" xfId="1" applyFont="1"/>
    <xf numFmtId="0" fontId="8" fillId="0" borderId="0" xfId="0" applyFont="1"/>
    <xf numFmtId="0" fontId="8" fillId="3" borderId="5" xfId="0" applyFont="1" applyFill="1" applyBorder="1" applyAlignment="1">
      <alignment horizontal="center" vertical="center"/>
    </xf>
    <xf numFmtId="44" fontId="9" fillId="3" borderId="5" xfId="0" applyNumberFormat="1" applyFont="1" applyFill="1" applyBorder="1" applyAlignment="1">
      <alignment horizontal="center" vertical="center"/>
    </xf>
    <xf numFmtId="44" fontId="15" fillId="3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 wrapText="1"/>
    </xf>
    <xf numFmtId="0" fontId="16" fillId="0" borderId="0" xfId="0" applyFont="1"/>
    <xf numFmtId="0" fontId="16" fillId="3" borderId="0" xfId="0" applyFont="1" applyFill="1"/>
    <xf numFmtId="0" fontId="8" fillId="7" borderId="5" xfId="0" applyFont="1" applyFill="1" applyBorder="1" applyAlignment="1">
      <alignment wrapText="1"/>
    </xf>
    <xf numFmtId="0" fontId="6" fillId="0" borderId="5" xfId="1" applyNumberFormat="1" applyFont="1" applyBorder="1" applyAlignment="1">
      <alignment horizontal="center" vertical="center" wrapText="1"/>
    </xf>
    <xf numFmtId="0" fontId="6" fillId="3" borderId="5" xfId="1" applyNumberFormat="1" applyFont="1" applyFill="1" applyBorder="1" applyAlignment="1">
      <alignment horizontal="center" vertical="center" wrapText="1"/>
    </xf>
    <xf numFmtId="49" fontId="6" fillId="6" borderId="0" xfId="0" applyNumberFormat="1" applyFont="1" applyFill="1" applyAlignment="1">
      <alignment horizontal="center" vertical="center" wrapText="1"/>
    </xf>
    <xf numFmtId="0" fontId="6" fillId="6" borderId="0" xfId="0" applyFont="1" applyFill="1" applyAlignment="1">
      <alignment horizontal="center" vertical="center" wrapText="1"/>
    </xf>
    <xf numFmtId="14" fontId="8" fillId="3" borderId="5" xfId="0" applyNumberFormat="1" applyFont="1" applyFill="1" applyBorder="1" applyAlignment="1">
      <alignment horizontal="center" wrapText="1"/>
    </xf>
    <xf numFmtId="0" fontId="14" fillId="3" borderId="5" xfId="1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3" borderId="4" xfId="0" applyFont="1" applyFill="1" applyBorder="1" applyAlignment="1">
      <alignment horizontal="center" vertical="center" wrapText="1"/>
    </xf>
    <xf numFmtId="14" fontId="8" fillId="3" borderId="5" xfId="0" applyNumberFormat="1" applyFont="1" applyFill="1" applyBorder="1" applyAlignment="1">
      <alignment horizontal="center" vertical="center" wrapText="1"/>
    </xf>
    <xf numFmtId="14" fontId="6" fillId="4" borderId="5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6" fillId="3" borderId="5" xfId="1" applyNumberFormat="1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4" fontId="5" fillId="4" borderId="5" xfId="1" applyFont="1" applyFill="1" applyBorder="1" applyAlignment="1">
      <alignment horizontal="center" vertical="center"/>
    </xf>
    <xf numFmtId="44" fontId="6" fillId="4" borderId="5" xfId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4" fontId="8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44" fontId="6" fillId="3" borderId="5" xfId="1" applyFont="1" applyFill="1" applyBorder="1" applyAlignment="1">
      <alignment horizontal="center" vertical="center" wrapText="1"/>
    </xf>
    <xf numFmtId="44" fontId="5" fillId="3" borderId="5" xfId="1" applyFont="1" applyFill="1" applyBorder="1" applyAlignment="1">
      <alignment horizontal="center" vertical="center"/>
    </xf>
    <xf numFmtId="44" fontId="6" fillId="6" borderId="0" xfId="1" applyFont="1" applyFill="1" applyAlignment="1">
      <alignment horizontal="center" vertical="center"/>
    </xf>
    <xf numFmtId="44" fontId="6" fillId="6" borderId="0" xfId="0" applyNumberFormat="1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44" fontId="5" fillId="6" borderId="0" xfId="0" applyNumberFormat="1" applyFont="1" applyFill="1" applyAlignment="1">
      <alignment horizontal="center" vertical="center"/>
    </xf>
    <xf numFmtId="0" fontId="0" fillId="0" borderId="9" xfId="0" applyBorder="1" applyAlignment="1">
      <alignment horizontal="center" vertical="center"/>
    </xf>
    <xf numFmtId="44" fontId="0" fillId="0" borderId="9" xfId="0" applyNumberFormat="1" applyBorder="1" applyAlignment="1">
      <alignment horizontal="center" vertical="center"/>
    </xf>
    <xf numFmtId="0" fontId="0" fillId="0" borderId="9" xfId="0" applyBorder="1"/>
    <xf numFmtId="0" fontId="0" fillId="8" borderId="9" xfId="0" applyFill="1" applyBorder="1" applyAlignment="1">
      <alignment horizontal="center" vertical="center"/>
    </xf>
    <xf numFmtId="44" fontId="0" fillId="8" borderId="9" xfId="0" applyNumberFormat="1" applyFill="1" applyBorder="1" applyAlignment="1">
      <alignment horizontal="center" vertical="center"/>
    </xf>
    <xf numFmtId="0" fontId="0" fillId="8" borderId="9" xfId="0" applyFill="1" applyBorder="1"/>
    <xf numFmtId="44" fontId="8" fillId="0" borderId="5" xfId="0" applyNumberFormat="1" applyFont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44" fontId="0" fillId="0" borderId="9" xfId="0" applyNumberFormat="1" applyBorder="1"/>
    <xf numFmtId="44" fontId="0" fillId="8" borderId="9" xfId="0" applyNumberFormat="1" applyFill="1" applyBorder="1"/>
    <xf numFmtId="44" fontId="0" fillId="3" borderId="9" xfId="0" applyNumberFormat="1" applyFill="1" applyBorder="1"/>
    <xf numFmtId="0" fontId="0" fillId="0" borderId="9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44" fontId="0" fillId="3" borderId="0" xfId="0" applyNumberFormat="1" applyFill="1" applyBorder="1" applyAlignment="1">
      <alignment horizontal="center" vertical="center"/>
    </xf>
    <xf numFmtId="0" fontId="0" fillId="3" borderId="0" xfId="0" applyFill="1" applyBorder="1"/>
    <xf numFmtId="44" fontId="0" fillId="3" borderId="0" xfId="0" applyNumberFormat="1" applyFill="1" applyBorder="1"/>
    <xf numFmtId="0" fontId="0" fillId="0" borderId="9" xfId="0" applyBorder="1" applyAlignment="1">
      <alignment wrapText="1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7" fillId="5" borderId="0" xfId="0" applyFont="1" applyFill="1" applyBorder="1" applyAlignment="1">
      <alignment horizontal="center" vertical="center"/>
    </xf>
    <xf numFmtId="14" fontId="0" fillId="0" borderId="0" xfId="0" applyNumberFormat="1"/>
    <xf numFmtId="44" fontId="0" fillId="0" borderId="0" xfId="1" applyFont="1"/>
    <xf numFmtId="0" fontId="8" fillId="0" borderId="0" xfId="0" applyFont="1" applyBorder="1" applyAlignment="1">
      <alignment horizontal="center" vertical="center" wrapText="1"/>
    </xf>
    <xf numFmtId="44" fontId="8" fillId="0" borderId="0" xfId="1" applyFont="1" applyBorder="1" applyAlignment="1">
      <alignment horizontal="center" vertical="center"/>
    </xf>
    <xf numFmtId="14" fontId="8" fillId="3" borderId="9" xfId="0" applyNumberFormat="1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 wrapText="1"/>
    </xf>
    <xf numFmtId="44" fontId="8" fillId="3" borderId="9" xfId="1" applyFont="1" applyFill="1" applyBorder="1" applyAlignment="1">
      <alignment horizontal="center" vertical="center"/>
    </xf>
    <xf numFmtId="44" fontId="6" fillId="3" borderId="9" xfId="1" applyFont="1" applyFill="1" applyBorder="1" applyAlignment="1">
      <alignment horizontal="center" vertical="center"/>
    </xf>
    <xf numFmtId="44" fontId="0" fillId="0" borderId="0" xfId="0" applyNumberFormat="1"/>
    <xf numFmtId="14" fontId="8" fillId="0" borderId="5" xfId="0" applyNumberFormat="1" applyFont="1" applyBorder="1" applyAlignment="1">
      <alignment horizontal="center" vertical="center" wrapText="1"/>
    </xf>
    <xf numFmtId="14" fontId="8" fillId="0" borderId="0" xfId="0" applyNumberFormat="1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44" fontId="8" fillId="0" borderId="0" xfId="1" applyFont="1" applyFill="1" applyBorder="1" applyAlignment="1">
      <alignment horizontal="center" vertical="center"/>
    </xf>
    <xf numFmtId="44" fontId="8" fillId="3" borderId="5" xfId="1" applyFont="1" applyFill="1" applyBorder="1" applyAlignment="1">
      <alignment horizontal="center" vertical="center" wrapText="1"/>
    </xf>
    <xf numFmtId="44" fontId="23" fillId="0" borderId="0" xfId="1" applyFont="1"/>
    <xf numFmtId="44" fontId="8" fillId="0" borderId="5" xfId="0" applyNumberFormat="1" applyFont="1" applyBorder="1" applyAlignment="1">
      <alignment horizontal="center" vertical="center" wrapText="1"/>
    </xf>
    <xf numFmtId="44" fontId="8" fillId="0" borderId="5" xfId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44" fontId="8" fillId="3" borderId="5" xfId="0" applyNumberFormat="1" applyFont="1" applyFill="1" applyBorder="1" applyAlignment="1">
      <alignment horizontal="center" vertical="center" wrapText="1"/>
    </xf>
    <xf numFmtId="44" fontId="4" fillId="0" borderId="5" xfId="1" applyFont="1" applyBorder="1" applyAlignment="1">
      <alignment horizontal="center" vertical="center" wrapText="1"/>
    </xf>
    <xf numFmtId="14" fontId="4" fillId="0" borderId="5" xfId="0" applyNumberFormat="1" applyFont="1" applyBorder="1" applyAlignment="1">
      <alignment horizontal="center" vertical="center" wrapText="1"/>
    </xf>
    <xf numFmtId="44" fontId="4" fillId="0" borderId="5" xfId="0" applyNumberFormat="1" applyFont="1" applyBorder="1" applyAlignment="1">
      <alignment horizontal="center" vertical="center" wrapText="1"/>
    </xf>
    <xf numFmtId="49" fontId="8" fillId="3" borderId="5" xfId="1" applyNumberFormat="1" applyFont="1" applyFill="1" applyBorder="1" applyAlignment="1">
      <alignment horizontal="center" vertical="center" wrapText="1"/>
    </xf>
    <xf numFmtId="44" fontId="8" fillId="7" borderId="5" xfId="1" applyFont="1" applyFill="1" applyBorder="1" applyAlignment="1">
      <alignment horizontal="center" vertical="center"/>
    </xf>
    <xf numFmtId="0" fontId="8" fillId="7" borderId="5" xfId="0" applyFont="1" applyFill="1" applyBorder="1" applyAlignment="1">
      <alignment horizontal="center" vertical="center" wrapText="1"/>
    </xf>
    <xf numFmtId="44" fontId="6" fillId="7" borderId="5" xfId="1" applyFont="1" applyFill="1" applyBorder="1" applyAlignment="1">
      <alignment horizontal="center" vertical="center" wrapText="1"/>
    </xf>
    <xf numFmtId="14" fontId="8" fillId="7" borderId="5" xfId="0" applyNumberFormat="1" applyFont="1" applyFill="1" applyBorder="1" applyAlignment="1">
      <alignment horizontal="center" vertical="center" wrapText="1"/>
    </xf>
    <xf numFmtId="44" fontId="8" fillId="7" borderId="5" xfId="1" applyFont="1" applyFill="1" applyBorder="1" applyAlignment="1">
      <alignment horizontal="center" vertical="center" wrapText="1"/>
    </xf>
    <xf numFmtId="44" fontId="8" fillId="7" borderId="5" xfId="0" applyNumberFormat="1" applyFont="1" applyFill="1" applyBorder="1" applyAlignment="1">
      <alignment horizontal="center" vertical="center" wrapText="1"/>
    </xf>
    <xf numFmtId="0" fontId="0" fillId="7" borderId="0" xfId="0" applyFill="1"/>
    <xf numFmtId="0" fontId="8" fillId="7" borderId="5" xfId="0" applyFont="1" applyFill="1" applyBorder="1" applyAlignment="1">
      <alignment horizontal="center" vertical="center"/>
    </xf>
    <xf numFmtId="14" fontId="8" fillId="7" borderId="5" xfId="0" applyNumberFormat="1" applyFont="1" applyFill="1" applyBorder="1" applyAlignment="1">
      <alignment horizontal="center" vertical="center"/>
    </xf>
    <xf numFmtId="44" fontId="6" fillId="7" borderId="5" xfId="1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44" fontId="8" fillId="7" borderId="5" xfId="0" applyNumberFormat="1" applyFont="1" applyFill="1" applyBorder="1" applyAlignment="1">
      <alignment horizontal="center" vertical="center"/>
    </xf>
    <xf numFmtId="6" fontId="0" fillId="0" borderId="0" xfId="0" applyNumberFormat="1"/>
    <xf numFmtId="0" fontId="18" fillId="2" borderId="0" xfId="0" applyFont="1" applyFill="1" applyAlignment="1">
      <alignment horizontal="center" vertical="center"/>
    </xf>
    <xf numFmtId="0" fontId="21" fillId="5" borderId="0" xfId="0" applyFont="1" applyFill="1" applyAlignment="1">
      <alignment horizontal="center" vertical="center"/>
    </xf>
    <xf numFmtId="0" fontId="22" fillId="5" borderId="9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left" vertical="center"/>
    </xf>
    <xf numFmtId="0" fontId="17" fillId="5" borderId="0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left" vertical="center" wrapText="1"/>
    </xf>
    <xf numFmtId="49" fontId="9" fillId="3" borderId="5" xfId="1" applyNumberFormat="1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17" fontId="9" fillId="0" borderId="5" xfId="0" applyNumberFormat="1" applyFont="1" applyBorder="1" applyAlignment="1">
      <alignment horizontal="center" vertical="center" wrapText="1"/>
    </xf>
    <xf numFmtId="44" fontId="5" fillId="4" borderId="5" xfId="1" applyFont="1" applyFill="1" applyBorder="1" applyAlignment="1">
      <alignment wrapText="1"/>
    </xf>
    <xf numFmtId="0" fontId="10" fillId="0" borderId="0" xfId="0" applyFont="1" applyAlignment="1">
      <alignment wrapText="1"/>
    </xf>
    <xf numFmtId="44" fontId="5" fillId="3" borderId="5" xfId="1" applyFont="1" applyFill="1" applyBorder="1" applyAlignment="1">
      <alignment wrapText="1"/>
    </xf>
    <xf numFmtId="0" fontId="11" fillId="0" borderId="5" xfId="0" applyFont="1" applyBorder="1" applyAlignment="1">
      <alignment horizontal="center" vertical="center" wrapText="1"/>
    </xf>
    <xf numFmtId="0" fontId="5" fillId="6" borderId="0" xfId="0" applyFont="1" applyFill="1" applyAlignment="1">
      <alignment wrapText="1"/>
    </xf>
    <xf numFmtId="0" fontId="5" fillId="3" borderId="0" xfId="0" applyFont="1" applyFill="1" applyAlignment="1">
      <alignment wrapText="1"/>
    </xf>
    <xf numFmtId="0" fontId="0" fillId="0" borderId="0" xfId="0" applyAlignment="1">
      <alignment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y/Downloads/VENTAS%20GENERALES%20MARZO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ZO"/>
      <sheetName val="ABRIL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73"/>
  <sheetViews>
    <sheetView workbookViewId="0">
      <selection activeCell="A18" sqref="A18:N18"/>
    </sheetView>
  </sheetViews>
  <sheetFormatPr baseColWidth="10" defaultRowHeight="15" x14ac:dyDescent="0.25"/>
  <cols>
    <col min="1" max="1" width="21.5703125" style="117" customWidth="1"/>
    <col min="2" max="10" width="11.42578125" style="117"/>
    <col min="14" max="14" width="18.5703125" customWidth="1"/>
    <col min="15" max="15" width="5.42578125" customWidth="1"/>
    <col min="16" max="16" width="24" customWidth="1"/>
    <col min="17" max="17" width="15.28515625" customWidth="1"/>
    <col min="18" max="18" width="13.7109375" customWidth="1"/>
    <col min="19" max="19" width="15.28515625" customWidth="1"/>
    <col min="20" max="30" width="13.7109375" customWidth="1"/>
  </cols>
  <sheetData>
    <row r="2" spans="1:21" ht="18.75" customHeight="1" x14ac:dyDescent="0.25">
      <c r="A2" s="189" t="s">
        <v>626</v>
      </c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P2" s="190" t="s">
        <v>647</v>
      </c>
      <c r="Q2" s="190"/>
      <c r="R2" s="190"/>
      <c r="S2" s="190"/>
      <c r="T2" s="190"/>
      <c r="U2" s="190"/>
    </row>
    <row r="3" spans="1:21" ht="16.5" customHeight="1" x14ac:dyDescent="0.25">
      <c r="A3" s="188" t="s">
        <v>622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10"/>
      <c r="P3" s="131"/>
      <c r="Q3" s="146" t="s">
        <v>640</v>
      </c>
      <c r="R3" s="131" t="s">
        <v>641</v>
      </c>
      <c r="S3" s="131" t="s">
        <v>642</v>
      </c>
      <c r="T3" s="131" t="s">
        <v>635</v>
      </c>
      <c r="U3" s="131" t="s">
        <v>30</v>
      </c>
    </row>
    <row r="4" spans="1:21" x14ac:dyDescent="0.25">
      <c r="A4" s="129" t="s">
        <v>621</v>
      </c>
      <c r="B4" s="129" t="s">
        <v>609</v>
      </c>
      <c r="C4" s="129" t="s">
        <v>611</v>
      </c>
      <c r="D4" s="129" t="s">
        <v>612</v>
      </c>
      <c r="E4" s="129" t="s">
        <v>613</v>
      </c>
      <c r="F4" s="129" t="s">
        <v>614</v>
      </c>
      <c r="G4" s="129" t="s">
        <v>615</v>
      </c>
      <c r="H4" s="129" t="s">
        <v>616</v>
      </c>
      <c r="I4" s="129" t="s">
        <v>617</v>
      </c>
      <c r="J4" s="129" t="s">
        <v>618</v>
      </c>
      <c r="K4" s="129" t="s">
        <v>623</v>
      </c>
      <c r="L4" s="129" t="s">
        <v>624</v>
      </c>
      <c r="M4" s="129" t="s">
        <v>625</v>
      </c>
      <c r="N4" s="141" t="s">
        <v>639</v>
      </c>
      <c r="P4" s="129" t="s">
        <v>328</v>
      </c>
      <c r="Q4" s="137">
        <f>N5</f>
        <v>24116</v>
      </c>
      <c r="R4" s="137">
        <f>N13</f>
        <v>9399</v>
      </c>
      <c r="S4" s="137">
        <f>N21</f>
        <v>14717</v>
      </c>
      <c r="T4" s="137">
        <f>N29</f>
        <v>1436</v>
      </c>
      <c r="U4" s="137">
        <f>N37</f>
        <v>2505.2100000000005</v>
      </c>
    </row>
    <row r="5" spans="1:21" x14ac:dyDescent="0.25">
      <c r="A5" s="129" t="s">
        <v>328</v>
      </c>
      <c r="B5" s="130">
        <f>'ENERO 19'!I130</f>
        <v>14017</v>
      </c>
      <c r="C5" s="130">
        <f>'FEBRERO 19'!I109</f>
        <v>10099</v>
      </c>
      <c r="D5" s="129"/>
      <c r="E5" s="129"/>
      <c r="F5" s="129"/>
      <c r="G5" s="129"/>
      <c r="H5" s="129"/>
      <c r="I5" s="129"/>
      <c r="J5" s="129"/>
      <c r="K5" s="131"/>
      <c r="L5" s="131"/>
      <c r="M5" s="131"/>
      <c r="N5" s="139">
        <f>SUM(B5:M5)</f>
        <v>24116</v>
      </c>
      <c r="P5" s="129" t="s">
        <v>619</v>
      </c>
      <c r="Q5" s="137">
        <f>N6</f>
        <v>3690.06</v>
      </c>
      <c r="R5" s="137">
        <f>N14</f>
        <v>2010</v>
      </c>
      <c r="S5" s="137">
        <f>N22</f>
        <v>1680.06</v>
      </c>
      <c r="T5" s="137">
        <f>N30</f>
        <v>265</v>
      </c>
      <c r="U5" s="137">
        <f>N30</f>
        <v>265</v>
      </c>
    </row>
    <row r="6" spans="1:21" x14ac:dyDescent="0.25">
      <c r="A6" s="129" t="s">
        <v>619</v>
      </c>
      <c r="B6" s="130">
        <f>'ENERO 19'!I131</f>
        <v>2240.06</v>
      </c>
      <c r="C6" s="130">
        <f>'FEBRERO 19'!I110</f>
        <v>1450</v>
      </c>
      <c r="D6" s="129"/>
      <c r="E6" s="129"/>
      <c r="F6" s="129"/>
      <c r="G6" s="129"/>
      <c r="H6" s="129"/>
      <c r="I6" s="129"/>
      <c r="J6" s="129"/>
      <c r="K6" s="131"/>
      <c r="L6" s="131"/>
      <c r="M6" s="131"/>
      <c r="N6" s="139">
        <f>SUM(B6:M6)</f>
        <v>3690.06</v>
      </c>
      <c r="P6" s="129" t="s">
        <v>620</v>
      </c>
      <c r="Q6" s="137">
        <f>N7</f>
        <v>4990</v>
      </c>
      <c r="R6" s="137">
        <f>N15</f>
        <v>1590</v>
      </c>
      <c r="S6" s="137">
        <f>N23</f>
        <v>3400</v>
      </c>
      <c r="T6" s="137">
        <f>N31</f>
        <v>330</v>
      </c>
      <c r="U6" s="137">
        <f>N39</f>
        <v>670.81999999999994</v>
      </c>
    </row>
    <row r="7" spans="1:21" x14ac:dyDescent="0.25">
      <c r="A7" s="129" t="s">
        <v>620</v>
      </c>
      <c r="B7" s="130">
        <f>'ENERO 19'!I132</f>
        <v>3470</v>
      </c>
      <c r="C7" s="130">
        <f>'FEBRERO 19'!I111</f>
        <v>1520</v>
      </c>
      <c r="D7" s="129"/>
      <c r="E7" s="129"/>
      <c r="F7" s="129"/>
      <c r="G7" s="129"/>
      <c r="H7" s="129"/>
      <c r="I7" s="129"/>
      <c r="J7" s="129"/>
      <c r="K7" s="131"/>
      <c r="L7" s="131"/>
      <c r="M7" s="131"/>
      <c r="N7" s="139">
        <f>SUM(B7:M7)</f>
        <v>4990</v>
      </c>
      <c r="P7" s="140" t="s">
        <v>610</v>
      </c>
      <c r="Q7" s="137">
        <f>SUM(Q4:Q6)</f>
        <v>32796.06</v>
      </c>
      <c r="R7" s="137">
        <f>SUM(R4:R6)</f>
        <v>12999</v>
      </c>
      <c r="S7" s="137">
        <f>SUM(S4:S6)</f>
        <v>19797.060000000001</v>
      </c>
      <c r="T7" s="137">
        <f>N32</f>
        <v>2031</v>
      </c>
      <c r="U7" s="137">
        <f>N40</f>
        <v>3499.7400000000007</v>
      </c>
    </row>
    <row r="8" spans="1:21" x14ac:dyDescent="0.25">
      <c r="A8" s="132" t="s">
        <v>24</v>
      </c>
      <c r="B8" s="133">
        <f>SUM(B5:B7)</f>
        <v>19727.059999999998</v>
      </c>
      <c r="C8" s="133">
        <f>SUM(C5:C7)</f>
        <v>13069</v>
      </c>
      <c r="D8" s="132"/>
      <c r="E8" s="132"/>
      <c r="F8" s="132"/>
      <c r="G8" s="132"/>
      <c r="H8" s="132"/>
      <c r="I8" s="132"/>
      <c r="J8" s="132"/>
      <c r="K8" s="134"/>
      <c r="L8" s="134"/>
      <c r="M8" s="134"/>
      <c r="N8" s="138">
        <f>SUM(B8:M8)</f>
        <v>32796.06</v>
      </c>
    </row>
    <row r="10" spans="1:21" ht="18.75" x14ac:dyDescent="0.25">
      <c r="A10" s="189" t="s">
        <v>626</v>
      </c>
      <c r="B10" s="189"/>
      <c r="C10" s="189"/>
      <c r="D10" s="189"/>
      <c r="E10" s="189"/>
      <c r="F10" s="189"/>
      <c r="G10" s="189"/>
      <c r="H10" s="189"/>
      <c r="I10" s="189"/>
      <c r="J10" s="189"/>
      <c r="K10" s="189"/>
      <c r="L10" s="189"/>
      <c r="M10" s="189"/>
      <c r="N10" s="189"/>
    </row>
    <row r="11" spans="1:21" x14ac:dyDescent="0.25">
      <c r="A11" s="188" t="s">
        <v>627</v>
      </c>
      <c r="B11" s="188"/>
      <c r="C11" s="188"/>
      <c r="D11" s="188"/>
      <c r="E11" s="188"/>
      <c r="F11" s="188"/>
      <c r="G11" s="188"/>
      <c r="H11" s="188"/>
      <c r="I11" s="188"/>
      <c r="J11" s="188"/>
      <c r="K11" s="188"/>
      <c r="L11" s="188"/>
      <c r="M11" s="188"/>
      <c r="N11" s="188"/>
    </row>
    <row r="12" spans="1:21" x14ac:dyDescent="0.25">
      <c r="A12" s="129" t="s">
        <v>621</v>
      </c>
      <c r="B12" s="129" t="s">
        <v>609</v>
      </c>
      <c r="C12" s="129" t="s">
        <v>611</v>
      </c>
      <c r="D12" s="129" t="s">
        <v>612</v>
      </c>
      <c r="E12" s="129" t="s">
        <v>613</v>
      </c>
      <c r="F12" s="129" t="s">
        <v>614</v>
      </c>
      <c r="G12" s="129" t="s">
        <v>615</v>
      </c>
      <c r="H12" s="129" t="s">
        <v>616</v>
      </c>
      <c r="I12" s="129" t="s">
        <v>617</v>
      </c>
      <c r="J12" s="129" t="s">
        <v>618</v>
      </c>
      <c r="K12" s="129" t="s">
        <v>623</v>
      </c>
      <c r="L12" s="129" t="s">
        <v>624</v>
      </c>
      <c r="M12" s="129" t="s">
        <v>625</v>
      </c>
      <c r="N12" s="131" t="s">
        <v>633</v>
      </c>
    </row>
    <row r="13" spans="1:21" x14ac:dyDescent="0.25">
      <c r="A13" s="129" t="s">
        <v>328</v>
      </c>
      <c r="B13" s="130">
        <f>'ENERO 19'!G130</f>
        <v>5562</v>
      </c>
      <c r="C13" s="130">
        <f>'FEBRERO 19'!G109</f>
        <v>3837</v>
      </c>
      <c r="D13" s="129"/>
      <c r="E13" s="129"/>
      <c r="F13" s="129"/>
      <c r="G13" s="129"/>
      <c r="H13" s="129"/>
      <c r="I13" s="129"/>
      <c r="J13" s="129"/>
      <c r="K13" s="131"/>
      <c r="L13" s="131"/>
      <c r="M13" s="131"/>
      <c r="N13" s="137">
        <f>SUM(B13:M13)</f>
        <v>9399</v>
      </c>
    </row>
    <row r="14" spans="1:21" x14ac:dyDescent="0.25">
      <c r="A14" s="129" t="s">
        <v>619</v>
      </c>
      <c r="B14" s="130">
        <f>'ENERO 19'!G131</f>
        <v>1225</v>
      </c>
      <c r="C14" s="130">
        <f>'FEBRERO 19'!G110</f>
        <v>785</v>
      </c>
      <c r="D14" s="129"/>
      <c r="E14" s="129"/>
      <c r="F14" s="129"/>
      <c r="G14" s="129"/>
      <c r="H14" s="129"/>
      <c r="I14" s="129"/>
      <c r="J14" s="129"/>
      <c r="K14" s="131"/>
      <c r="L14" s="131"/>
      <c r="M14" s="131"/>
      <c r="N14" s="137">
        <f>SUM(B14:M14)</f>
        <v>2010</v>
      </c>
    </row>
    <row r="15" spans="1:21" x14ac:dyDescent="0.25">
      <c r="A15" s="129" t="s">
        <v>620</v>
      </c>
      <c r="B15" s="130">
        <f>'ENERO 19'!G132</f>
        <v>1190</v>
      </c>
      <c r="C15" s="130">
        <f>'FEBRERO 19'!G111</f>
        <v>400</v>
      </c>
      <c r="D15" s="129"/>
      <c r="E15" s="129"/>
      <c r="F15" s="129"/>
      <c r="G15" s="129"/>
      <c r="H15" s="129"/>
      <c r="I15" s="129"/>
      <c r="J15" s="129"/>
      <c r="K15" s="131"/>
      <c r="L15" s="131"/>
      <c r="M15" s="131"/>
      <c r="N15" s="137">
        <f>SUM(B15:M15)</f>
        <v>1590</v>
      </c>
    </row>
    <row r="16" spans="1:21" x14ac:dyDescent="0.25">
      <c r="A16" s="132" t="s">
        <v>24</v>
      </c>
      <c r="B16" s="133">
        <f>SUM(B13:B15)</f>
        <v>7977</v>
      </c>
      <c r="C16" s="133">
        <f>SUM(C13:C15)</f>
        <v>5022</v>
      </c>
      <c r="D16" s="132"/>
      <c r="E16" s="132"/>
      <c r="F16" s="132"/>
      <c r="G16" s="132"/>
      <c r="H16" s="132"/>
      <c r="I16" s="132"/>
      <c r="J16" s="132"/>
      <c r="K16" s="134"/>
      <c r="L16" s="134"/>
      <c r="M16" s="134"/>
      <c r="N16" s="138">
        <f>SUM(B16:M16)</f>
        <v>12999</v>
      </c>
    </row>
    <row r="18" spans="1:14" ht="18.75" x14ac:dyDescent="0.25">
      <c r="A18" s="189" t="s">
        <v>626</v>
      </c>
      <c r="B18" s="189"/>
      <c r="C18" s="189"/>
      <c r="D18" s="189"/>
      <c r="E18" s="189"/>
      <c r="F18" s="189"/>
      <c r="G18" s="189"/>
      <c r="H18" s="189"/>
      <c r="I18" s="189"/>
      <c r="J18" s="189"/>
      <c r="K18" s="189"/>
      <c r="L18" s="189"/>
      <c r="M18" s="189"/>
      <c r="N18" s="189"/>
    </row>
    <row r="19" spans="1:14" x14ac:dyDescent="0.25">
      <c r="A19" s="188" t="s">
        <v>629</v>
      </c>
      <c r="B19" s="188"/>
      <c r="C19" s="188"/>
      <c r="D19" s="188"/>
      <c r="E19" s="188"/>
      <c r="F19" s="188"/>
      <c r="G19" s="188"/>
      <c r="H19" s="188"/>
      <c r="I19" s="188"/>
      <c r="J19" s="188"/>
      <c r="K19" s="188"/>
      <c r="L19" s="188"/>
      <c r="M19" s="188"/>
      <c r="N19" s="188"/>
    </row>
    <row r="20" spans="1:14" x14ac:dyDescent="0.25">
      <c r="A20" s="129" t="s">
        <v>621</v>
      </c>
      <c r="B20" s="129" t="s">
        <v>609</v>
      </c>
      <c r="C20" s="129" t="s">
        <v>611</v>
      </c>
      <c r="D20" s="129" t="s">
        <v>612</v>
      </c>
      <c r="E20" s="129" t="s">
        <v>613</v>
      </c>
      <c r="F20" s="129" t="s">
        <v>614</v>
      </c>
      <c r="G20" s="129" t="s">
        <v>615</v>
      </c>
      <c r="H20" s="129" t="s">
        <v>616</v>
      </c>
      <c r="I20" s="129" t="s">
        <v>617</v>
      </c>
      <c r="J20" s="129" t="s">
        <v>618</v>
      </c>
      <c r="K20" s="129" t="s">
        <v>623</v>
      </c>
      <c r="L20" s="129" t="s">
        <v>624</v>
      </c>
      <c r="M20" s="129" t="s">
        <v>625</v>
      </c>
      <c r="N20" s="131" t="s">
        <v>634</v>
      </c>
    </row>
    <row r="21" spans="1:14" x14ac:dyDescent="0.25">
      <c r="A21" s="129" t="s">
        <v>328</v>
      </c>
      <c r="B21" s="130">
        <f>'ENERO 19'!H130</f>
        <v>8455</v>
      </c>
      <c r="C21" s="130">
        <f>'FEBRERO 19'!H109</f>
        <v>6262</v>
      </c>
      <c r="D21" s="129"/>
      <c r="E21" s="129"/>
      <c r="F21" s="129"/>
      <c r="G21" s="129"/>
      <c r="H21" s="129"/>
      <c r="I21" s="129"/>
      <c r="J21" s="129"/>
      <c r="K21" s="131"/>
      <c r="L21" s="131"/>
      <c r="M21" s="131"/>
      <c r="N21" s="137">
        <f>SUM(B21:M21)</f>
        <v>14717</v>
      </c>
    </row>
    <row r="22" spans="1:14" x14ac:dyDescent="0.25">
      <c r="A22" s="129" t="s">
        <v>619</v>
      </c>
      <c r="B22" s="130">
        <f>'ENERO 19'!H131</f>
        <v>1015.06</v>
      </c>
      <c r="C22" s="130">
        <f>'FEBRERO 19'!H110</f>
        <v>665</v>
      </c>
      <c r="D22" s="129"/>
      <c r="E22" s="129"/>
      <c r="F22" s="129"/>
      <c r="G22" s="129"/>
      <c r="H22" s="129"/>
      <c r="I22" s="129"/>
      <c r="J22" s="129"/>
      <c r="K22" s="131"/>
      <c r="L22" s="131"/>
      <c r="M22" s="131"/>
      <c r="N22" s="137">
        <f>SUM(B22:M22)</f>
        <v>1680.06</v>
      </c>
    </row>
    <row r="23" spans="1:14" x14ac:dyDescent="0.25">
      <c r="A23" s="129" t="s">
        <v>620</v>
      </c>
      <c r="B23" s="130">
        <f>'ENERO 19'!H132</f>
        <v>2280</v>
      </c>
      <c r="C23" s="130">
        <f>'FEBRERO 19'!H111</f>
        <v>1120</v>
      </c>
      <c r="D23" s="129"/>
      <c r="E23" s="129"/>
      <c r="F23" s="129"/>
      <c r="G23" s="129"/>
      <c r="H23" s="129"/>
      <c r="I23" s="129"/>
      <c r="J23" s="129"/>
      <c r="K23" s="131"/>
      <c r="L23" s="131"/>
      <c r="M23" s="131"/>
      <c r="N23" s="137">
        <f>SUM(B23:M23)</f>
        <v>3400</v>
      </c>
    </row>
    <row r="24" spans="1:14" x14ac:dyDescent="0.25">
      <c r="A24" s="132" t="s">
        <v>24</v>
      </c>
      <c r="B24" s="133">
        <f>SUM(B21:B23)</f>
        <v>11750.06</v>
      </c>
      <c r="C24" s="133">
        <f>SUM(C21:C23)</f>
        <v>8047</v>
      </c>
      <c r="D24" s="132"/>
      <c r="E24" s="132"/>
      <c r="F24" s="132"/>
      <c r="G24" s="132"/>
      <c r="H24" s="132"/>
      <c r="I24" s="132"/>
      <c r="J24" s="132"/>
      <c r="K24" s="134"/>
      <c r="L24" s="134"/>
      <c r="M24" s="134"/>
      <c r="N24" s="138">
        <f>SUM(B24:M24)</f>
        <v>19797.059999999998</v>
      </c>
    </row>
    <row r="26" spans="1:14" ht="18.75" x14ac:dyDescent="0.25">
      <c r="A26" s="189" t="s">
        <v>626</v>
      </c>
      <c r="B26" s="189"/>
      <c r="C26" s="189"/>
      <c r="D26" s="189"/>
      <c r="E26" s="189"/>
      <c r="F26" s="189"/>
      <c r="G26" s="189"/>
      <c r="H26" s="189"/>
      <c r="I26" s="189"/>
      <c r="J26" s="189"/>
      <c r="K26" s="189"/>
      <c r="L26" s="189"/>
      <c r="M26" s="189"/>
      <c r="N26" s="189"/>
    </row>
    <row r="27" spans="1:14" x14ac:dyDescent="0.25">
      <c r="A27" s="188" t="s">
        <v>628</v>
      </c>
      <c r="B27" s="188"/>
      <c r="C27" s="188"/>
      <c r="D27" s="188"/>
      <c r="E27" s="188"/>
      <c r="F27" s="188"/>
      <c r="G27" s="188"/>
      <c r="H27" s="188"/>
      <c r="I27" s="188"/>
      <c r="J27" s="188"/>
      <c r="K27" s="188"/>
      <c r="L27" s="188"/>
      <c r="M27" s="188"/>
      <c r="N27" s="188"/>
    </row>
    <row r="28" spans="1:14" x14ac:dyDescent="0.25">
      <c r="A28" s="129" t="s">
        <v>621</v>
      </c>
      <c r="B28" s="129" t="s">
        <v>609</v>
      </c>
      <c r="C28" s="129" t="s">
        <v>611</v>
      </c>
      <c r="D28" s="129" t="s">
        <v>612</v>
      </c>
      <c r="E28" s="129" t="s">
        <v>613</v>
      </c>
      <c r="F28" s="129" t="s">
        <v>614</v>
      </c>
      <c r="G28" s="129" t="s">
        <v>615</v>
      </c>
      <c r="H28" s="129" t="s">
        <v>616</v>
      </c>
      <c r="I28" s="129" t="s">
        <v>617</v>
      </c>
      <c r="J28" s="129" t="s">
        <v>618</v>
      </c>
      <c r="K28" s="129" t="s">
        <v>623</v>
      </c>
      <c r="L28" s="129" t="s">
        <v>624</v>
      </c>
      <c r="M28" s="129" t="s">
        <v>625</v>
      </c>
      <c r="N28" s="140" t="s">
        <v>643</v>
      </c>
    </row>
    <row r="29" spans="1:14" x14ac:dyDescent="0.25">
      <c r="A29" s="129" t="s">
        <v>328</v>
      </c>
      <c r="B29" s="130">
        <f>'ENERO 19'!L130</f>
        <v>1416</v>
      </c>
      <c r="C29" s="130">
        <f>'FEBRERO 19'!L109</f>
        <v>20</v>
      </c>
      <c r="D29" s="129"/>
      <c r="E29" s="129"/>
      <c r="F29" s="129"/>
      <c r="G29" s="129"/>
      <c r="H29" s="129"/>
      <c r="I29" s="129"/>
      <c r="J29" s="129"/>
      <c r="K29" s="131"/>
      <c r="L29" s="131"/>
      <c r="M29" s="131"/>
      <c r="N29" s="137">
        <f>SUM(B29:M29)</f>
        <v>1436</v>
      </c>
    </row>
    <row r="30" spans="1:14" x14ac:dyDescent="0.25">
      <c r="A30" s="129" t="s">
        <v>619</v>
      </c>
      <c r="B30" s="130">
        <f>'ENERO 19'!L131</f>
        <v>265</v>
      </c>
      <c r="C30" s="130">
        <f>'FEBRERO 19'!L110</f>
        <v>0</v>
      </c>
      <c r="D30" s="129"/>
      <c r="E30" s="129"/>
      <c r="F30" s="129"/>
      <c r="G30" s="129"/>
      <c r="H30" s="129"/>
      <c r="I30" s="129"/>
      <c r="J30" s="129"/>
      <c r="K30" s="131"/>
      <c r="L30" s="131"/>
      <c r="M30" s="131"/>
      <c r="N30" s="137">
        <f>SUM(B30:M30)</f>
        <v>265</v>
      </c>
    </row>
    <row r="31" spans="1:14" x14ac:dyDescent="0.25">
      <c r="A31" s="129" t="s">
        <v>620</v>
      </c>
      <c r="B31" s="130">
        <f>'ENERO 19'!L132</f>
        <v>330</v>
      </c>
      <c r="C31" s="130">
        <f>'FEBRERO 19'!L111</f>
        <v>0</v>
      </c>
      <c r="D31" s="129"/>
      <c r="E31" s="129"/>
      <c r="F31" s="129"/>
      <c r="G31" s="129"/>
      <c r="H31" s="129"/>
      <c r="I31" s="129"/>
      <c r="J31" s="129"/>
      <c r="K31" s="131"/>
      <c r="L31" s="131"/>
      <c r="M31" s="131"/>
      <c r="N31" s="137">
        <f>SUM(B31:M31)</f>
        <v>330</v>
      </c>
    </row>
    <row r="32" spans="1:14" x14ac:dyDescent="0.25">
      <c r="A32" s="132" t="s">
        <v>24</v>
      </c>
      <c r="B32" s="133">
        <f>SUM(B29:B31)</f>
        <v>2011</v>
      </c>
      <c r="C32" s="133">
        <f>SUM(C29:C31)</f>
        <v>20</v>
      </c>
      <c r="D32" s="132"/>
      <c r="E32" s="132"/>
      <c r="F32" s="132"/>
      <c r="G32" s="132"/>
      <c r="H32" s="132"/>
      <c r="I32" s="132"/>
      <c r="J32" s="132"/>
      <c r="K32" s="134"/>
      <c r="L32" s="134"/>
      <c r="M32" s="134"/>
      <c r="N32" s="138">
        <f>SUM(B32:M32)</f>
        <v>2031</v>
      </c>
    </row>
    <row r="34" spans="1:14" ht="18.75" x14ac:dyDescent="0.25">
      <c r="A34" s="189" t="s">
        <v>626</v>
      </c>
      <c r="B34" s="189"/>
      <c r="C34" s="189"/>
      <c r="D34" s="189"/>
      <c r="E34" s="189"/>
      <c r="F34" s="189"/>
      <c r="G34" s="189"/>
      <c r="H34" s="189"/>
      <c r="I34" s="189"/>
      <c r="J34" s="189"/>
      <c r="K34" s="189"/>
      <c r="L34" s="189"/>
      <c r="M34" s="189"/>
      <c r="N34" s="189"/>
    </row>
    <row r="35" spans="1:14" x14ac:dyDescent="0.25">
      <c r="A35" s="188" t="s">
        <v>630</v>
      </c>
      <c r="B35" s="188"/>
      <c r="C35" s="188"/>
      <c r="D35" s="188"/>
      <c r="E35" s="188"/>
      <c r="F35" s="188"/>
      <c r="G35" s="188"/>
      <c r="H35" s="188"/>
      <c r="I35" s="188"/>
      <c r="J35" s="188"/>
      <c r="K35" s="188"/>
      <c r="L35" s="188"/>
      <c r="M35" s="188"/>
      <c r="N35" s="188"/>
    </row>
    <row r="36" spans="1:14" x14ac:dyDescent="0.25">
      <c r="A36" s="129" t="s">
        <v>621</v>
      </c>
      <c r="B36" s="129" t="s">
        <v>609</v>
      </c>
      <c r="C36" s="129" t="s">
        <v>611</v>
      </c>
      <c r="D36" s="129" t="s">
        <v>612</v>
      </c>
      <c r="E36" s="129" t="s">
        <v>613</v>
      </c>
      <c r="F36" s="129" t="s">
        <v>614</v>
      </c>
      <c r="G36" s="129" t="s">
        <v>615</v>
      </c>
      <c r="H36" s="129" t="s">
        <v>616</v>
      </c>
      <c r="I36" s="129" t="s">
        <v>617</v>
      </c>
      <c r="J36" s="129" t="s">
        <v>618</v>
      </c>
      <c r="K36" s="129" t="s">
        <v>623</v>
      </c>
      <c r="L36" s="129" t="s">
        <v>624</v>
      </c>
      <c r="M36" s="129" t="s">
        <v>625</v>
      </c>
      <c r="N36" s="140" t="s">
        <v>644</v>
      </c>
    </row>
    <row r="37" spans="1:14" x14ac:dyDescent="0.25">
      <c r="A37" s="129" t="s">
        <v>328</v>
      </c>
      <c r="B37" s="130">
        <f>'ENERO 19'!M130</f>
        <v>2505.2100000000005</v>
      </c>
      <c r="C37" s="130">
        <f>'FEBRERO 19'!M109</f>
        <v>0</v>
      </c>
      <c r="D37" s="129"/>
      <c r="E37" s="129"/>
      <c r="F37" s="129"/>
      <c r="G37" s="129"/>
      <c r="H37" s="129"/>
      <c r="I37" s="129"/>
      <c r="J37" s="129"/>
      <c r="K37" s="131"/>
      <c r="L37" s="131"/>
      <c r="M37" s="131"/>
      <c r="N37" s="137">
        <f>SUM(B37:M37)</f>
        <v>2505.2100000000005</v>
      </c>
    </row>
    <row r="38" spans="1:14" x14ac:dyDescent="0.25">
      <c r="A38" s="129" t="s">
        <v>619</v>
      </c>
      <c r="B38" s="130">
        <f>'ENERO 19'!M131</f>
        <v>323.70999999999998</v>
      </c>
      <c r="C38" s="130">
        <f>'FEBRERO 19'!M110</f>
        <v>0</v>
      </c>
      <c r="D38" s="129"/>
      <c r="E38" s="129"/>
      <c r="F38" s="129"/>
      <c r="G38" s="129"/>
      <c r="H38" s="129"/>
      <c r="I38" s="129"/>
      <c r="J38" s="129"/>
      <c r="K38" s="131"/>
      <c r="L38" s="131"/>
      <c r="M38" s="131"/>
      <c r="N38" s="137">
        <f>SUM(B38:M38)</f>
        <v>323.70999999999998</v>
      </c>
    </row>
    <row r="39" spans="1:14" x14ac:dyDescent="0.25">
      <c r="A39" s="129" t="s">
        <v>620</v>
      </c>
      <c r="B39" s="130">
        <f>'ENERO 19'!M132</f>
        <v>670.81999999999994</v>
      </c>
      <c r="C39" s="130">
        <f>'FEBRERO 19'!M111</f>
        <v>0</v>
      </c>
      <c r="D39" s="129"/>
      <c r="E39" s="129"/>
      <c r="F39" s="129"/>
      <c r="G39" s="129"/>
      <c r="H39" s="129"/>
      <c r="I39" s="129"/>
      <c r="J39" s="129"/>
      <c r="K39" s="131"/>
      <c r="L39" s="131"/>
      <c r="M39" s="131"/>
      <c r="N39" s="137">
        <f>SUM(B39:M39)</f>
        <v>670.81999999999994</v>
      </c>
    </row>
    <row r="40" spans="1:14" ht="20.25" customHeight="1" x14ac:dyDescent="0.25">
      <c r="A40" s="132" t="s">
        <v>24</v>
      </c>
      <c r="B40" s="133">
        <f>SUM(B37:B39)</f>
        <v>3499.7400000000007</v>
      </c>
      <c r="C40" s="133">
        <f>SUM(C37:C39)</f>
        <v>0</v>
      </c>
      <c r="D40" s="132"/>
      <c r="E40" s="132"/>
      <c r="F40" s="132"/>
      <c r="G40" s="132"/>
      <c r="H40" s="132"/>
      <c r="I40" s="132"/>
      <c r="J40" s="132"/>
      <c r="K40" s="134"/>
      <c r="L40" s="134"/>
      <c r="M40" s="134"/>
      <c r="N40" s="138">
        <f>SUM(B40:M40)</f>
        <v>3499.7400000000007</v>
      </c>
    </row>
    <row r="41" spans="1:14" s="8" customFormat="1" ht="16.5" customHeight="1" x14ac:dyDescent="0.25">
      <c r="A41" s="142"/>
      <c r="B41" s="143"/>
      <c r="C41" s="143"/>
      <c r="D41" s="142"/>
      <c r="E41" s="142"/>
      <c r="F41" s="142"/>
      <c r="G41" s="142"/>
      <c r="H41" s="142"/>
      <c r="I41" s="142"/>
      <c r="J41" s="142"/>
      <c r="K41" s="144"/>
      <c r="L41" s="144"/>
      <c r="M41" s="144"/>
      <c r="N41" s="145"/>
    </row>
    <row r="42" spans="1:14" ht="14.25" customHeight="1" x14ac:dyDescent="0.25">
      <c r="A42" s="189" t="s">
        <v>626</v>
      </c>
      <c r="B42" s="189"/>
      <c r="C42" s="189"/>
      <c r="D42" s="189"/>
      <c r="E42" s="189"/>
      <c r="F42" s="189"/>
      <c r="G42" s="189"/>
      <c r="H42" s="189"/>
      <c r="I42" s="189"/>
      <c r="J42" s="189"/>
      <c r="K42" s="189"/>
      <c r="L42" s="189"/>
      <c r="M42" s="189"/>
      <c r="N42" s="189"/>
    </row>
    <row r="43" spans="1:14" ht="14.25" customHeight="1" x14ac:dyDescent="0.25">
      <c r="A43" s="188" t="s">
        <v>637</v>
      </c>
      <c r="B43" s="188"/>
      <c r="C43" s="188"/>
      <c r="D43" s="188"/>
      <c r="E43" s="188"/>
      <c r="F43" s="188"/>
      <c r="G43" s="188"/>
      <c r="H43" s="188"/>
      <c r="I43" s="188"/>
      <c r="J43" s="188"/>
      <c r="K43" s="188"/>
      <c r="L43" s="188"/>
      <c r="M43" s="188"/>
      <c r="N43" s="188"/>
    </row>
    <row r="44" spans="1:14" x14ac:dyDescent="0.25">
      <c r="A44" s="129" t="s">
        <v>621</v>
      </c>
      <c r="B44" s="129" t="s">
        <v>609</v>
      </c>
      <c r="C44" s="129" t="s">
        <v>611</v>
      </c>
      <c r="D44" s="129" t="s">
        <v>612</v>
      </c>
      <c r="E44" s="129" t="s">
        <v>613</v>
      </c>
      <c r="F44" s="129" t="s">
        <v>614</v>
      </c>
      <c r="G44" s="129" t="s">
        <v>615</v>
      </c>
      <c r="H44" s="129" t="s">
        <v>616</v>
      </c>
      <c r="I44" s="129" t="s">
        <v>617</v>
      </c>
      <c r="J44" s="129" t="s">
        <v>618</v>
      </c>
      <c r="K44" s="129" t="s">
        <v>623</v>
      </c>
      <c r="L44" s="129" t="s">
        <v>624</v>
      </c>
      <c r="M44" s="129" t="s">
        <v>625</v>
      </c>
      <c r="N44" s="136" t="s">
        <v>646</v>
      </c>
    </row>
    <row r="45" spans="1:14" x14ac:dyDescent="0.25">
      <c r="A45" s="129" t="s">
        <v>328</v>
      </c>
      <c r="B45" s="130">
        <f>'ENERO 19'!N130</f>
        <v>3921.21</v>
      </c>
      <c r="C45" s="130">
        <f>'FEBRERO 19'!N109</f>
        <v>20</v>
      </c>
      <c r="D45" s="129"/>
      <c r="E45" s="129"/>
      <c r="F45" s="129"/>
      <c r="G45" s="129"/>
      <c r="H45" s="129"/>
      <c r="I45" s="129"/>
      <c r="J45" s="129"/>
      <c r="K45" s="131"/>
      <c r="L45" s="131"/>
      <c r="M45" s="131"/>
      <c r="N45" s="139">
        <f>SUM(B45:M45)</f>
        <v>3941.21</v>
      </c>
    </row>
    <row r="46" spans="1:14" x14ac:dyDescent="0.25">
      <c r="A46" s="129" t="s">
        <v>619</v>
      </c>
      <c r="B46" s="130">
        <f>'ENERO 19'!N131</f>
        <v>588.71</v>
      </c>
      <c r="C46" s="130">
        <f>'FEBRERO 19'!N110</f>
        <v>0</v>
      </c>
      <c r="D46" s="129"/>
      <c r="E46" s="129"/>
      <c r="F46" s="129"/>
      <c r="G46" s="129"/>
      <c r="H46" s="129"/>
      <c r="I46" s="129"/>
      <c r="J46" s="129"/>
      <c r="K46" s="131"/>
      <c r="L46" s="131"/>
      <c r="M46" s="131"/>
      <c r="N46" s="139">
        <f>SUM(B46:M46)</f>
        <v>588.71</v>
      </c>
    </row>
    <row r="47" spans="1:14" x14ac:dyDescent="0.25">
      <c r="A47" s="129" t="s">
        <v>620</v>
      </c>
      <c r="B47" s="130">
        <f>'ENERO 19'!N132</f>
        <v>1000.8199999999999</v>
      </c>
      <c r="C47" s="130">
        <f>'FEBRERO 19'!N111</f>
        <v>0</v>
      </c>
      <c r="D47" s="129"/>
      <c r="E47" s="129"/>
      <c r="F47" s="129"/>
      <c r="G47" s="129"/>
      <c r="H47" s="129"/>
      <c r="I47" s="129"/>
      <c r="J47" s="129"/>
      <c r="K47" s="131"/>
      <c r="L47" s="131"/>
      <c r="M47" s="131"/>
      <c r="N47" s="139">
        <f>SUM(B47:M47)</f>
        <v>1000.8199999999999</v>
      </c>
    </row>
    <row r="48" spans="1:14" x14ac:dyDescent="0.25">
      <c r="A48" s="132" t="s">
        <v>24</v>
      </c>
      <c r="B48" s="133">
        <f>SUM(B45:B47)</f>
        <v>5510.74</v>
      </c>
      <c r="C48" s="133">
        <f>SUM(C45:C47)</f>
        <v>20</v>
      </c>
      <c r="D48" s="132"/>
      <c r="E48" s="132"/>
      <c r="F48" s="132"/>
      <c r="G48" s="132"/>
      <c r="H48" s="132"/>
      <c r="I48" s="132"/>
      <c r="J48" s="132"/>
      <c r="K48" s="134"/>
      <c r="L48" s="134"/>
      <c r="M48" s="134"/>
      <c r="N48" s="138">
        <f>SUM(B48:M48)</f>
        <v>5530.74</v>
      </c>
    </row>
    <row r="50" spans="1:14" ht="18.75" x14ac:dyDescent="0.25">
      <c r="A50" s="189" t="s">
        <v>626</v>
      </c>
      <c r="B50" s="189"/>
      <c r="C50" s="189"/>
      <c r="D50" s="189"/>
      <c r="E50" s="189"/>
      <c r="F50" s="189"/>
      <c r="G50" s="189"/>
      <c r="H50" s="189"/>
      <c r="I50" s="189"/>
      <c r="J50" s="189"/>
      <c r="K50" s="189"/>
      <c r="L50" s="189"/>
      <c r="M50" s="189"/>
      <c r="N50" s="189"/>
    </row>
    <row r="51" spans="1:14" x14ac:dyDescent="0.25">
      <c r="A51" s="188" t="s">
        <v>631</v>
      </c>
      <c r="B51" s="188"/>
      <c r="C51" s="188"/>
      <c r="D51" s="188"/>
      <c r="E51" s="188"/>
      <c r="F51" s="188"/>
      <c r="G51" s="188"/>
      <c r="H51" s="188"/>
      <c r="I51" s="188"/>
      <c r="J51" s="188"/>
      <c r="K51" s="188"/>
      <c r="L51" s="188"/>
      <c r="M51" s="188"/>
      <c r="N51" s="188"/>
    </row>
    <row r="52" spans="1:14" x14ac:dyDescent="0.25">
      <c r="A52" s="129" t="s">
        <v>621</v>
      </c>
      <c r="B52" s="129" t="s">
        <v>609</v>
      </c>
      <c r="C52" s="129" t="s">
        <v>611</v>
      </c>
      <c r="D52" s="129" t="s">
        <v>612</v>
      </c>
      <c r="E52" s="129" t="s">
        <v>613</v>
      </c>
      <c r="F52" s="129" t="s">
        <v>614</v>
      </c>
      <c r="G52" s="129" t="s">
        <v>615</v>
      </c>
      <c r="H52" s="129" t="s">
        <v>616</v>
      </c>
      <c r="I52" s="129" t="s">
        <v>617</v>
      </c>
      <c r="J52" s="129" t="s">
        <v>618</v>
      </c>
      <c r="K52" s="129" t="s">
        <v>623</v>
      </c>
      <c r="L52" s="129" t="s">
        <v>624</v>
      </c>
      <c r="M52" s="129" t="s">
        <v>625</v>
      </c>
      <c r="N52" s="140" t="s">
        <v>645</v>
      </c>
    </row>
    <row r="53" spans="1:14" x14ac:dyDescent="0.25">
      <c r="A53" s="129" t="s">
        <v>328</v>
      </c>
      <c r="B53" s="130">
        <f>'ENERO 19'!O130</f>
        <v>4146</v>
      </c>
      <c r="C53" s="130">
        <f>'FEBRERO 19'!O109</f>
        <v>3817</v>
      </c>
      <c r="D53" s="129"/>
      <c r="E53" s="129"/>
      <c r="F53" s="129"/>
      <c r="G53" s="129"/>
      <c r="H53" s="129"/>
      <c r="I53" s="129"/>
      <c r="J53" s="129"/>
      <c r="K53" s="131"/>
      <c r="L53" s="131"/>
      <c r="M53" s="131"/>
      <c r="N53" s="137">
        <f>SUM(B53:M53)</f>
        <v>7963</v>
      </c>
    </row>
    <row r="54" spans="1:14" x14ac:dyDescent="0.25">
      <c r="A54" s="129" t="s">
        <v>619</v>
      </c>
      <c r="B54" s="130">
        <f>'ENERO 19'!O131</f>
        <v>960</v>
      </c>
      <c r="C54" s="130">
        <f>'FEBRERO 19'!O110</f>
        <v>785</v>
      </c>
      <c r="D54" s="129"/>
      <c r="E54" s="129"/>
      <c r="F54" s="129"/>
      <c r="G54" s="129"/>
      <c r="H54" s="129"/>
      <c r="I54" s="129"/>
      <c r="J54" s="129"/>
      <c r="K54" s="131"/>
      <c r="L54" s="131"/>
      <c r="M54" s="131"/>
      <c r="N54" s="137">
        <f>SUM(B54:M54)</f>
        <v>1745</v>
      </c>
    </row>
    <row r="55" spans="1:14" x14ac:dyDescent="0.25">
      <c r="A55" s="129" t="s">
        <v>620</v>
      </c>
      <c r="B55" s="130">
        <f>'ENERO 19'!O132</f>
        <v>860</v>
      </c>
      <c r="C55" s="130">
        <f>'FEBRERO 19'!O111</f>
        <v>400</v>
      </c>
      <c r="D55" s="129"/>
      <c r="E55" s="129"/>
      <c r="F55" s="129"/>
      <c r="G55" s="129"/>
      <c r="H55" s="129"/>
      <c r="I55" s="129"/>
      <c r="J55" s="129"/>
      <c r="K55" s="131"/>
      <c r="L55" s="131"/>
      <c r="M55" s="131"/>
      <c r="N55" s="137">
        <f>SUM(B55:M55)</f>
        <v>1260</v>
      </c>
    </row>
    <row r="56" spans="1:14" x14ac:dyDescent="0.25">
      <c r="A56" s="132" t="s">
        <v>24</v>
      </c>
      <c r="B56" s="133">
        <f>SUM(B53:B55)</f>
        <v>5966</v>
      </c>
      <c r="C56" s="133">
        <f>SUM(C53:C55)</f>
        <v>5002</v>
      </c>
      <c r="D56" s="132"/>
      <c r="E56" s="132"/>
      <c r="F56" s="132"/>
      <c r="G56" s="132"/>
      <c r="H56" s="132"/>
      <c r="I56" s="132"/>
      <c r="J56" s="132"/>
      <c r="K56" s="134"/>
      <c r="L56" s="134"/>
      <c r="M56" s="134"/>
      <c r="N56" s="138">
        <f>SUM(B56:M56)</f>
        <v>10968</v>
      </c>
    </row>
    <row r="58" spans="1:14" ht="18.75" x14ac:dyDescent="0.25">
      <c r="A58" s="189" t="s">
        <v>626</v>
      </c>
      <c r="B58" s="189"/>
      <c r="C58" s="189"/>
      <c r="D58" s="189"/>
      <c r="E58" s="189"/>
      <c r="F58" s="189"/>
      <c r="G58" s="189"/>
      <c r="H58" s="189"/>
      <c r="I58" s="189"/>
      <c r="J58" s="189"/>
      <c r="K58" s="189"/>
      <c r="L58" s="189"/>
      <c r="M58" s="189"/>
      <c r="N58" s="189"/>
    </row>
    <row r="59" spans="1:14" x14ac:dyDescent="0.25">
      <c r="A59" s="188" t="s">
        <v>632</v>
      </c>
      <c r="B59" s="188"/>
      <c r="C59" s="188"/>
      <c r="D59" s="188"/>
      <c r="E59" s="188"/>
      <c r="F59" s="188"/>
      <c r="G59" s="188"/>
      <c r="H59" s="188"/>
      <c r="I59" s="188"/>
      <c r="J59" s="188"/>
      <c r="K59" s="188"/>
      <c r="L59" s="188"/>
      <c r="M59" s="188"/>
      <c r="N59" s="188"/>
    </row>
    <row r="60" spans="1:14" x14ac:dyDescent="0.25">
      <c r="A60" s="129" t="s">
        <v>621</v>
      </c>
      <c r="B60" s="129" t="s">
        <v>609</v>
      </c>
      <c r="C60" s="129" t="s">
        <v>611</v>
      </c>
      <c r="D60" s="129" t="s">
        <v>612</v>
      </c>
      <c r="E60" s="129" t="s">
        <v>613</v>
      </c>
      <c r="F60" s="129" t="s">
        <v>614</v>
      </c>
      <c r="G60" s="129" t="s">
        <v>615</v>
      </c>
      <c r="H60" s="129" t="s">
        <v>616</v>
      </c>
      <c r="I60" s="129" t="s">
        <v>617</v>
      </c>
      <c r="J60" s="129" t="s">
        <v>618</v>
      </c>
      <c r="K60" s="129" t="s">
        <v>623</v>
      </c>
      <c r="L60" s="129" t="s">
        <v>624</v>
      </c>
      <c r="M60" s="129" t="s">
        <v>625</v>
      </c>
      <c r="N60" s="131" t="s">
        <v>636</v>
      </c>
    </row>
    <row r="61" spans="1:14" x14ac:dyDescent="0.25">
      <c r="A61" s="129" t="s">
        <v>328</v>
      </c>
      <c r="B61" s="130">
        <f>'ENERO 19'!P130</f>
        <v>5949.7899999999991</v>
      </c>
      <c r="C61" s="130">
        <f>'FEBRERO 19'!P109</f>
        <v>6262</v>
      </c>
      <c r="D61" s="129"/>
      <c r="E61" s="129"/>
      <c r="F61" s="129"/>
      <c r="G61" s="129"/>
      <c r="H61" s="129"/>
      <c r="I61" s="129"/>
      <c r="J61" s="129"/>
      <c r="K61" s="131"/>
      <c r="L61" s="131"/>
      <c r="M61" s="131"/>
      <c r="N61" s="137">
        <f>SUM(B61:M61)</f>
        <v>12211.789999999999</v>
      </c>
    </row>
    <row r="62" spans="1:14" x14ac:dyDescent="0.25">
      <c r="A62" s="129" t="s">
        <v>619</v>
      </c>
      <c r="B62" s="130">
        <f>'ENERO 19'!P131</f>
        <v>691.34999999999991</v>
      </c>
      <c r="C62" s="130">
        <f>'FEBRERO 19'!P110</f>
        <v>665</v>
      </c>
      <c r="D62" s="129"/>
      <c r="E62" s="129"/>
      <c r="F62" s="129"/>
      <c r="G62" s="129"/>
      <c r="H62" s="129"/>
      <c r="I62" s="129"/>
      <c r="J62" s="129"/>
      <c r="K62" s="131"/>
      <c r="L62" s="131"/>
      <c r="M62" s="131"/>
      <c r="N62" s="137">
        <f>SUM(B62:M62)</f>
        <v>1356.35</v>
      </c>
    </row>
    <row r="63" spans="1:14" x14ac:dyDescent="0.25">
      <c r="A63" s="129" t="s">
        <v>620</v>
      </c>
      <c r="B63" s="130">
        <f>'ENERO 19'!P132</f>
        <v>1458.1100000000001</v>
      </c>
      <c r="C63" s="130">
        <f>'FEBRERO 19'!P111</f>
        <v>710</v>
      </c>
      <c r="D63" s="129"/>
      <c r="E63" s="129"/>
      <c r="F63" s="129"/>
      <c r="G63" s="129"/>
      <c r="H63" s="129"/>
      <c r="I63" s="129"/>
      <c r="J63" s="129"/>
      <c r="K63" s="131"/>
      <c r="L63" s="131"/>
      <c r="M63" s="131"/>
      <c r="N63" s="137">
        <f>SUM(B63:M63)</f>
        <v>2168.11</v>
      </c>
    </row>
    <row r="64" spans="1:14" x14ac:dyDescent="0.25">
      <c r="A64" s="132" t="s">
        <v>24</v>
      </c>
      <c r="B64" s="133">
        <f>SUM(B61:B63)</f>
        <v>8099.25</v>
      </c>
      <c r="C64" s="133">
        <f>SUM(C61:C63)</f>
        <v>7637</v>
      </c>
      <c r="D64" s="132"/>
      <c r="E64" s="132"/>
      <c r="F64" s="132"/>
      <c r="G64" s="132"/>
      <c r="H64" s="132"/>
      <c r="I64" s="132"/>
      <c r="J64" s="132"/>
      <c r="K64" s="134"/>
      <c r="L64" s="134"/>
      <c r="M64" s="134"/>
      <c r="N64" s="138">
        <f>SUM(B64:M64)</f>
        <v>15736.25</v>
      </c>
    </row>
    <row r="67" spans="1:14" ht="18.75" x14ac:dyDescent="0.25">
      <c r="A67" s="189" t="s">
        <v>626</v>
      </c>
      <c r="B67" s="189"/>
      <c r="C67" s="189"/>
      <c r="D67" s="189"/>
      <c r="E67" s="189"/>
      <c r="F67" s="189"/>
      <c r="G67" s="189"/>
      <c r="H67" s="189"/>
      <c r="I67" s="189"/>
      <c r="J67" s="189"/>
      <c r="K67" s="189"/>
      <c r="L67" s="189"/>
      <c r="M67" s="189"/>
      <c r="N67" s="189"/>
    </row>
    <row r="68" spans="1:14" x14ac:dyDescent="0.25">
      <c r="A68" s="188" t="s">
        <v>638</v>
      </c>
      <c r="B68" s="188"/>
      <c r="C68" s="188"/>
      <c r="D68" s="188"/>
      <c r="E68" s="188"/>
      <c r="F68" s="188"/>
      <c r="G68" s="188"/>
      <c r="H68" s="188"/>
      <c r="I68" s="188"/>
      <c r="J68" s="188"/>
      <c r="K68" s="188"/>
      <c r="L68" s="188"/>
      <c r="M68" s="188"/>
      <c r="N68" s="188"/>
    </row>
    <row r="69" spans="1:14" x14ac:dyDescent="0.25">
      <c r="A69" s="129" t="s">
        <v>621</v>
      </c>
      <c r="B69" s="129" t="s">
        <v>609</v>
      </c>
      <c r="C69" s="129" t="s">
        <v>611</v>
      </c>
      <c r="D69" s="129" t="s">
        <v>612</v>
      </c>
      <c r="E69" s="129" t="s">
        <v>613</v>
      </c>
      <c r="F69" s="129" t="s">
        <v>614</v>
      </c>
      <c r="G69" s="129" t="s">
        <v>615</v>
      </c>
      <c r="H69" s="129" t="s">
        <v>616</v>
      </c>
      <c r="I69" s="129" t="s">
        <v>617</v>
      </c>
      <c r="J69" s="129" t="s">
        <v>618</v>
      </c>
      <c r="K69" s="129" t="s">
        <v>623</v>
      </c>
      <c r="L69" s="129" t="s">
        <v>624</v>
      </c>
      <c r="M69" s="129" t="s">
        <v>625</v>
      </c>
      <c r="N69" s="140" t="s">
        <v>3</v>
      </c>
    </row>
    <row r="70" spans="1:14" x14ac:dyDescent="0.25">
      <c r="A70" s="129" t="s">
        <v>328</v>
      </c>
      <c r="B70" s="130">
        <f>'ENERO 19'!Q130</f>
        <v>10095.789999999999</v>
      </c>
      <c r="C70" s="130">
        <f>'FEBRERO 19'!Q109</f>
        <v>10079</v>
      </c>
      <c r="D70" s="129"/>
      <c r="E70" s="129"/>
      <c r="F70" s="129"/>
      <c r="G70" s="129"/>
      <c r="H70" s="129"/>
      <c r="I70" s="129"/>
      <c r="J70" s="129"/>
      <c r="K70" s="131"/>
      <c r="L70" s="131"/>
      <c r="M70" s="131"/>
      <c r="N70" s="137">
        <f>SUM(B70:M70)</f>
        <v>20174.79</v>
      </c>
    </row>
    <row r="71" spans="1:14" x14ac:dyDescent="0.25">
      <c r="A71" s="129" t="s">
        <v>619</v>
      </c>
      <c r="B71" s="130">
        <f>'ENERO 19'!Q131</f>
        <v>1651.35</v>
      </c>
      <c r="C71" s="130">
        <f>'FEBRERO 19'!Q110</f>
        <v>1450</v>
      </c>
      <c r="D71" s="129"/>
      <c r="E71" s="129"/>
      <c r="F71" s="129"/>
      <c r="G71" s="129"/>
      <c r="H71" s="129"/>
      <c r="I71" s="129"/>
      <c r="J71" s="129"/>
      <c r="K71" s="131"/>
      <c r="L71" s="131"/>
      <c r="M71" s="131"/>
      <c r="N71" s="137">
        <f>SUM(B71:M71)</f>
        <v>3101.35</v>
      </c>
    </row>
    <row r="72" spans="1:14" x14ac:dyDescent="0.25">
      <c r="A72" s="129" t="s">
        <v>620</v>
      </c>
      <c r="B72" s="130">
        <f>'ENERO 19'!Q132</f>
        <v>2318.11</v>
      </c>
      <c r="C72" s="130">
        <f>'FEBRERO 19'!Q111</f>
        <v>1110</v>
      </c>
      <c r="D72" s="129"/>
      <c r="E72" s="129"/>
      <c r="F72" s="129"/>
      <c r="G72" s="129"/>
      <c r="H72" s="129"/>
      <c r="I72" s="129"/>
      <c r="J72" s="129"/>
      <c r="K72" s="131"/>
      <c r="L72" s="131"/>
      <c r="M72" s="131"/>
      <c r="N72" s="137">
        <f>SUM(B72:M72)</f>
        <v>3428.11</v>
      </c>
    </row>
    <row r="73" spans="1:14" x14ac:dyDescent="0.25">
      <c r="A73" s="132" t="s">
        <v>24</v>
      </c>
      <c r="B73" s="133">
        <f>SUM(B70:B72)</f>
        <v>14065.25</v>
      </c>
      <c r="C73" s="133">
        <f>SUM(C70:C72)</f>
        <v>12639</v>
      </c>
      <c r="D73" s="132"/>
      <c r="E73" s="132"/>
      <c r="F73" s="132"/>
      <c r="G73" s="132"/>
      <c r="H73" s="132"/>
      <c r="I73" s="132"/>
      <c r="J73" s="132"/>
      <c r="K73" s="134"/>
      <c r="L73" s="134"/>
      <c r="M73" s="134"/>
      <c r="N73" s="138">
        <f>SUM(B73:M73)</f>
        <v>26704.25</v>
      </c>
    </row>
  </sheetData>
  <mergeCells count="19">
    <mergeCell ref="P2:U2"/>
    <mergeCell ref="A19:N19"/>
    <mergeCell ref="A10:N10"/>
    <mergeCell ref="A11:N11"/>
    <mergeCell ref="A2:N2"/>
    <mergeCell ref="A3:N3"/>
    <mergeCell ref="A18:N18"/>
    <mergeCell ref="A68:N68"/>
    <mergeCell ref="A34:N34"/>
    <mergeCell ref="A35:N35"/>
    <mergeCell ref="A26:N26"/>
    <mergeCell ref="A27:N27"/>
    <mergeCell ref="A67:N67"/>
    <mergeCell ref="A42:N42"/>
    <mergeCell ref="A43:N43"/>
    <mergeCell ref="A58:N58"/>
    <mergeCell ref="A59:N59"/>
    <mergeCell ref="A50:N50"/>
    <mergeCell ref="A51:N5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O1048559"/>
  <sheetViews>
    <sheetView tabSelected="1" topLeftCell="A2" zoomScale="80" zoomScaleNormal="80" workbookViewId="0">
      <pane xSplit="3" ySplit="4" topLeftCell="J53" activePane="bottomRight" state="frozen"/>
      <selection activeCell="A2" sqref="A2"/>
      <selection pane="topRight" activeCell="D2" sqref="D2"/>
      <selection pane="bottomLeft" activeCell="A6" sqref="A6"/>
      <selection pane="bottomRight" activeCell="U62" sqref="U62"/>
    </sheetView>
  </sheetViews>
  <sheetFormatPr baseColWidth="10" defaultRowHeight="15.75" x14ac:dyDescent="0.3"/>
  <cols>
    <col min="1" max="1" width="3.85546875" style="6" customWidth="1"/>
    <col min="2" max="2" width="11.7109375" style="6" customWidth="1"/>
    <col min="3" max="3" width="30.7109375" style="4" customWidth="1"/>
    <col min="4" max="4" width="10.7109375" style="4" customWidth="1"/>
    <col min="5" max="5" width="21.42578125" style="4" customWidth="1"/>
    <col min="6" max="6" width="23.28515625" style="4" customWidth="1"/>
    <col min="7" max="7" width="12.42578125" style="3" customWidth="1"/>
    <col min="8" max="8" width="13.42578125" style="3" customWidth="1"/>
    <col min="9" max="9" width="13.7109375" style="3" customWidth="1"/>
    <col min="10" max="10" width="11.7109375" style="3" customWidth="1"/>
    <col min="11" max="11" width="14" style="3" customWidth="1"/>
    <col min="12" max="12" width="11.42578125" style="3" customWidth="1"/>
    <col min="13" max="13" width="12.5703125" style="3" customWidth="1"/>
    <col min="14" max="15" width="12.140625" style="3" customWidth="1"/>
    <col min="16" max="16" width="13.28515625" style="3" customWidth="1"/>
    <col min="17" max="17" width="14" style="3" customWidth="1"/>
    <col min="18" max="18" width="14.28515625" style="3" customWidth="1"/>
    <col min="19" max="19" width="11.7109375" style="3" customWidth="1"/>
    <col min="20" max="20" width="5.42578125" style="4" customWidth="1"/>
    <col min="21" max="21" width="12.28515625" style="7" customWidth="1"/>
    <col min="22" max="22" width="7.28515625" style="215" customWidth="1"/>
    <col min="23" max="23" width="8.140625" customWidth="1"/>
    <col min="24" max="24" width="13.28515625" customWidth="1"/>
  </cols>
  <sheetData>
    <row r="2" spans="1:25" ht="26.25" customHeight="1" x14ac:dyDescent="0.25">
      <c r="A2" s="192" t="s">
        <v>25</v>
      </c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</row>
    <row r="3" spans="1:25" ht="18" x14ac:dyDescent="0.25">
      <c r="A3" s="191" t="s">
        <v>26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</row>
    <row r="4" spans="1:25" ht="15" x14ac:dyDescent="0.25">
      <c r="A4" s="193" t="s">
        <v>0</v>
      </c>
      <c r="B4" s="194"/>
      <c r="C4" s="194"/>
      <c r="D4" s="194"/>
      <c r="E4" s="195" t="s">
        <v>1</v>
      </c>
      <c r="F4" s="195"/>
      <c r="G4" s="194"/>
      <c r="H4" s="194"/>
      <c r="I4" s="194"/>
      <c r="J4" s="77"/>
      <c r="K4" s="77"/>
      <c r="L4" s="194" t="s">
        <v>2</v>
      </c>
      <c r="M4" s="194"/>
      <c r="N4" s="194"/>
      <c r="O4" s="194" t="s">
        <v>3</v>
      </c>
      <c r="P4" s="194"/>
      <c r="Q4" s="194"/>
      <c r="R4" s="195" t="s">
        <v>4</v>
      </c>
      <c r="S4" s="197"/>
      <c r="T4" s="197"/>
      <c r="U4" s="197"/>
      <c r="V4" s="205"/>
      <c r="W4" s="19"/>
      <c r="X4" s="19"/>
      <c r="Y4" s="78"/>
    </row>
    <row r="5" spans="1:25" ht="15" x14ac:dyDescent="0.25">
      <c r="A5" s="79" t="s">
        <v>5</v>
      </c>
      <c r="B5" s="80" t="s">
        <v>6</v>
      </c>
      <c r="C5" s="80" t="s">
        <v>7</v>
      </c>
      <c r="D5" s="80" t="s">
        <v>8</v>
      </c>
      <c r="E5" s="80" t="s">
        <v>9</v>
      </c>
      <c r="F5" s="80" t="s">
        <v>10</v>
      </c>
      <c r="G5" s="80" t="s">
        <v>29</v>
      </c>
      <c r="H5" s="80" t="s">
        <v>30</v>
      </c>
      <c r="I5" s="80" t="s">
        <v>11</v>
      </c>
      <c r="J5" s="80" t="s">
        <v>12</v>
      </c>
      <c r="K5" s="80" t="s">
        <v>13</v>
      </c>
      <c r="L5" s="80" t="s">
        <v>14</v>
      </c>
      <c r="M5" s="80" t="s">
        <v>15</v>
      </c>
      <c r="N5" s="80" t="s">
        <v>16</v>
      </c>
      <c r="O5" s="80" t="s">
        <v>17</v>
      </c>
      <c r="P5" s="80" t="s">
        <v>18</v>
      </c>
      <c r="Q5" s="80" t="s">
        <v>19</v>
      </c>
      <c r="R5" s="196"/>
      <c r="S5" s="80" t="s">
        <v>20</v>
      </c>
      <c r="T5" s="80" t="s">
        <v>21</v>
      </c>
      <c r="U5" s="81" t="s">
        <v>20</v>
      </c>
      <c r="V5" s="82" t="s">
        <v>21</v>
      </c>
      <c r="W5" s="80" t="s">
        <v>22</v>
      </c>
      <c r="X5" s="80" t="s">
        <v>23</v>
      </c>
      <c r="Y5" s="80" t="s">
        <v>24</v>
      </c>
    </row>
    <row r="6" spans="1:25" s="1" customFormat="1" ht="26.25" customHeight="1" x14ac:dyDescent="0.3">
      <c r="A6" s="20">
        <v>1</v>
      </c>
      <c r="B6" s="83">
        <v>43467</v>
      </c>
      <c r="C6" s="23" t="s">
        <v>27</v>
      </c>
      <c r="D6" s="23"/>
      <c r="E6" s="23" t="s">
        <v>28</v>
      </c>
      <c r="F6" s="23"/>
      <c r="G6" s="22"/>
      <c r="H6" s="22">
        <v>5</v>
      </c>
      <c r="I6" s="14">
        <f t="shared" ref="I6:I30" si="0">G6+H6</f>
        <v>5</v>
      </c>
      <c r="J6" s="14">
        <f>I6*13%</f>
        <v>0.65</v>
      </c>
      <c r="K6" s="14">
        <f>I6-J6</f>
        <v>4.3499999999999996</v>
      </c>
      <c r="L6" s="22"/>
      <c r="M6" s="22"/>
      <c r="N6" s="14">
        <f>L6+M6</f>
        <v>0</v>
      </c>
      <c r="O6" s="22">
        <f>G6-L6</f>
        <v>0</v>
      </c>
      <c r="P6" s="22">
        <f>H6-M6</f>
        <v>5</v>
      </c>
      <c r="Q6" s="14">
        <f>O6+P6</f>
        <v>5</v>
      </c>
      <c r="R6" s="14">
        <f>N6+Q6</f>
        <v>5</v>
      </c>
      <c r="S6" s="22">
        <v>5</v>
      </c>
      <c r="T6" s="23">
        <v>782</v>
      </c>
      <c r="U6" s="22"/>
      <c r="V6" s="206"/>
      <c r="W6" s="85"/>
      <c r="X6" s="24">
        <f>S6+U6</f>
        <v>5</v>
      </c>
      <c r="Y6" s="86">
        <f>R6-X6</f>
        <v>0</v>
      </c>
    </row>
    <row r="7" spans="1:25" s="1" customFormat="1" ht="26.25" customHeight="1" x14ac:dyDescent="0.3">
      <c r="A7" s="20">
        <v>3</v>
      </c>
      <c r="B7" s="83">
        <v>43467</v>
      </c>
      <c r="C7" s="23" t="s">
        <v>31</v>
      </c>
      <c r="D7" s="23" t="s">
        <v>32</v>
      </c>
      <c r="E7" s="23" t="s">
        <v>33</v>
      </c>
      <c r="F7" s="23" t="s">
        <v>34</v>
      </c>
      <c r="G7" s="22">
        <v>185</v>
      </c>
      <c r="H7" s="22">
        <v>75</v>
      </c>
      <c r="I7" s="14">
        <f t="shared" si="0"/>
        <v>260</v>
      </c>
      <c r="J7" s="14">
        <f>I7*13%</f>
        <v>33.800000000000004</v>
      </c>
      <c r="K7" s="14">
        <f>I7-J7</f>
        <v>226.2</v>
      </c>
      <c r="L7" s="22">
        <v>35</v>
      </c>
      <c r="M7" s="22">
        <v>14</v>
      </c>
      <c r="N7" s="14">
        <f>L7+M7</f>
        <v>49</v>
      </c>
      <c r="O7" s="22">
        <f>G7-L7</f>
        <v>150</v>
      </c>
      <c r="P7" s="22">
        <f>H7-M7</f>
        <v>61</v>
      </c>
      <c r="Q7" s="14">
        <f>O7+P7</f>
        <v>211</v>
      </c>
      <c r="R7" s="14">
        <f>N7+Q7</f>
        <v>260</v>
      </c>
      <c r="S7" s="22">
        <v>260</v>
      </c>
      <c r="T7" s="23">
        <v>784</v>
      </c>
      <c r="U7" s="22"/>
      <c r="V7" s="206"/>
      <c r="W7" s="85"/>
      <c r="X7" s="24">
        <f>S7+U7</f>
        <v>260</v>
      </c>
      <c r="Y7" s="86">
        <f>R7-X7</f>
        <v>0</v>
      </c>
    </row>
    <row r="8" spans="1:25" s="1" customFormat="1" ht="26.25" customHeight="1" x14ac:dyDescent="0.3">
      <c r="A8" s="20">
        <v>4</v>
      </c>
      <c r="B8" s="83">
        <v>43467</v>
      </c>
      <c r="C8" s="23" t="s">
        <v>35</v>
      </c>
      <c r="D8" s="23" t="s">
        <v>36</v>
      </c>
      <c r="E8" s="23" t="s">
        <v>37</v>
      </c>
      <c r="F8" s="23" t="s">
        <v>38</v>
      </c>
      <c r="G8" s="22">
        <v>25</v>
      </c>
      <c r="H8" s="22">
        <v>60</v>
      </c>
      <c r="I8" s="14">
        <f t="shared" si="0"/>
        <v>85</v>
      </c>
      <c r="J8" s="14">
        <f t="shared" ref="J8:J30" si="1">I8*13%</f>
        <v>11.05</v>
      </c>
      <c r="K8" s="14">
        <f t="shared" ref="K8:K30" si="2">I8-J8</f>
        <v>73.95</v>
      </c>
      <c r="L8" s="22">
        <v>15</v>
      </c>
      <c r="M8" s="22">
        <v>14</v>
      </c>
      <c r="N8" s="14">
        <f t="shared" ref="N8:N30" si="3">L8+M8</f>
        <v>29</v>
      </c>
      <c r="O8" s="22">
        <f t="shared" ref="O8:P23" si="4">G8-L8</f>
        <v>10</v>
      </c>
      <c r="P8" s="22">
        <f t="shared" si="4"/>
        <v>46</v>
      </c>
      <c r="Q8" s="14">
        <f t="shared" ref="Q8:Q30" si="5">O8+P8</f>
        <v>56</v>
      </c>
      <c r="R8" s="14">
        <f t="shared" ref="R8:R30" si="6">N8+Q8</f>
        <v>85</v>
      </c>
      <c r="S8" s="22">
        <v>40</v>
      </c>
      <c r="T8" s="23">
        <v>786</v>
      </c>
      <c r="U8" s="22"/>
      <c r="V8" s="206"/>
      <c r="W8" s="85"/>
      <c r="X8" s="24">
        <f t="shared" ref="X8:X30" si="7">S8+U8</f>
        <v>40</v>
      </c>
      <c r="Y8" s="86">
        <f t="shared" ref="Y8:Y30" si="8">R8-X8</f>
        <v>45</v>
      </c>
    </row>
    <row r="9" spans="1:25" s="2" customFormat="1" ht="26.25" customHeight="1" x14ac:dyDescent="0.3">
      <c r="A9" s="30">
        <v>5</v>
      </c>
      <c r="B9" s="83">
        <v>43467</v>
      </c>
      <c r="C9" s="23" t="s">
        <v>39</v>
      </c>
      <c r="D9" s="35" t="s">
        <v>40</v>
      </c>
      <c r="E9" s="35" t="s">
        <v>41</v>
      </c>
      <c r="F9" s="35" t="s">
        <v>42</v>
      </c>
      <c r="G9" s="34">
        <v>35</v>
      </c>
      <c r="H9" s="34"/>
      <c r="I9" s="14">
        <f t="shared" si="0"/>
        <v>35</v>
      </c>
      <c r="J9" s="14">
        <f t="shared" si="1"/>
        <v>4.55</v>
      </c>
      <c r="K9" s="14">
        <f t="shared" si="2"/>
        <v>30.45</v>
      </c>
      <c r="L9" s="34">
        <v>10</v>
      </c>
      <c r="M9" s="34"/>
      <c r="N9" s="14">
        <f t="shared" si="3"/>
        <v>10</v>
      </c>
      <c r="O9" s="22">
        <f t="shared" si="4"/>
        <v>25</v>
      </c>
      <c r="P9" s="22">
        <f t="shared" si="4"/>
        <v>0</v>
      </c>
      <c r="Q9" s="14">
        <f t="shared" si="5"/>
        <v>25</v>
      </c>
      <c r="R9" s="14">
        <f t="shared" si="6"/>
        <v>35</v>
      </c>
      <c r="S9" s="34">
        <v>20</v>
      </c>
      <c r="T9" s="35">
        <v>787</v>
      </c>
      <c r="U9" s="34"/>
      <c r="V9" s="207"/>
      <c r="W9" s="37"/>
      <c r="X9" s="24">
        <f t="shared" si="7"/>
        <v>20</v>
      </c>
      <c r="Y9" s="24">
        <f t="shared" si="8"/>
        <v>15</v>
      </c>
    </row>
    <row r="10" spans="1:25" s="2" customFormat="1" ht="26.25" customHeight="1" x14ac:dyDescent="0.3">
      <c r="A10" s="30">
        <v>6</v>
      </c>
      <c r="B10" s="83">
        <v>43467</v>
      </c>
      <c r="C10" s="23" t="s">
        <v>43</v>
      </c>
      <c r="D10" s="35" t="s">
        <v>44</v>
      </c>
      <c r="E10" s="35" t="s">
        <v>45</v>
      </c>
      <c r="F10" s="35" t="s">
        <v>38</v>
      </c>
      <c r="G10" s="34">
        <v>25</v>
      </c>
      <c r="H10" s="34">
        <v>60</v>
      </c>
      <c r="I10" s="14">
        <f t="shared" si="0"/>
        <v>85</v>
      </c>
      <c r="J10" s="14">
        <f t="shared" si="1"/>
        <v>11.05</v>
      </c>
      <c r="K10" s="14">
        <f t="shared" si="2"/>
        <v>73.95</v>
      </c>
      <c r="L10" s="34">
        <v>10</v>
      </c>
      <c r="M10" s="34">
        <v>14</v>
      </c>
      <c r="N10" s="14">
        <f t="shared" si="3"/>
        <v>24</v>
      </c>
      <c r="O10" s="22">
        <f t="shared" si="4"/>
        <v>15</v>
      </c>
      <c r="P10" s="22">
        <f t="shared" si="4"/>
        <v>46</v>
      </c>
      <c r="Q10" s="14">
        <f t="shared" si="5"/>
        <v>61</v>
      </c>
      <c r="R10" s="14">
        <f t="shared" si="6"/>
        <v>85</v>
      </c>
      <c r="S10" s="34">
        <v>20</v>
      </c>
      <c r="T10" s="35">
        <v>788</v>
      </c>
      <c r="U10" s="34"/>
      <c r="V10" s="207"/>
      <c r="W10" s="37"/>
      <c r="X10" s="24">
        <f t="shared" si="7"/>
        <v>20</v>
      </c>
      <c r="Y10" s="24">
        <f t="shared" si="8"/>
        <v>65</v>
      </c>
    </row>
    <row r="11" spans="1:25" s="2" customFormat="1" ht="26.25" customHeight="1" x14ac:dyDescent="0.3">
      <c r="A11" s="30">
        <v>7</v>
      </c>
      <c r="B11" s="83">
        <v>43467</v>
      </c>
      <c r="C11" s="23" t="s">
        <v>46</v>
      </c>
      <c r="D11" s="35" t="s">
        <v>47</v>
      </c>
      <c r="E11" s="35" t="s">
        <v>48</v>
      </c>
      <c r="F11" s="35" t="s">
        <v>38</v>
      </c>
      <c r="G11" s="34">
        <v>25</v>
      </c>
      <c r="H11" s="34">
        <v>75</v>
      </c>
      <c r="I11" s="14">
        <f t="shared" si="0"/>
        <v>100</v>
      </c>
      <c r="J11" s="14">
        <f t="shared" si="1"/>
        <v>13</v>
      </c>
      <c r="K11" s="14">
        <f t="shared" si="2"/>
        <v>87</v>
      </c>
      <c r="L11" s="34">
        <v>15</v>
      </c>
      <c r="M11" s="34">
        <v>14</v>
      </c>
      <c r="N11" s="14">
        <f t="shared" si="3"/>
        <v>29</v>
      </c>
      <c r="O11" s="22">
        <f t="shared" si="4"/>
        <v>10</v>
      </c>
      <c r="P11" s="22">
        <f t="shared" si="4"/>
        <v>61</v>
      </c>
      <c r="Q11" s="14">
        <f t="shared" si="5"/>
        <v>71</v>
      </c>
      <c r="R11" s="14">
        <f t="shared" si="6"/>
        <v>100</v>
      </c>
      <c r="S11" s="34">
        <v>40</v>
      </c>
      <c r="T11" s="35">
        <v>789</v>
      </c>
      <c r="U11" s="34"/>
      <c r="V11" s="207"/>
      <c r="W11" s="37"/>
      <c r="X11" s="24">
        <f t="shared" si="7"/>
        <v>40</v>
      </c>
      <c r="Y11" s="24">
        <f t="shared" si="8"/>
        <v>60</v>
      </c>
    </row>
    <row r="12" spans="1:25" s="2" customFormat="1" ht="26.25" customHeight="1" x14ac:dyDescent="0.3">
      <c r="A12" s="30">
        <v>8</v>
      </c>
      <c r="B12" s="83">
        <v>43467</v>
      </c>
      <c r="C12" s="23" t="s">
        <v>49</v>
      </c>
      <c r="D12" s="35" t="s">
        <v>50</v>
      </c>
      <c r="E12" s="35" t="s">
        <v>51</v>
      </c>
      <c r="F12" s="35" t="s">
        <v>52</v>
      </c>
      <c r="G12" s="34">
        <v>50</v>
      </c>
      <c r="H12" s="34">
        <v>150</v>
      </c>
      <c r="I12" s="14">
        <f t="shared" si="0"/>
        <v>200</v>
      </c>
      <c r="J12" s="14">
        <f t="shared" si="1"/>
        <v>26</v>
      </c>
      <c r="K12" s="14">
        <f t="shared" si="2"/>
        <v>174</v>
      </c>
      <c r="L12" s="34">
        <v>20</v>
      </c>
      <c r="M12" s="34">
        <f>14+14</f>
        <v>28</v>
      </c>
      <c r="N12" s="14">
        <f t="shared" si="3"/>
        <v>48</v>
      </c>
      <c r="O12" s="22">
        <f t="shared" si="4"/>
        <v>30</v>
      </c>
      <c r="P12" s="22">
        <f t="shared" si="4"/>
        <v>122</v>
      </c>
      <c r="Q12" s="14">
        <f t="shared" si="5"/>
        <v>152</v>
      </c>
      <c r="R12" s="14">
        <f t="shared" si="6"/>
        <v>200</v>
      </c>
      <c r="S12" s="34">
        <v>100</v>
      </c>
      <c r="T12" s="35">
        <v>791</v>
      </c>
      <c r="U12" s="34"/>
      <c r="V12" s="207"/>
      <c r="W12" s="37"/>
      <c r="X12" s="24">
        <f t="shared" si="7"/>
        <v>100</v>
      </c>
      <c r="Y12" s="24">
        <f t="shared" si="8"/>
        <v>100</v>
      </c>
    </row>
    <row r="13" spans="1:25" s="2" customFormat="1" ht="26.25" customHeight="1" x14ac:dyDescent="0.3">
      <c r="A13" s="30">
        <v>9</v>
      </c>
      <c r="B13" s="87">
        <v>43468</v>
      </c>
      <c r="C13" s="23" t="s">
        <v>53</v>
      </c>
      <c r="D13" s="35"/>
      <c r="E13" s="35"/>
      <c r="F13" s="35" t="s">
        <v>54</v>
      </c>
      <c r="G13" s="34"/>
      <c r="H13" s="34">
        <v>15</v>
      </c>
      <c r="I13" s="14">
        <f t="shared" si="0"/>
        <v>15</v>
      </c>
      <c r="J13" s="14">
        <f t="shared" si="1"/>
        <v>1.9500000000000002</v>
      </c>
      <c r="K13" s="14">
        <f t="shared" si="2"/>
        <v>13.05</v>
      </c>
      <c r="L13" s="34"/>
      <c r="M13" s="34">
        <v>8</v>
      </c>
      <c r="N13" s="14">
        <f t="shared" si="3"/>
        <v>8</v>
      </c>
      <c r="O13" s="22">
        <f t="shared" si="4"/>
        <v>0</v>
      </c>
      <c r="P13" s="22">
        <f t="shared" si="4"/>
        <v>7</v>
      </c>
      <c r="Q13" s="14">
        <f t="shared" si="5"/>
        <v>7</v>
      </c>
      <c r="R13" s="14">
        <f t="shared" si="6"/>
        <v>15</v>
      </c>
      <c r="S13" s="34">
        <v>15</v>
      </c>
      <c r="T13" s="35">
        <v>796</v>
      </c>
      <c r="U13" s="34"/>
      <c r="V13" s="207"/>
      <c r="W13" s="37"/>
      <c r="X13" s="24">
        <f t="shared" si="7"/>
        <v>15</v>
      </c>
      <c r="Y13" s="24">
        <f t="shared" si="8"/>
        <v>0</v>
      </c>
    </row>
    <row r="14" spans="1:25" s="2" customFormat="1" ht="26.25" customHeight="1" x14ac:dyDescent="0.3">
      <c r="A14" s="30">
        <v>10</v>
      </c>
      <c r="B14" s="135">
        <f>'ENERO 19'!G13</f>
        <v>0</v>
      </c>
      <c r="C14" s="23" t="s">
        <v>55</v>
      </c>
      <c r="D14" s="35"/>
      <c r="E14" s="35" t="s">
        <v>56</v>
      </c>
      <c r="F14" s="35" t="s">
        <v>38</v>
      </c>
      <c r="G14" s="34">
        <v>160</v>
      </c>
      <c r="H14" s="34">
        <v>40</v>
      </c>
      <c r="I14" s="14">
        <f t="shared" si="0"/>
        <v>200</v>
      </c>
      <c r="J14" s="14">
        <f t="shared" si="1"/>
        <v>26</v>
      </c>
      <c r="K14" s="14">
        <f t="shared" si="2"/>
        <v>174</v>
      </c>
      <c r="L14" s="34">
        <v>45</v>
      </c>
      <c r="M14" s="34">
        <v>17.75</v>
      </c>
      <c r="N14" s="14">
        <f t="shared" si="3"/>
        <v>62.75</v>
      </c>
      <c r="O14" s="22">
        <f t="shared" si="4"/>
        <v>115</v>
      </c>
      <c r="P14" s="22">
        <f t="shared" si="4"/>
        <v>22.25</v>
      </c>
      <c r="Q14" s="14">
        <f t="shared" si="5"/>
        <v>137.25</v>
      </c>
      <c r="R14" s="14">
        <f t="shared" si="6"/>
        <v>200</v>
      </c>
      <c r="S14" s="34">
        <v>25</v>
      </c>
      <c r="T14" s="35">
        <v>799</v>
      </c>
      <c r="U14" s="34"/>
      <c r="V14" s="207"/>
      <c r="W14" s="37"/>
      <c r="X14" s="24">
        <f t="shared" si="7"/>
        <v>25</v>
      </c>
      <c r="Y14" s="24">
        <f t="shared" si="8"/>
        <v>175</v>
      </c>
    </row>
    <row r="15" spans="1:25" s="2" customFormat="1" ht="26.25" customHeight="1" x14ac:dyDescent="0.3">
      <c r="A15" s="30">
        <v>11</v>
      </c>
      <c r="B15" s="87">
        <v>43468</v>
      </c>
      <c r="C15" s="23" t="s">
        <v>57</v>
      </c>
      <c r="D15" s="35" t="s">
        <v>58</v>
      </c>
      <c r="E15" s="35"/>
      <c r="F15" s="35" t="s">
        <v>61</v>
      </c>
      <c r="G15" s="34"/>
      <c r="H15" s="34">
        <f>100+75+125</f>
        <v>300</v>
      </c>
      <c r="I15" s="14">
        <f t="shared" si="0"/>
        <v>300</v>
      </c>
      <c r="J15" s="14">
        <f t="shared" si="1"/>
        <v>39</v>
      </c>
      <c r="K15" s="14">
        <f t="shared" si="2"/>
        <v>261</v>
      </c>
      <c r="L15" s="34">
        <v>10</v>
      </c>
      <c r="M15" s="34">
        <v>141.94999999999999</v>
      </c>
      <c r="N15" s="14">
        <f t="shared" si="3"/>
        <v>151.94999999999999</v>
      </c>
      <c r="O15" s="22">
        <f t="shared" si="4"/>
        <v>-10</v>
      </c>
      <c r="P15" s="22">
        <f t="shared" si="4"/>
        <v>158.05000000000001</v>
      </c>
      <c r="Q15" s="14">
        <f t="shared" si="5"/>
        <v>148.05000000000001</v>
      </c>
      <c r="R15" s="14">
        <f t="shared" si="6"/>
        <v>300</v>
      </c>
      <c r="S15" s="34">
        <v>150</v>
      </c>
      <c r="T15" s="35">
        <v>800</v>
      </c>
      <c r="U15" s="34"/>
      <c r="V15" s="207"/>
      <c r="W15" s="37"/>
      <c r="X15" s="24">
        <f t="shared" si="7"/>
        <v>150</v>
      </c>
      <c r="Y15" s="24">
        <f t="shared" si="8"/>
        <v>150</v>
      </c>
    </row>
    <row r="16" spans="1:25" s="2" customFormat="1" ht="26.25" customHeight="1" x14ac:dyDescent="0.3">
      <c r="A16" s="30">
        <v>12</v>
      </c>
      <c r="B16" s="87">
        <v>43468</v>
      </c>
      <c r="C16" s="23" t="s">
        <v>59</v>
      </c>
      <c r="D16" s="35" t="s">
        <v>58</v>
      </c>
      <c r="E16" s="35" t="s">
        <v>60</v>
      </c>
      <c r="F16" s="35" t="s">
        <v>38</v>
      </c>
      <c r="G16" s="34">
        <v>170</v>
      </c>
      <c r="H16" s="34">
        <v>100</v>
      </c>
      <c r="I16" s="14">
        <f t="shared" si="0"/>
        <v>270</v>
      </c>
      <c r="J16" s="14">
        <f t="shared" si="1"/>
        <v>35.1</v>
      </c>
      <c r="K16" s="14">
        <f t="shared" si="2"/>
        <v>234.9</v>
      </c>
      <c r="L16" s="34">
        <v>35</v>
      </c>
      <c r="M16" s="34">
        <v>14</v>
      </c>
      <c r="N16" s="14">
        <f t="shared" si="3"/>
        <v>49</v>
      </c>
      <c r="O16" s="22">
        <f t="shared" si="4"/>
        <v>135</v>
      </c>
      <c r="P16" s="22">
        <f t="shared" si="4"/>
        <v>86</v>
      </c>
      <c r="Q16" s="14">
        <f t="shared" si="5"/>
        <v>221</v>
      </c>
      <c r="R16" s="14">
        <f t="shared" si="6"/>
        <v>270</v>
      </c>
      <c r="S16" s="34">
        <v>135</v>
      </c>
      <c r="T16" s="35">
        <v>801</v>
      </c>
      <c r="U16" s="34"/>
      <c r="V16" s="207"/>
      <c r="W16" s="37"/>
      <c r="X16" s="24">
        <f t="shared" si="7"/>
        <v>135</v>
      </c>
      <c r="Y16" s="24">
        <f t="shared" si="8"/>
        <v>135</v>
      </c>
    </row>
    <row r="17" spans="1:25" s="2" customFormat="1" ht="26.25" customHeight="1" x14ac:dyDescent="0.3">
      <c r="A17" s="30">
        <v>13</v>
      </c>
      <c r="B17" s="87">
        <v>43469</v>
      </c>
      <c r="C17" s="23" t="s">
        <v>62</v>
      </c>
      <c r="D17" s="35" t="s">
        <v>58</v>
      </c>
      <c r="E17" s="35" t="s">
        <v>63</v>
      </c>
      <c r="F17" s="35" t="s">
        <v>64</v>
      </c>
      <c r="G17" s="34"/>
      <c r="H17" s="34">
        <v>200</v>
      </c>
      <c r="I17" s="14">
        <f t="shared" si="0"/>
        <v>200</v>
      </c>
      <c r="J17" s="14">
        <f t="shared" si="1"/>
        <v>26</v>
      </c>
      <c r="K17" s="14">
        <f t="shared" si="2"/>
        <v>174</v>
      </c>
      <c r="L17" s="34"/>
      <c r="M17" s="34">
        <v>93.93</v>
      </c>
      <c r="N17" s="14">
        <f t="shared" si="3"/>
        <v>93.93</v>
      </c>
      <c r="O17" s="22">
        <f t="shared" si="4"/>
        <v>0</v>
      </c>
      <c r="P17" s="22">
        <f t="shared" si="4"/>
        <v>106.07</v>
      </c>
      <c r="Q17" s="14">
        <f t="shared" si="5"/>
        <v>106.07</v>
      </c>
      <c r="R17" s="14">
        <f t="shared" si="6"/>
        <v>200</v>
      </c>
      <c r="S17" s="34">
        <v>100</v>
      </c>
      <c r="T17" s="35">
        <v>803</v>
      </c>
      <c r="U17" s="34"/>
      <c r="V17" s="207"/>
      <c r="W17" s="37"/>
      <c r="X17" s="24">
        <f t="shared" si="7"/>
        <v>100</v>
      </c>
      <c r="Y17" s="24">
        <f t="shared" si="8"/>
        <v>100</v>
      </c>
    </row>
    <row r="18" spans="1:25" s="2" customFormat="1" ht="26.25" customHeight="1" x14ac:dyDescent="0.3">
      <c r="A18" s="30">
        <v>14</v>
      </c>
      <c r="B18" s="87">
        <v>43469</v>
      </c>
      <c r="C18" s="23" t="s">
        <v>65</v>
      </c>
      <c r="D18" s="35" t="s">
        <v>66</v>
      </c>
      <c r="E18" s="35" t="s">
        <v>67</v>
      </c>
      <c r="F18" s="35" t="s">
        <v>38</v>
      </c>
      <c r="G18" s="34">
        <v>25</v>
      </c>
      <c r="H18" s="34">
        <v>60</v>
      </c>
      <c r="I18" s="14">
        <f t="shared" si="0"/>
        <v>85</v>
      </c>
      <c r="J18" s="14">
        <f t="shared" si="1"/>
        <v>11.05</v>
      </c>
      <c r="K18" s="14">
        <f t="shared" si="2"/>
        <v>73.95</v>
      </c>
      <c r="L18" s="34">
        <v>10</v>
      </c>
      <c r="M18" s="34">
        <v>14</v>
      </c>
      <c r="N18" s="14">
        <f t="shared" si="3"/>
        <v>24</v>
      </c>
      <c r="O18" s="22">
        <f t="shared" si="4"/>
        <v>15</v>
      </c>
      <c r="P18" s="22">
        <f t="shared" si="4"/>
        <v>46</v>
      </c>
      <c r="Q18" s="14">
        <f t="shared" si="5"/>
        <v>61</v>
      </c>
      <c r="R18" s="14">
        <f t="shared" si="6"/>
        <v>85</v>
      </c>
      <c r="S18" s="34">
        <v>10</v>
      </c>
      <c r="T18" s="35">
        <v>804</v>
      </c>
      <c r="U18" s="34"/>
      <c r="V18" s="207"/>
      <c r="W18" s="37"/>
      <c r="X18" s="24">
        <f t="shared" si="7"/>
        <v>10</v>
      </c>
      <c r="Y18" s="24">
        <f t="shared" si="8"/>
        <v>75</v>
      </c>
    </row>
    <row r="19" spans="1:25" s="2" customFormat="1" ht="26.25" customHeight="1" x14ac:dyDescent="0.3">
      <c r="A19" s="30">
        <v>15</v>
      </c>
      <c r="B19" s="87">
        <v>43469</v>
      </c>
      <c r="C19" s="23" t="s">
        <v>68</v>
      </c>
      <c r="D19" s="35" t="s">
        <v>69</v>
      </c>
      <c r="E19" s="35" t="s">
        <v>70</v>
      </c>
      <c r="F19" s="35" t="s">
        <v>71</v>
      </c>
      <c r="G19" s="34">
        <v>25</v>
      </c>
      <c r="H19" s="34">
        <v>100</v>
      </c>
      <c r="I19" s="14">
        <f t="shared" si="0"/>
        <v>125</v>
      </c>
      <c r="J19" s="14">
        <f t="shared" si="1"/>
        <v>16.25</v>
      </c>
      <c r="K19" s="14">
        <f t="shared" si="2"/>
        <v>108.75</v>
      </c>
      <c r="L19" s="34">
        <v>10</v>
      </c>
      <c r="M19" s="34">
        <v>19.5</v>
      </c>
      <c r="N19" s="14">
        <f t="shared" si="3"/>
        <v>29.5</v>
      </c>
      <c r="O19" s="22">
        <f t="shared" si="4"/>
        <v>15</v>
      </c>
      <c r="P19" s="22">
        <f t="shared" si="4"/>
        <v>80.5</v>
      </c>
      <c r="Q19" s="14">
        <f t="shared" si="5"/>
        <v>95.5</v>
      </c>
      <c r="R19" s="14">
        <f t="shared" si="6"/>
        <v>125</v>
      </c>
      <c r="S19" s="34">
        <v>50</v>
      </c>
      <c r="T19" s="35">
        <v>805</v>
      </c>
      <c r="U19" s="34"/>
      <c r="V19" s="207"/>
      <c r="W19" s="37"/>
      <c r="X19" s="24">
        <f t="shared" si="7"/>
        <v>50</v>
      </c>
      <c r="Y19" s="24">
        <f t="shared" si="8"/>
        <v>75</v>
      </c>
    </row>
    <row r="20" spans="1:25" s="2" customFormat="1" ht="26.25" customHeight="1" x14ac:dyDescent="0.3">
      <c r="A20" s="30">
        <v>16</v>
      </c>
      <c r="B20" s="87">
        <v>43469</v>
      </c>
      <c r="C20" s="23" t="s">
        <v>72</v>
      </c>
      <c r="D20" s="35"/>
      <c r="E20" s="35" t="s">
        <v>73</v>
      </c>
      <c r="F20" s="35" t="s">
        <v>38</v>
      </c>
      <c r="G20" s="34"/>
      <c r="H20" s="34">
        <v>90</v>
      </c>
      <c r="I20" s="14">
        <f t="shared" si="0"/>
        <v>90</v>
      </c>
      <c r="J20" s="14">
        <f t="shared" si="1"/>
        <v>11.700000000000001</v>
      </c>
      <c r="K20" s="14">
        <f t="shared" si="2"/>
        <v>78.3</v>
      </c>
      <c r="L20" s="34"/>
      <c r="M20" s="34">
        <v>14</v>
      </c>
      <c r="N20" s="14">
        <f t="shared" si="3"/>
        <v>14</v>
      </c>
      <c r="O20" s="22">
        <f t="shared" si="4"/>
        <v>0</v>
      </c>
      <c r="P20" s="22">
        <f t="shared" si="4"/>
        <v>76</v>
      </c>
      <c r="Q20" s="14">
        <f t="shared" si="5"/>
        <v>76</v>
      </c>
      <c r="R20" s="14">
        <f t="shared" si="6"/>
        <v>90</v>
      </c>
      <c r="S20" s="34">
        <v>90</v>
      </c>
      <c r="T20" s="35">
        <v>808</v>
      </c>
      <c r="U20" s="34"/>
      <c r="V20" s="207"/>
      <c r="W20" s="37"/>
      <c r="X20" s="24">
        <f t="shared" si="7"/>
        <v>90</v>
      </c>
      <c r="Y20" s="24">
        <f t="shared" si="8"/>
        <v>0</v>
      </c>
    </row>
    <row r="21" spans="1:25" s="2" customFormat="1" ht="26.25" customHeight="1" x14ac:dyDescent="0.3">
      <c r="A21" s="30">
        <v>17</v>
      </c>
      <c r="B21" s="87">
        <v>43470</v>
      </c>
      <c r="C21" s="23" t="s">
        <v>74</v>
      </c>
      <c r="D21" s="35"/>
      <c r="E21" s="35" t="s">
        <v>75</v>
      </c>
      <c r="F21" s="35"/>
      <c r="G21" s="34">
        <v>5</v>
      </c>
      <c r="H21" s="34"/>
      <c r="I21" s="14">
        <f t="shared" si="0"/>
        <v>5</v>
      </c>
      <c r="J21" s="14">
        <f t="shared" si="1"/>
        <v>0.65</v>
      </c>
      <c r="K21" s="14">
        <f t="shared" si="2"/>
        <v>4.3499999999999996</v>
      </c>
      <c r="L21" s="34">
        <v>3.75</v>
      </c>
      <c r="M21" s="34"/>
      <c r="N21" s="14">
        <f t="shared" si="3"/>
        <v>3.75</v>
      </c>
      <c r="O21" s="22">
        <f t="shared" si="4"/>
        <v>1.25</v>
      </c>
      <c r="P21" s="22">
        <f t="shared" si="4"/>
        <v>0</v>
      </c>
      <c r="Q21" s="14">
        <f t="shared" si="5"/>
        <v>1.25</v>
      </c>
      <c r="R21" s="14">
        <f t="shared" si="6"/>
        <v>5</v>
      </c>
      <c r="S21" s="34">
        <v>5</v>
      </c>
      <c r="T21" s="35">
        <v>809</v>
      </c>
      <c r="U21" s="34"/>
      <c r="V21" s="207"/>
      <c r="W21" s="37"/>
      <c r="X21" s="24">
        <f t="shared" si="7"/>
        <v>5</v>
      </c>
      <c r="Y21" s="24">
        <f t="shared" si="8"/>
        <v>0</v>
      </c>
    </row>
    <row r="22" spans="1:25" s="2" customFormat="1" ht="26.25" customHeight="1" x14ac:dyDescent="0.3">
      <c r="A22" s="30">
        <v>18</v>
      </c>
      <c r="B22" s="87">
        <v>43470</v>
      </c>
      <c r="C22" s="23" t="s">
        <v>76</v>
      </c>
      <c r="D22" s="35" t="s">
        <v>77</v>
      </c>
      <c r="E22" s="35" t="s">
        <v>78</v>
      </c>
      <c r="F22" s="35" t="s">
        <v>79</v>
      </c>
      <c r="G22" s="34">
        <f>25+50</f>
        <v>75</v>
      </c>
      <c r="H22" s="34">
        <f>75+135</f>
        <v>210</v>
      </c>
      <c r="I22" s="14">
        <f t="shared" si="0"/>
        <v>285</v>
      </c>
      <c r="J22" s="14">
        <f t="shared" si="1"/>
        <v>37.050000000000004</v>
      </c>
      <c r="K22" s="14">
        <f t="shared" si="2"/>
        <v>247.95</v>
      </c>
      <c r="L22" s="34">
        <v>20</v>
      </c>
      <c r="M22" s="34">
        <f>14+43.84</f>
        <v>57.84</v>
      </c>
      <c r="N22" s="14">
        <f t="shared" si="3"/>
        <v>77.84</v>
      </c>
      <c r="O22" s="22">
        <f t="shared" si="4"/>
        <v>55</v>
      </c>
      <c r="P22" s="22">
        <f t="shared" si="4"/>
        <v>152.16</v>
      </c>
      <c r="Q22" s="14">
        <f t="shared" si="5"/>
        <v>207.16</v>
      </c>
      <c r="R22" s="14">
        <f t="shared" si="6"/>
        <v>285</v>
      </c>
      <c r="S22" s="34">
        <v>50</v>
      </c>
      <c r="T22" s="35">
        <v>810</v>
      </c>
      <c r="U22" s="34">
        <v>235</v>
      </c>
      <c r="V22" s="207" t="s">
        <v>1203</v>
      </c>
      <c r="W22" s="37"/>
      <c r="X22" s="24">
        <f t="shared" si="7"/>
        <v>285</v>
      </c>
      <c r="Y22" s="24">
        <f t="shared" si="8"/>
        <v>0</v>
      </c>
    </row>
    <row r="23" spans="1:25" s="2" customFormat="1" ht="26.25" customHeight="1" x14ac:dyDescent="0.3">
      <c r="A23" s="30">
        <v>19</v>
      </c>
      <c r="B23" s="87">
        <v>43470</v>
      </c>
      <c r="C23" s="23" t="s">
        <v>80</v>
      </c>
      <c r="D23" s="35" t="s">
        <v>81</v>
      </c>
      <c r="E23" s="35" t="s">
        <v>82</v>
      </c>
      <c r="F23" s="35" t="s">
        <v>38</v>
      </c>
      <c r="G23" s="34">
        <v>25</v>
      </c>
      <c r="H23" s="34">
        <v>65</v>
      </c>
      <c r="I23" s="14">
        <f t="shared" si="0"/>
        <v>90</v>
      </c>
      <c r="J23" s="14">
        <f t="shared" si="1"/>
        <v>11.700000000000001</v>
      </c>
      <c r="K23" s="14">
        <f t="shared" si="2"/>
        <v>78.3</v>
      </c>
      <c r="L23" s="34">
        <v>8</v>
      </c>
      <c r="M23" s="34">
        <v>14</v>
      </c>
      <c r="N23" s="14">
        <f t="shared" si="3"/>
        <v>22</v>
      </c>
      <c r="O23" s="22">
        <f t="shared" si="4"/>
        <v>17</v>
      </c>
      <c r="P23" s="22">
        <f t="shared" si="4"/>
        <v>51</v>
      </c>
      <c r="Q23" s="14">
        <f t="shared" si="5"/>
        <v>68</v>
      </c>
      <c r="R23" s="14">
        <f t="shared" si="6"/>
        <v>90</v>
      </c>
      <c r="S23" s="34">
        <v>50</v>
      </c>
      <c r="T23" s="35">
        <v>811</v>
      </c>
      <c r="U23" s="34"/>
      <c r="V23" s="207"/>
      <c r="W23" s="37"/>
      <c r="X23" s="24">
        <f t="shared" si="7"/>
        <v>50</v>
      </c>
      <c r="Y23" s="24">
        <f t="shared" si="8"/>
        <v>40</v>
      </c>
    </row>
    <row r="24" spans="1:25" s="2" customFormat="1" ht="26.25" customHeight="1" x14ac:dyDescent="0.3">
      <c r="A24" s="30">
        <v>20</v>
      </c>
      <c r="B24" s="87">
        <v>43470</v>
      </c>
      <c r="C24" s="23" t="s">
        <v>83</v>
      </c>
      <c r="D24" s="35" t="s">
        <v>84</v>
      </c>
      <c r="E24" s="35" t="s">
        <v>85</v>
      </c>
      <c r="F24" s="35" t="s">
        <v>86</v>
      </c>
      <c r="G24" s="34">
        <v>15</v>
      </c>
      <c r="H24" s="34">
        <v>200</v>
      </c>
      <c r="I24" s="14">
        <f t="shared" si="0"/>
        <v>215</v>
      </c>
      <c r="J24" s="14">
        <f t="shared" si="1"/>
        <v>27.95</v>
      </c>
      <c r="K24" s="14">
        <f t="shared" si="2"/>
        <v>187.05</v>
      </c>
      <c r="L24" s="34">
        <v>8</v>
      </c>
      <c r="M24" s="34">
        <v>64</v>
      </c>
      <c r="N24" s="14">
        <f t="shared" si="3"/>
        <v>72</v>
      </c>
      <c r="O24" s="22">
        <f t="shared" ref="O24:P30" si="9">G24-L24</f>
        <v>7</v>
      </c>
      <c r="P24" s="22">
        <f t="shared" si="9"/>
        <v>136</v>
      </c>
      <c r="Q24" s="14">
        <f t="shared" si="5"/>
        <v>143</v>
      </c>
      <c r="R24" s="14">
        <f t="shared" si="6"/>
        <v>215</v>
      </c>
      <c r="S24" s="34">
        <v>215</v>
      </c>
      <c r="T24" s="35">
        <v>812</v>
      </c>
      <c r="U24" s="34"/>
      <c r="V24" s="207"/>
      <c r="W24" s="37"/>
      <c r="X24" s="24">
        <f t="shared" si="7"/>
        <v>215</v>
      </c>
      <c r="Y24" s="24">
        <f t="shared" si="8"/>
        <v>0</v>
      </c>
    </row>
    <row r="25" spans="1:25" s="2" customFormat="1" ht="26.25" customHeight="1" x14ac:dyDescent="0.3">
      <c r="A25" s="30">
        <v>21</v>
      </c>
      <c r="B25" s="87">
        <v>43470</v>
      </c>
      <c r="C25" s="23" t="s">
        <v>87</v>
      </c>
      <c r="D25" s="35" t="s">
        <v>88</v>
      </c>
      <c r="E25" s="35" t="s">
        <v>89</v>
      </c>
      <c r="F25" s="35" t="s">
        <v>38</v>
      </c>
      <c r="G25" s="34">
        <v>180</v>
      </c>
      <c r="H25" s="34">
        <v>75</v>
      </c>
      <c r="I25" s="14">
        <f t="shared" si="0"/>
        <v>255</v>
      </c>
      <c r="J25" s="14">
        <f t="shared" si="1"/>
        <v>33.15</v>
      </c>
      <c r="K25" s="14">
        <f t="shared" si="2"/>
        <v>221.85</v>
      </c>
      <c r="L25" s="34">
        <v>45</v>
      </c>
      <c r="M25" s="34">
        <v>14</v>
      </c>
      <c r="N25" s="14">
        <f t="shared" si="3"/>
        <v>59</v>
      </c>
      <c r="O25" s="22">
        <f t="shared" si="9"/>
        <v>135</v>
      </c>
      <c r="P25" s="22">
        <f t="shared" si="9"/>
        <v>61</v>
      </c>
      <c r="Q25" s="14">
        <f t="shared" si="5"/>
        <v>196</v>
      </c>
      <c r="R25" s="14">
        <f t="shared" si="6"/>
        <v>255</v>
      </c>
      <c r="S25" s="34">
        <v>100</v>
      </c>
      <c r="T25" s="35">
        <v>813</v>
      </c>
      <c r="U25" s="34"/>
      <c r="V25" s="207"/>
      <c r="W25" s="37"/>
      <c r="X25" s="24">
        <f t="shared" si="7"/>
        <v>100</v>
      </c>
      <c r="Y25" s="24">
        <f t="shared" si="8"/>
        <v>155</v>
      </c>
    </row>
    <row r="26" spans="1:25" s="2" customFormat="1" ht="26.25" customHeight="1" x14ac:dyDescent="0.3">
      <c r="A26" s="30">
        <v>22</v>
      </c>
      <c r="B26" s="87">
        <v>43470</v>
      </c>
      <c r="C26" s="23" t="s">
        <v>90</v>
      </c>
      <c r="D26" s="35"/>
      <c r="E26" s="35" t="s">
        <v>91</v>
      </c>
      <c r="F26" s="35" t="s">
        <v>34</v>
      </c>
      <c r="G26" s="34">
        <v>25</v>
      </c>
      <c r="H26" s="34">
        <v>90</v>
      </c>
      <c r="I26" s="14">
        <f t="shared" si="0"/>
        <v>115</v>
      </c>
      <c r="J26" s="14">
        <f t="shared" si="1"/>
        <v>14.950000000000001</v>
      </c>
      <c r="K26" s="14">
        <f t="shared" si="2"/>
        <v>100.05</v>
      </c>
      <c r="L26" s="34">
        <v>10</v>
      </c>
      <c r="M26" s="34">
        <v>14</v>
      </c>
      <c r="N26" s="14">
        <f t="shared" si="3"/>
        <v>24</v>
      </c>
      <c r="O26" s="22">
        <f t="shared" si="9"/>
        <v>15</v>
      </c>
      <c r="P26" s="22">
        <f t="shared" si="9"/>
        <v>76</v>
      </c>
      <c r="Q26" s="14">
        <f t="shared" si="5"/>
        <v>91</v>
      </c>
      <c r="R26" s="14">
        <f t="shared" si="6"/>
        <v>115</v>
      </c>
      <c r="S26" s="34">
        <v>60</v>
      </c>
      <c r="T26" s="35">
        <v>814</v>
      </c>
      <c r="U26" s="34"/>
      <c r="V26" s="207"/>
      <c r="W26" s="37"/>
      <c r="X26" s="24">
        <f t="shared" si="7"/>
        <v>60</v>
      </c>
      <c r="Y26" s="24">
        <f t="shared" si="8"/>
        <v>55</v>
      </c>
    </row>
    <row r="27" spans="1:25" s="2" customFormat="1" ht="26.25" customHeight="1" x14ac:dyDescent="0.3">
      <c r="A27" s="30">
        <v>23</v>
      </c>
      <c r="B27" s="87">
        <v>43471</v>
      </c>
      <c r="C27" s="23" t="s">
        <v>92</v>
      </c>
      <c r="D27" s="35" t="s">
        <v>93</v>
      </c>
      <c r="E27" s="35" t="s">
        <v>94</v>
      </c>
      <c r="F27" s="35" t="s">
        <v>95</v>
      </c>
      <c r="G27" s="34">
        <v>50</v>
      </c>
      <c r="H27" s="34">
        <f>60+60</f>
        <v>120</v>
      </c>
      <c r="I27" s="14">
        <f t="shared" si="0"/>
        <v>170</v>
      </c>
      <c r="J27" s="14">
        <f t="shared" si="1"/>
        <v>22.1</v>
      </c>
      <c r="K27" s="14">
        <f t="shared" si="2"/>
        <v>147.9</v>
      </c>
      <c r="L27" s="34">
        <v>10</v>
      </c>
      <c r="M27" s="34">
        <f>14+14</f>
        <v>28</v>
      </c>
      <c r="N27" s="14">
        <f t="shared" si="3"/>
        <v>38</v>
      </c>
      <c r="O27" s="22">
        <f t="shared" si="9"/>
        <v>40</v>
      </c>
      <c r="P27" s="22">
        <f t="shared" si="9"/>
        <v>92</v>
      </c>
      <c r="Q27" s="14">
        <f t="shared" si="5"/>
        <v>132</v>
      </c>
      <c r="R27" s="14">
        <f t="shared" si="6"/>
        <v>170</v>
      </c>
      <c r="S27" s="34">
        <v>170</v>
      </c>
      <c r="T27" s="35">
        <v>815</v>
      </c>
      <c r="U27" s="34"/>
      <c r="V27" s="207"/>
      <c r="W27" s="37"/>
      <c r="X27" s="24">
        <f t="shared" si="7"/>
        <v>170</v>
      </c>
      <c r="Y27" s="24">
        <f t="shared" si="8"/>
        <v>0</v>
      </c>
    </row>
    <row r="28" spans="1:25" s="2" customFormat="1" ht="26.25" customHeight="1" x14ac:dyDescent="0.3">
      <c r="A28" s="30">
        <v>24</v>
      </c>
      <c r="B28" s="87">
        <v>43472</v>
      </c>
      <c r="C28" s="23" t="s">
        <v>96</v>
      </c>
      <c r="D28" s="35"/>
      <c r="E28" s="35" t="s">
        <v>97</v>
      </c>
      <c r="F28" s="35"/>
      <c r="G28" s="34">
        <v>5</v>
      </c>
      <c r="H28" s="34"/>
      <c r="I28" s="14">
        <f t="shared" si="0"/>
        <v>5</v>
      </c>
      <c r="J28" s="14">
        <f t="shared" si="1"/>
        <v>0.65</v>
      </c>
      <c r="K28" s="14">
        <f t="shared" si="2"/>
        <v>4.3499999999999996</v>
      </c>
      <c r="L28" s="34"/>
      <c r="M28" s="34"/>
      <c r="N28" s="14">
        <f t="shared" si="3"/>
        <v>0</v>
      </c>
      <c r="O28" s="22">
        <f t="shared" si="9"/>
        <v>5</v>
      </c>
      <c r="P28" s="22">
        <f t="shared" si="9"/>
        <v>0</v>
      </c>
      <c r="Q28" s="14">
        <f t="shared" si="5"/>
        <v>5</v>
      </c>
      <c r="R28" s="14">
        <f t="shared" si="6"/>
        <v>5</v>
      </c>
      <c r="S28" s="34">
        <v>5</v>
      </c>
      <c r="T28" s="35">
        <v>816</v>
      </c>
      <c r="U28" s="34"/>
      <c r="V28" s="207"/>
      <c r="W28" s="37"/>
      <c r="X28" s="24">
        <f t="shared" si="7"/>
        <v>5</v>
      </c>
      <c r="Y28" s="24">
        <f t="shared" si="8"/>
        <v>0</v>
      </c>
    </row>
    <row r="29" spans="1:25" s="2" customFormat="1" ht="26.25" customHeight="1" x14ac:dyDescent="0.3">
      <c r="A29" s="30">
        <v>25</v>
      </c>
      <c r="B29" s="87">
        <v>43472</v>
      </c>
      <c r="C29" s="23" t="s">
        <v>100</v>
      </c>
      <c r="D29" s="35" t="s">
        <v>98</v>
      </c>
      <c r="E29" s="35" t="s">
        <v>99</v>
      </c>
      <c r="F29" s="35" t="s">
        <v>38</v>
      </c>
      <c r="G29" s="34">
        <v>25</v>
      </c>
      <c r="H29" s="34">
        <v>60</v>
      </c>
      <c r="I29" s="14">
        <f t="shared" si="0"/>
        <v>85</v>
      </c>
      <c r="J29" s="14">
        <f t="shared" si="1"/>
        <v>11.05</v>
      </c>
      <c r="K29" s="14">
        <f t="shared" si="2"/>
        <v>73.95</v>
      </c>
      <c r="L29" s="34">
        <v>5</v>
      </c>
      <c r="M29" s="34">
        <v>14</v>
      </c>
      <c r="N29" s="14">
        <f t="shared" si="3"/>
        <v>19</v>
      </c>
      <c r="O29" s="22">
        <f t="shared" si="9"/>
        <v>20</v>
      </c>
      <c r="P29" s="22">
        <f t="shared" si="9"/>
        <v>46</v>
      </c>
      <c r="Q29" s="14">
        <f t="shared" si="5"/>
        <v>66</v>
      </c>
      <c r="R29" s="14">
        <f t="shared" si="6"/>
        <v>85</v>
      </c>
      <c r="S29" s="34">
        <v>15</v>
      </c>
      <c r="T29" s="35">
        <v>818</v>
      </c>
      <c r="U29" s="34"/>
      <c r="V29" s="207"/>
      <c r="W29" s="37"/>
      <c r="X29" s="24">
        <f t="shared" si="7"/>
        <v>15</v>
      </c>
      <c r="Y29" s="24">
        <f t="shared" si="8"/>
        <v>70</v>
      </c>
    </row>
    <row r="30" spans="1:25" s="2" customFormat="1" ht="26.25" customHeight="1" x14ac:dyDescent="0.3">
      <c r="A30" s="30">
        <v>26</v>
      </c>
      <c r="B30" s="87">
        <v>43472</v>
      </c>
      <c r="C30" s="23" t="s">
        <v>101</v>
      </c>
      <c r="D30" s="35" t="s">
        <v>102</v>
      </c>
      <c r="E30" s="35" t="s">
        <v>103</v>
      </c>
      <c r="F30" s="35" t="s">
        <v>104</v>
      </c>
      <c r="G30" s="34">
        <f>150+200+200</f>
        <v>550</v>
      </c>
      <c r="H30" s="34">
        <f>80+80+90</f>
        <v>250</v>
      </c>
      <c r="I30" s="14">
        <f t="shared" si="0"/>
        <v>800</v>
      </c>
      <c r="J30" s="14">
        <f t="shared" si="1"/>
        <v>104</v>
      </c>
      <c r="K30" s="14">
        <f t="shared" si="2"/>
        <v>696</v>
      </c>
      <c r="L30" s="34">
        <f>25+35+45</f>
        <v>105</v>
      </c>
      <c r="M30" s="34">
        <f>16+18+18</f>
        <v>52</v>
      </c>
      <c r="N30" s="14">
        <f t="shared" si="3"/>
        <v>157</v>
      </c>
      <c r="O30" s="22">
        <f t="shared" si="9"/>
        <v>445</v>
      </c>
      <c r="P30" s="22">
        <f t="shared" si="9"/>
        <v>198</v>
      </c>
      <c r="Q30" s="14">
        <f t="shared" si="5"/>
        <v>643</v>
      </c>
      <c r="R30" s="14">
        <f t="shared" si="6"/>
        <v>800</v>
      </c>
      <c r="S30" s="34">
        <v>400</v>
      </c>
      <c r="T30" s="35">
        <v>820</v>
      </c>
      <c r="U30" s="34"/>
      <c r="V30" s="207"/>
      <c r="W30" s="37"/>
      <c r="X30" s="24">
        <f t="shared" si="7"/>
        <v>400</v>
      </c>
      <c r="Y30" s="24">
        <f t="shared" si="8"/>
        <v>400</v>
      </c>
    </row>
    <row r="31" spans="1:25" s="2" customFormat="1" ht="26.25" customHeight="1" x14ac:dyDescent="0.3">
      <c r="A31" s="30">
        <v>27</v>
      </c>
      <c r="B31" s="87">
        <v>43473</v>
      </c>
      <c r="C31" s="23" t="s">
        <v>105</v>
      </c>
      <c r="D31" s="35"/>
      <c r="E31" s="35" t="s">
        <v>106</v>
      </c>
      <c r="F31" s="35"/>
      <c r="G31" s="34">
        <v>10</v>
      </c>
      <c r="H31" s="34"/>
      <c r="I31" s="14">
        <f t="shared" ref="I31:I92" si="10">G31+H31</f>
        <v>10</v>
      </c>
      <c r="J31" s="14">
        <f t="shared" ref="J31:J92" si="11">I31*13%</f>
        <v>1.3</v>
      </c>
      <c r="K31" s="14">
        <f t="shared" ref="K31:K92" si="12">I31-J31</f>
        <v>8.6999999999999993</v>
      </c>
      <c r="L31" s="34">
        <v>5</v>
      </c>
      <c r="M31" s="34"/>
      <c r="N31" s="14">
        <f t="shared" ref="N31:N92" si="13">L31+M31</f>
        <v>5</v>
      </c>
      <c r="O31" s="22">
        <f t="shared" ref="O31:O92" si="14">G31-L31</f>
        <v>5</v>
      </c>
      <c r="P31" s="22">
        <f t="shared" ref="P31:P92" si="15">H31-M31</f>
        <v>0</v>
      </c>
      <c r="Q31" s="14">
        <f t="shared" ref="Q31:Q92" si="16">O31+P31</f>
        <v>5</v>
      </c>
      <c r="R31" s="14">
        <f t="shared" ref="R31:R92" si="17">N31+Q31</f>
        <v>10</v>
      </c>
      <c r="S31" s="34">
        <v>10</v>
      </c>
      <c r="T31" s="35">
        <v>822</v>
      </c>
      <c r="U31" s="34"/>
      <c r="V31" s="207"/>
      <c r="W31" s="37"/>
      <c r="X31" s="24">
        <f t="shared" ref="X31:X92" si="18">S31+U31</f>
        <v>10</v>
      </c>
      <c r="Y31" s="24">
        <f t="shared" ref="Y31:Y92" si="19">R31-X31</f>
        <v>0</v>
      </c>
    </row>
    <row r="32" spans="1:25" s="2" customFormat="1" ht="26.25" customHeight="1" x14ac:dyDescent="0.3">
      <c r="A32" s="30">
        <v>28</v>
      </c>
      <c r="B32" s="87">
        <v>43473</v>
      </c>
      <c r="C32" s="23" t="s">
        <v>107</v>
      </c>
      <c r="D32" s="35" t="s">
        <v>108</v>
      </c>
      <c r="E32" s="35" t="s">
        <v>110</v>
      </c>
      <c r="F32" s="35" t="s">
        <v>109</v>
      </c>
      <c r="G32" s="34"/>
      <c r="H32" s="34">
        <v>75</v>
      </c>
      <c r="I32" s="14">
        <f t="shared" si="10"/>
        <v>75</v>
      </c>
      <c r="J32" s="14">
        <f t="shared" si="11"/>
        <v>9.75</v>
      </c>
      <c r="K32" s="14">
        <f t="shared" si="12"/>
        <v>65.25</v>
      </c>
      <c r="L32" s="34"/>
      <c r="M32" s="34">
        <v>35</v>
      </c>
      <c r="N32" s="14">
        <f t="shared" si="13"/>
        <v>35</v>
      </c>
      <c r="O32" s="22">
        <f t="shared" si="14"/>
        <v>0</v>
      </c>
      <c r="P32" s="22">
        <f t="shared" si="15"/>
        <v>40</v>
      </c>
      <c r="Q32" s="14">
        <f t="shared" si="16"/>
        <v>40</v>
      </c>
      <c r="R32" s="14">
        <f t="shared" si="17"/>
        <v>75</v>
      </c>
      <c r="S32" s="34">
        <v>35</v>
      </c>
      <c r="T32" s="35">
        <v>823</v>
      </c>
      <c r="U32" s="34"/>
      <c r="V32" s="207"/>
      <c r="W32" s="37"/>
      <c r="X32" s="24">
        <f t="shared" si="18"/>
        <v>35</v>
      </c>
      <c r="Y32" s="24">
        <f t="shared" si="19"/>
        <v>40</v>
      </c>
    </row>
    <row r="33" spans="1:25" s="1" customFormat="1" ht="26.25" customHeight="1" x14ac:dyDescent="0.3">
      <c r="A33" s="30">
        <v>29</v>
      </c>
      <c r="B33" s="87">
        <v>43473</v>
      </c>
      <c r="C33" s="21" t="s">
        <v>112</v>
      </c>
      <c r="D33" s="32" t="s">
        <v>111</v>
      </c>
      <c r="E33" s="32" t="s">
        <v>113</v>
      </c>
      <c r="F33" s="32" t="s">
        <v>114</v>
      </c>
      <c r="G33" s="33">
        <f>200+175+200</f>
        <v>575</v>
      </c>
      <c r="H33" s="33">
        <f>75+75+75</f>
        <v>225</v>
      </c>
      <c r="I33" s="14">
        <f t="shared" si="10"/>
        <v>800</v>
      </c>
      <c r="J33" s="14">
        <f t="shared" si="11"/>
        <v>104</v>
      </c>
      <c r="K33" s="14">
        <f t="shared" si="12"/>
        <v>696</v>
      </c>
      <c r="L33" s="34">
        <f>35+45+45</f>
        <v>125</v>
      </c>
      <c r="M33" s="34">
        <v>54</v>
      </c>
      <c r="N33" s="14">
        <f t="shared" si="13"/>
        <v>179</v>
      </c>
      <c r="O33" s="22">
        <f t="shared" si="14"/>
        <v>450</v>
      </c>
      <c r="P33" s="22">
        <f t="shared" si="15"/>
        <v>171</v>
      </c>
      <c r="Q33" s="14">
        <f t="shared" si="16"/>
        <v>621</v>
      </c>
      <c r="R33" s="14">
        <f t="shared" si="17"/>
        <v>800</v>
      </c>
      <c r="S33" s="34">
        <v>380</v>
      </c>
      <c r="T33" s="35">
        <v>824</v>
      </c>
      <c r="U33" s="34"/>
      <c r="V33" s="207"/>
      <c r="W33" s="37"/>
      <c r="X33" s="24">
        <f t="shared" si="18"/>
        <v>380</v>
      </c>
      <c r="Y33" s="24">
        <f t="shared" si="19"/>
        <v>420</v>
      </c>
    </row>
    <row r="34" spans="1:25" s="1" customFormat="1" ht="26.25" customHeight="1" x14ac:dyDescent="0.3">
      <c r="A34" s="30">
        <v>30</v>
      </c>
      <c r="B34" s="87">
        <v>43473</v>
      </c>
      <c r="C34" s="21" t="s">
        <v>115</v>
      </c>
      <c r="D34" s="32" t="s">
        <v>116</v>
      </c>
      <c r="E34" s="102" t="s">
        <v>117</v>
      </c>
      <c r="F34" s="32" t="s">
        <v>38</v>
      </c>
      <c r="G34" s="33">
        <v>200</v>
      </c>
      <c r="H34" s="33">
        <v>100</v>
      </c>
      <c r="I34" s="14">
        <f t="shared" si="10"/>
        <v>300</v>
      </c>
      <c r="J34" s="14">
        <f t="shared" si="11"/>
        <v>39</v>
      </c>
      <c r="K34" s="14">
        <f t="shared" si="12"/>
        <v>261</v>
      </c>
      <c r="L34" s="34">
        <v>45</v>
      </c>
      <c r="M34" s="34">
        <v>14</v>
      </c>
      <c r="N34" s="14">
        <f t="shared" si="13"/>
        <v>59</v>
      </c>
      <c r="O34" s="22">
        <f t="shared" si="14"/>
        <v>155</v>
      </c>
      <c r="P34" s="22">
        <f t="shared" si="15"/>
        <v>86</v>
      </c>
      <c r="Q34" s="14">
        <f t="shared" si="16"/>
        <v>241</v>
      </c>
      <c r="R34" s="14">
        <f t="shared" si="17"/>
        <v>300</v>
      </c>
      <c r="S34" s="34">
        <v>25</v>
      </c>
      <c r="T34" s="35">
        <v>825</v>
      </c>
      <c r="U34" s="34"/>
      <c r="V34" s="207"/>
      <c r="W34" s="37"/>
      <c r="X34" s="24">
        <f t="shared" si="18"/>
        <v>25</v>
      </c>
      <c r="Y34" s="24">
        <f t="shared" si="19"/>
        <v>275</v>
      </c>
    </row>
    <row r="35" spans="1:25" s="1" customFormat="1" ht="26.25" customHeight="1" x14ac:dyDescent="0.3">
      <c r="A35" s="30">
        <v>31</v>
      </c>
      <c r="B35" s="31">
        <v>43473</v>
      </c>
      <c r="C35" s="21" t="s">
        <v>118</v>
      </c>
      <c r="D35" s="32" t="s">
        <v>119</v>
      </c>
      <c r="E35" s="32" t="s">
        <v>110</v>
      </c>
      <c r="F35" s="32" t="s">
        <v>120</v>
      </c>
      <c r="G35" s="33"/>
      <c r="H35" s="33">
        <v>80</v>
      </c>
      <c r="I35" s="14">
        <f t="shared" si="10"/>
        <v>80</v>
      </c>
      <c r="J35" s="14">
        <f t="shared" si="11"/>
        <v>10.4</v>
      </c>
      <c r="K35" s="14">
        <f t="shared" si="12"/>
        <v>69.599999999999994</v>
      </c>
      <c r="L35" s="34"/>
      <c r="M35" s="34">
        <v>14</v>
      </c>
      <c r="N35" s="14">
        <f t="shared" si="13"/>
        <v>14</v>
      </c>
      <c r="O35" s="22">
        <f t="shared" si="14"/>
        <v>0</v>
      </c>
      <c r="P35" s="22">
        <f t="shared" si="15"/>
        <v>66</v>
      </c>
      <c r="Q35" s="14">
        <f t="shared" si="16"/>
        <v>66</v>
      </c>
      <c r="R35" s="14">
        <f t="shared" si="17"/>
        <v>80</v>
      </c>
      <c r="S35" s="34">
        <v>40</v>
      </c>
      <c r="T35" s="35">
        <v>826</v>
      </c>
      <c r="U35" s="34"/>
      <c r="V35" s="207"/>
      <c r="W35" s="37"/>
      <c r="X35" s="24">
        <f t="shared" si="18"/>
        <v>40</v>
      </c>
      <c r="Y35" s="24">
        <f t="shared" si="19"/>
        <v>40</v>
      </c>
    </row>
    <row r="36" spans="1:25" s="1" customFormat="1" ht="26.25" customHeight="1" x14ac:dyDescent="0.3">
      <c r="A36" s="30">
        <v>32</v>
      </c>
      <c r="B36" s="31">
        <v>43473</v>
      </c>
      <c r="C36" s="21" t="s">
        <v>121</v>
      </c>
      <c r="D36" s="32"/>
      <c r="E36" s="32" t="s">
        <v>122</v>
      </c>
      <c r="F36" s="32" t="s">
        <v>34</v>
      </c>
      <c r="G36" s="33">
        <v>25</v>
      </c>
      <c r="H36" s="33">
        <v>60</v>
      </c>
      <c r="I36" s="14">
        <f t="shared" si="10"/>
        <v>85</v>
      </c>
      <c r="J36" s="14">
        <f t="shared" si="11"/>
        <v>11.05</v>
      </c>
      <c r="K36" s="14">
        <f t="shared" si="12"/>
        <v>73.95</v>
      </c>
      <c r="L36" s="34">
        <v>10</v>
      </c>
      <c r="M36" s="34">
        <v>14</v>
      </c>
      <c r="N36" s="14">
        <f t="shared" si="13"/>
        <v>24</v>
      </c>
      <c r="O36" s="22">
        <f t="shared" si="14"/>
        <v>15</v>
      </c>
      <c r="P36" s="22">
        <f t="shared" si="15"/>
        <v>46</v>
      </c>
      <c r="Q36" s="14">
        <f t="shared" si="16"/>
        <v>61</v>
      </c>
      <c r="R36" s="14">
        <f t="shared" si="17"/>
        <v>85</v>
      </c>
      <c r="S36" s="34">
        <v>85</v>
      </c>
      <c r="T36" s="35" t="s">
        <v>123</v>
      </c>
      <c r="U36" s="34"/>
      <c r="V36" s="207"/>
      <c r="W36" s="37"/>
      <c r="X36" s="24">
        <f t="shared" si="18"/>
        <v>85</v>
      </c>
      <c r="Y36" s="24">
        <f t="shared" si="19"/>
        <v>0</v>
      </c>
    </row>
    <row r="37" spans="1:25" s="1" customFormat="1" ht="26.25" customHeight="1" x14ac:dyDescent="0.3">
      <c r="A37" s="30">
        <v>33</v>
      </c>
      <c r="B37" s="31">
        <v>43474</v>
      </c>
      <c r="C37" s="21" t="s">
        <v>124</v>
      </c>
      <c r="D37" s="32" t="s">
        <v>127</v>
      </c>
      <c r="E37" s="32" t="s">
        <v>128</v>
      </c>
      <c r="F37" s="32" t="s">
        <v>42</v>
      </c>
      <c r="G37" s="33">
        <v>35</v>
      </c>
      <c r="H37" s="33">
        <v>35</v>
      </c>
      <c r="I37" s="14">
        <f t="shared" si="10"/>
        <v>70</v>
      </c>
      <c r="J37" s="14">
        <f t="shared" si="11"/>
        <v>9.1</v>
      </c>
      <c r="K37" s="14">
        <f t="shared" si="12"/>
        <v>60.9</v>
      </c>
      <c r="L37" s="34">
        <v>8</v>
      </c>
      <c r="M37" s="34">
        <v>3.01</v>
      </c>
      <c r="N37" s="14">
        <f t="shared" si="13"/>
        <v>11.01</v>
      </c>
      <c r="O37" s="22">
        <f t="shared" si="14"/>
        <v>27</v>
      </c>
      <c r="P37" s="22">
        <f t="shared" si="15"/>
        <v>31.990000000000002</v>
      </c>
      <c r="Q37" s="14">
        <f t="shared" si="16"/>
        <v>58.99</v>
      </c>
      <c r="R37" s="14">
        <f t="shared" si="17"/>
        <v>70</v>
      </c>
      <c r="S37" s="34">
        <v>35</v>
      </c>
      <c r="T37" s="35">
        <v>827</v>
      </c>
      <c r="U37" s="34"/>
      <c r="V37" s="207"/>
      <c r="W37" s="37"/>
      <c r="X37" s="24">
        <f t="shared" si="18"/>
        <v>35</v>
      </c>
      <c r="Y37" s="24">
        <f t="shared" si="19"/>
        <v>35</v>
      </c>
    </row>
    <row r="38" spans="1:25" s="1" customFormat="1" ht="26.25" customHeight="1" x14ac:dyDescent="0.3">
      <c r="A38" s="30">
        <v>34</v>
      </c>
      <c r="B38" s="31">
        <v>43474</v>
      </c>
      <c r="C38" s="21" t="s">
        <v>125</v>
      </c>
      <c r="D38" s="32" t="s">
        <v>129</v>
      </c>
      <c r="E38" s="32" t="s">
        <v>130</v>
      </c>
      <c r="F38" s="32"/>
      <c r="G38" s="33">
        <v>30</v>
      </c>
      <c r="H38" s="33">
        <v>30</v>
      </c>
      <c r="I38" s="14">
        <f t="shared" si="10"/>
        <v>60</v>
      </c>
      <c r="J38" s="14">
        <f t="shared" si="11"/>
        <v>7.8000000000000007</v>
      </c>
      <c r="K38" s="14">
        <f t="shared" si="12"/>
        <v>52.2</v>
      </c>
      <c r="L38" s="34">
        <v>10</v>
      </c>
      <c r="M38" s="34"/>
      <c r="N38" s="14">
        <f t="shared" si="13"/>
        <v>10</v>
      </c>
      <c r="O38" s="22">
        <f t="shared" si="14"/>
        <v>20</v>
      </c>
      <c r="P38" s="22">
        <f t="shared" si="15"/>
        <v>30</v>
      </c>
      <c r="Q38" s="14">
        <f t="shared" si="16"/>
        <v>50</v>
      </c>
      <c r="R38" s="14">
        <f t="shared" si="17"/>
        <v>60</v>
      </c>
      <c r="S38" s="34">
        <v>30</v>
      </c>
      <c r="T38" s="35">
        <v>828</v>
      </c>
      <c r="U38" s="34"/>
      <c r="V38" s="207"/>
      <c r="W38" s="37"/>
      <c r="X38" s="24">
        <f t="shared" si="18"/>
        <v>30</v>
      </c>
      <c r="Y38" s="24">
        <f t="shared" si="19"/>
        <v>30</v>
      </c>
    </row>
    <row r="39" spans="1:25" s="1" customFormat="1" ht="26.25" customHeight="1" x14ac:dyDescent="0.3">
      <c r="A39" s="30">
        <v>35</v>
      </c>
      <c r="B39" s="31">
        <v>43474</v>
      </c>
      <c r="C39" s="21" t="s">
        <v>126</v>
      </c>
      <c r="D39" s="32"/>
      <c r="E39" s="32" t="s">
        <v>131</v>
      </c>
      <c r="F39" s="32" t="s">
        <v>132</v>
      </c>
      <c r="G39" s="33">
        <f>200+200</f>
        <v>400</v>
      </c>
      <c r="H39" s="33">
        <f>75+75</f>
        <v>150</v>
      </c>
      <c r="I39" s="14">
        <f t="shared" si="10"/>
        <v>550</v>
      </c>
      <c r="J39" s="14">
        <f t="shared" si="11"/>
        <v>71.5</v>
      </c>
      <c r="K39" s="14">
        <f t="shared" si="12"/>
        <v>478.5</v>
      </c>
      <c r="L39" s="34">
        <v>45</v>
      </c>
      <c r="M39" s="34">
        <f>14+17.75</f>
        <v>31.75</v>
      </c>
      <c r="N39" s="14">
        <f t="shared" si="13"/>
        <v>76.75</v>
      </c>
      <c r="O39" s="22">
        <f t="shared" si="14"/>
        <v>355</v>
      </c>
      <c r="P39" s="22">
        <f t="shared" si="15"/>
        <v>118.25</v>
      </c>
      <c r="Q39" s="14">
        <f t="shared" si="16"/>
        <v>473.25</v>
      </c>
      <c r="R39" s="14">
        <f t="shared" si="17"/>
        <v>550</v>
      </c>
      <c r="S39" s="34">
        <v>550</v>
      </c>
      <c r="T39" s="35" t="s">
        <v>135</v>
      </c>
      <c r="U39" s="34"/>
      <c r="V39" s="207"/>
      <c r="W39" s="37"/>
      <c r="X39" s="24">
        <f t="shared" si="18"/>
        <v>550</v>
      </c>
      <c r="Y39" s="24">
        <f t="shared" si="19"/>
        <v>0</v>
      </c>
    </row>
    <row r="40" spans="1:25" s="1" customFormat="1" ht="26.25" customHeight="1" x14ac:dyDescent="0.3">
      <c r="A40" s="30">
        <v>36</v>
      </c>
      <c r="B40" s="31">
        <v>43475</v>
      </c>
      <c r="C40" s="21" t="s">
        <v>133</v>
      </c>
      <c r="D40" s="32" t="s">
        <v>134</v>
      </c>
      <c r="E40" s="32" t="s">
        <v>106</v>
      </c>
      <c r="F40" s="32"/>
      <c r="G40" s="33">
        <v>15</v>
      </c>
      <c r="H40" s="33"/>
      <c r="I40" s="14">
        <f t="shared" si="10"/>
        <v>15</v>
      </c>
      <c r="J40" s="14">
        <f t="shared" si="11"/>
        <v>1.9500000000000002</v>
      </c>
      <c r="K40" s="14">
        <f t="shared" si="12"/>
        <v>13.05</v>
      </c>
      <c r="L40" s="34">
        <v>10</v>
      </c>
      <c r="M40" s="34"/>
      <c r="N40" s="14">
        <f t="shared" si="13"/>
        <v>10</v>
      </c>
      <c r="O40" s="22">
        <f t="shared" si="14"/>
        <v>5</v>
      </c>
      <c r="P40" s="22">
        <f t="shared" si="15"/>
        <v>0</v>
      </c>
      <c r="Q40" s="14">
        <f t="shared" si="16"/>
        <v>5</v>
      </c>
      <c r="R40" s="14">
        <f t="shared" si="17"/>
        <v>15</v>
      </c>
      <c r="S40" s="34">
        <v>15</v>
      </c>
      <c r="T40" s="35">
        <v>830</v>
      </c>
      <c r="U40" s="34"/>
      <c r="V40" s="207"/>
      <c r="W40" s="37"/>
      <c r="X40" s="24">
        <f t="shared" si="18"/>
        <v>15</v>
      </c>
      <c r="Y40" s="24">
        <f t="shared" si="19"/>
        <v>0</v>
      </c>
    </row>
    <row r="41" spans="1:25" s="1" customFormat="1" ht="26.25" customHeight="1" x14ac:dyDescent="0.3">
      <c r="A41" s="30">
        <v>37</v>
      </c>
      <c r="B41" s="31">
        <v>43475</v>
      </c>
      <c r="C41" s="21" t="s">
        <v>136</v>
      </c>
      <c r="D41" s="32" t="s">
        <v>138</v>
      </c>
      <c r="E41" s="32" t="s">
        <v>139</v>
      </c>
      <c r="F41" s="32" t="s">
        <v>140</v>
      </c>
      <c r="G41" s="33">
        <v>120</v>
      </c>
      <c r="H41" s="33">
        <v>150</v>
      </c>
      <c r="I41" s="14">
        <f t="shared" si="10"/>
        <v>270</v>
      </c>
      <c r="J41" s="14">
        <f t="shared" si="11"/>
        <v>35.1</v>
      </c>
      <c r="K41" s="14">
        <f t="shared" si="12"/>
        <v>234.9</v>
      </c>
      <c r="L41" s="34">
        <v>25</v>
      </c>
      <c r="M41" s="34">
        <v>43.71</v>
      </c>
      <c r="N41" s="14">
        <f t="shared" si="13"/>
        <v>68.710000000000008</v>
      </c>
      <c r="O41" s="22">
        <f t="shared" si="14"/>
        <v>95</v>
      </c>
      <c r="P41" s="22">
        <f t="shared" si="15"/>
        <v>106.28999999999999</v>
      </c>
      <c r="Q41" s="14">
        <f t="shared" si="16"/>
        <v>201.29</v>
      </c>
      <c r="R41" s="14">
        <f t="shared" si="17"/>
        <v>270</v>
      </c>
      <c r="S41" s="34">
        <v>100</v>
      </c>
      <c r="T41" s="35">
        <v>831</v>
      </c>
      <c r="U41" s="34"/>
      <c r="V41" s="207"/>
      <c r="W41" s="37"/>
      <c r="X41" s="24">
        <f t="shared" si="18"/>
        <v>100</v>
      </c>
      <c r="Y41" s="24">
        <f t="shared" si="19"/>
        <v>170</v>
      </c>
    </row>
    <row r="42" spans="1:25" s="1" customFormat="1" ht="26.25" customHeight="1" x14ac:dyDescent="0.3">
      <c r="A42" s="30">
        <v>38</v>
      </c>
      <c r="B42" s="31">
        <v>43475</v>
      </c>
      <c r="C42" s="21" t="s">
        <v>141</v>
      </c>
      <c r="D42" s="32" t="s">
        <v>142</v>
      </c>
      <c r="E42" s="32" t="s">
        <v>143</v>
      </c>
      <c r="F42" s="32" t="s">
        <v>38</v>
      </c>
      <c r="G42" s="33">
        <v>25</v>
      </c>
      <c r="H42" s="33">
        <v>60</v>
      </c>
      <c r="I42" s="14">
        <f t="shared" si="10"/>
        <v>85</v>
      </c>
      <c r="J42" s="14">
        <f t="shared" si="11"/>
        <v>11.05</v>
      </c>
      <c r="K42" s="14">
        <f t="shared" si="12"/>
        <v>73.95</v>
      </c>
      <c r="L42" s="34">
        <v>10</v>
      </c>
      <c r="M42" s="34">
        <v>14</v>
      </c>
      <c r="N42" s="14">
        <f t="shared" si="13"/>
        <v>24</v>
      </c>
      <c r="O42" s="22">
        <f t="shared" si="14"/>
        <v>15</v>
      </c>
      <c r="P42" s="22">
        <f t="shared" si="15"/>
        <v>46</v>
      </c>
      <c r="Q42" s="14">
        <f t="shared" si="16"/>
        <v>61</v>
      </c>
      <c r="R42" s="14">
        <f t="shared" si="17"/>
        <v>85</v>
      </c>
      <c r="S42" s="34">
        <v>20</v>
      </c>
      <c r="T42" s="35">
        <v>832</v>
      </c>
      <c r="U42" s="34"/>
      <c r="V42" s="207"/>
      <c r="W42" s="37"/>
      <c r="X42" s="24">
        <f t="shared" si="18"/>
        <v>20</v>
      </c>
      <c r="Y42" s="24">
        <f t="shared" si="19"/>
        <v>65</v>
      </c>
    </row>
    <row r="43" spans="1:25" s="1" customFormat="1" ht="26.25" customHeight="1" x14ac:dyDescent="0.3">
      <c r="A43" s="30">
        <v>39</v>
      </c>
      <c r="B43" s="31">
        <v>43475</v>
      </c>
      <c r="C43" s="21" t="s">
        <v>137</v>
      </c>
      <c r="D43" s="32"/>
      <c r="E43" s="32" t="s">
        <v>110</v>
      </c>
      <c r="F43" s="32" t="s">
        <v>144</v>
      </c>
      <c r="G43" s="33"/>
      <c r="H43" s="33">
        <v>100</v>
      </c>
      <c r="I43" s="14">
        <f t="shared" si="10"/>
        <v>100</v>
      </c>
      <c r="J43" s="14">
        <f t="shared" si="11"/>
        <v>13</v>
      </c>
      <c r="K43" s="14">
        <f t="shared" si="12"/>
        <v>87</v>
      </c>
      <c r="L43" s="34"/>
      <c r="M43" s="34">
        <v>33</v>
      </c>
      <c r="N43" s="14">
        <f t="shared" si="13"/>
        <v>33</v>
      </c>
      <c r="O43" s="22">
        <f t="shared" si="14"/>
        <v>0</v>
      </c>
      <c r="P43" s="22">
        <f t="shared" si="15"/>
        <v>67</v>
      </c>
      <c r="Q43" s="14">
        <f t="shared" si="16"/>
        <v>67</v>
      </c>
      <c r="R43" s="14">
        <f t="shared" si="17"/>
        <v>100</v>
      </c>
      <c r="S43" s="34">
        <v>50</v>
      </c>
      <c r="T43" s="35">
        <v>834</v>
      </c>
      <c r="U43" s="34"/>
      <c r="V43" s="207"/>
      <c r="W43" s="37"/>
      <c r="X43" s="24">
        <f t="shared" si="18"/>
        <v>50</v>
      </c>
      <c r="Y43" s="24">
        <f t="shared" si="19"/>
        <v>50</v>
      </c>
    </row>
    <row r="44" spans="1:25" s="1" customFormat="1" ht="26.25" customHeight="1" x14ac:dyDescent="0.3">
      <c r="A44" s="30">
        <v>40</v>
      </c>
      <c r="B44" s="31">
        <v>43476</v>
      </c>
      <c r="C44" s="21" t="s">
        <v>145</v>
      </c>
      <c r="D44" s="32" t="s">
        <v>148</v>
      </c>
      <c r="E44" s="32" t="s">
        <v>149</v>
      </c>
      <c r="F44" s="32" t="s">
        <v>34</v>
      </c>
      <c r="G44" s="33">
        <v>200</v>
      </c>
      <c r="H44" s="33">
        <v>135</v>
      </c>
      <c r="I44" s="14">
        <f t="shared" si="10"/>
        <v>335</v>
      </c>
      <c r="J44" s="14">
        <f t="shared" si="11"/>
        <v>43.550000000000004</v>
      </c>
      <c r="K44" s="14">
        <f t="shared" si="12"/>
        <v>291.45</v>
      </c>
      <c r="L44" s="34">
        <v>50</v>
      </c>
      <c r="M44" s="34">
        <v>18</v>
      </c>
      <c r="N44" s="14">
        <f t="shared" si="13"/>
        <v>68</v>
      </c>
      <c r="O44" s="22">
        <f t="shared" si="14"/>
        <v>150</v>
      </c>
      <c r="P44" s="22">
        <f t="shared" si="15"/>
        <v>117</v>
      </c>
      <c r="Q44" s="14">
        <f t="shared" si="16"/>
        <v>267</v>
      </c>
      <c r="R44" s="14">
        <f t="shared" si="17"/>
        <v>335</v>
      </c>
      <c r="S44" s="34">
        <v>60</v>
      </c>
      <c r="T44" s="35">
        <v>835</v>
      </c>
      <c r="U44" s="34"/>
      <c r="V44" s="207"/>
      <c r="W44" s="37"/>
      <c r="X44" s="24">
        <f t="shared" si="18"/>
        <v>60</v>
      </c>
      <c r="Y44" s="24">
        <f t="shared" si="19"/>
        <v>275</v>
      </c>
    </row>
    <row r="45" spans="1:25" s="1" customFormat="1" ht="26.25" customHeight="1" x14ac:dyDescent="0.3">
      <c r="A45" s="30">
        <v>41</v>
      </c>
      <c r="B45" s="31">
        <v>43476</v>
      </c>
      <c r="C45" s="21" t="s">
        <v>146</v>
      </c>
      <c r="D45" s="32" t="s">
        <v>150</v>
      </c>
      <c r="E45" s="32" t="s">
        <v>151</v>
      </c>
      <c r="F45" s="32" t="s">
        <v>34</v>
      </c>
      <c r="G45" s="33">
        <v>25</v>
      </c>
      <c r="H45" s="33">
        <v>60</v>
      </c>
      <c r="I45" s="14">
        <f t="shared" si="10"/>
        <v>85</v>
      </c>
      <c r="J45" s="14">
        <f t="shared" si="11"/>
        <v>11.05</v>
      </c>
      <c r="K45" s="14">
        <f t="shared" si="12"/>
        <v>73.95</v>
      </c>
      <c r="L45" s="34">
        <v>10</v>
      </c>
      <c r="M45" s="34">
        <v>14</v>
      </c>
      <c r="N45" s="14">
        <f t="shared" si="13"/>
        <v>24</v>
      </c>
      <c r="O45" s="22">
        <f t="shared" si="14"/>
        <v>15</v>
      </c>
      <c r="P45" s="22">
        <f t="shared" si="15"/>
        <v>46</v>
      </c>
      <c r="Q45" s="14">
        <f t="shared" si="16"/>
        <v>61</v>
      </c>
      <c r="R45" s="14">
        <f t="shared" si="17"/>
        <v>85</v>
      </c>
      <c r="S45" s="34">
        <v>40</v>
      </c>
      <c r="T45" s="35">
        <v>836</v>
      </c>
      <c r="U45" s="34"/>
      <c r="V45" s="207"/>
      <c r="W45" s="37"/>
      <c r="X45" s="24">
        <f t="shared" si="18"/>
        <v>40</v>
      </c>
      <c r="Y45" s="24">
        <f t="shared" si="19"/>
        <v>45</v>
      </c>
    </row>
    <row r="46" spans="1:25" s="1" customFormat="1" ht="26.25" customHeight="1" x14ac:dyDescent="0.3">
      <c r="A46" s="30">
        <v>42</v>
      </c>
      <c r="B46" s="31">
        <v>43476</v>
      </c>
      <c r="C46" s="21" t="s">
        <v>147</v>
      </c>
      <c r="D46" s="32" t="s">
        <v>152</v>
      </c>
      <c r="E46" s="32" t="s">
        <v>153</v>
      </c>
      <c r="F46" s="32" t="s">
        <v>38</v>
      </c>
      <c r="G46" s="33">
        <v>25</v>
      </c>
      <c r="H46" s="33">
        <v>60</v>
      </c>
      <c r="I46" s="14">
        <f t="shared" si="10"/>
        <v>85</v>
      </c>
      <c r="J46" s="14">
        <f t="shared" si="11"/>
        <v>11.05</v>
      </c>
      <c r="K46" s="14">
        <f t="shared" si="12"/>
        <v>73.95</v>
      </c>
      <c r="L46" s="34">
        <v>10</v>
      </c>
      <c r="M46" s="34">
        <v>14</v>
      </c>
      <c r="N46" s="14">
        <f t="shared" si="13"/>
        <v>24</v>
      </c>
      <c r="O46" s="22">
        <f t="shared" si="14"/>
        <v>15</v>
      </c>
      <c r="P46" s="22">
        <f t="shared" si="15"/>
        <v>46</v>
      </c>
      <c r="Q46" s="14">
        <f t="shared" si="16"/>
        <v>61</v>
      </c>
      <c r="R46" s="14">
        <f t="shared" si="17"/>
        <v>85</v>
      </c>
      <c r="S46" s="34">
        <v>20</v>
      </c>
      <c r="T46" s="35">
        <v>837</v>
      </c>
      <c r="U46" s="34"/>
      <c r="V46" s="207"/>
      <c r="W46" s="37"/>
      <c r="X46" s="24">
        <f t="shared" si="18"/>
        <v>20</v>
      </c>
      <c r="Y46" s="24">
        <f t="shared" si="19"/>
        <v>65</v>
      </c>
    </row>
    <row r="47" spans="1:25" s="1" customFormat="1" ht="26.25" customHeight="1" x14ac:dyDescent="0.3">
      <c r="A47" s="30">
        <v>43</v>
      </c>
      <c r="B47" s="31">
        <v>43477</v>
      </c>
      <c r="C47" s="21" t="s">
        <v>154</v>
      </c>
      <c r="D47" s="32"/>
      <c r="E47" s="32" t="s">
        <v>160</v>
      </c>
      <c r="F47" s="32" t="s">
        <v>38</v>
      </c>
      <c r="G47" s="33">
        <v>20</v>
      </c>
      <c r="H47" s="33">
        <v>55</v>
      </c>
      <c r="I47" s="14">
        <f t="shared" si="10"/>
        <v>75</v>
      </c>
      <c r="J47" s="14">
        <f t="shared" si="11"/>
        <v>9.75</v>
      </c>
      <c r="K47" s="14">
        <f t="shared" si="12"/>
        <v>65.25</v>
      </c>
      <c r="L47" s="34">
        <v>10</v>
      </c>
      <c r="M47" s="34">
        <v>14</v>
      </c>
      <c r="N47" s="14">
        <f t="shared" si="13"/>
        <v>24</v>
      </c>
      <c r="O47" s="22">
        <f t="shared" si="14"/>
        <v>10</v>
      </c>
      <c r="P47" s="22">
        <f t="shared" si="15"/>
        <v>41</v>
      </c>
      <c r="Q47" s="14">
        <f t="shared" si="16"/>
        <v>51</v>
      </c>
      <c r="R47" s="14">
        <f t="shared" si="17"/>
        <v>75</v>
      </c>
      <c r="S47" s="34">
        <v>25</v>
      </c>
      <c r="T47" s="35">
        <v>841</v>
      </c>
      <c r="U47" s="34"/>
      <c r="V47" s="207"/>
      <c r="W47" s="37"/>
      <c r="X47" s="24">
        <f t="shared" si="18"/>
        <v>25</v>
      </c>
      <c r="Y47" s="24">
        <f t="shared" si="19"/>
        <v>50</v>
      </c>
    </row>
    <row r="48" spans="1:25" s="1" customFormat="1" ht="26.25" customHeight="1" x14ac:dyDescent="0.3">
      <c r="A48" s="30">
        <v>44</v>
      </c>
      <c r="B48" s="31">
        <v>43477</v>
      </c>
      <c r="C48" s="21" t="s">
        <v>155</v>
      </c>
      <c r="D48" s="32"/>
      <c r="E48" s="32" t="s">
        <v>161</v>
      </c>
      <c r="F48" s="32"/>
      <c r="G48" s="33">
        <v>3</v>
      </c>
      <c r="H48" s="33"/>
      <c r="I48" s="14">
        <f t="shared" si="10"/>
        <v>3</v>
      </c>
      <c r="J48" s="14">
        <f t="shared" si="11"/>
        <v>0.39</v>
      </c>
      <c r="K48" s="14">
        <f t="shared" si="12"/>
        <v>2.61</v>
      </c>
      <c r="L48" s="34">
        <v>0.5</v>
      </c>
      <c r="M48" s="34"/>
      <c r="N48" s="14">
        <f t="shared" si="13"/>
        <v>0.5</v>
      </c>
      <c r="O48" s="22">
        <f t="shared" si="14"/>
        <v>2.5</v>
      </c>
      <c r="P48" s="22">
        <f t="shared" si="15"/>
        <v>0</v>
      </c>
      <c r="Q48" s="14">
        <f t="shared" si="16"/>
        <v>2.5</v>
      </c>
      <c r="R48" s="14">
        <f t="shared" si="17"/>
        <v>3</v>
      </c>
      <c r="S48" s="34">
        <v>3</v>
      </c>
      <c r="T48" s="35">
        <v>842</v>
      </c>
      <c r="U48" s="34"/>
      <c r="V48" s="207"/>
      <c r="W48" s="37"/>
      <c r="X48" s="24">
        <f t="shared" si="18"/>
        <v>3</v>
      </c>
      <c r="Y48" s="24">
        <f t="shared" si="19"/>
        <v>0</v>
      </c>
    </row>
    <row r="49" spans="1:26" s="1" customFormat="1" ht="26.25" customHeight="1" x14ac:dyDescent="0.3">
      <c r="A49" s="30">
        <v>45</v>
      </c>
      <c r="B49" s="31">
        <v>43477</v>
      </c>
      <c r="C49" s="21" t="s">
        <v>156</v>
      </c>
      <c r="D49" s="32"/>
      <c r="E49" s="32" t="s">
        <v>162</v>
      </c>
      <c r="F49" s="32" t="s">
        <v>38</v>
      </c>
      <c r="G49" s="33">
        <v>25</v>
      </c>
      <c r="H49" s="33">
        <v>60</v>
      </c>
      <c r="I49" s="14">
        <f t="shared" si="10"/>
        <v>85</v>
      </c>
      <c r="J49" s="14">
        <f t="shared" si="11"/>
        <v>11.05</v>
      </c>
      <c r="K49" s="14">
        <f t="shared" si="12"/>
        <v>73.95</v>
      </c>
      <c r="L49" s="34">
        <v>10</v>
      </c>
      <c r="M49" s="34">
        <v>14</v>
      </c>
      <c r="N49" s="14">
        <f t="shared" si="13"/>
        <v>24</v>
      </c>
      <c r="O49" s="22">
        <f t="shared" si="14"/>
        <v>15</v>
      </c>
      <c r="P49" s="22">
        <f t="shared" si="15"/>
        <v>46</v>
      </c>
      <c r="Q49" s="14">
        <f t="shared" si="16"/>
        <v>61</v>
      </c>
      <c r="R49" s="14">
        <f t="shared" si="17"/>
        <v>85</v>
      </c>
      <c r="S49" s="34">
        <v>80</v>
      </c>
      <c r="T49" s="35">
        <v>844</v>
      </c>
      <c r="U49" s="34"/>
      <c r="V49" s="207"/>
      <c r="W49" s="37"/>
      <c r="X49" s="24">
        <f t="shared" si="18"/>
        <v>80</v>
      </c>
      <c r="Y49" s="24">
        <f t="shared" si="19"/>
        <v>5</v>
      </c>
    </row>
    <row r="50" spans="1:26" s="1" customFormat="1" ht="26.25" customHeight="1" x14ac:dyDescent="0.3">
      <c r="A50" s="30">
        <v>46</v>
      </c>
      <c r="B50" s="31">
        <v>43477</v>
      </c>
      <c r="C50" s="21" t="s">
        <v>157</v>
      </c>
      <c r="D50" s="32" t="s">
        <v>163</v>
      </c>
      <c r="E50" s="32" t="s">
        <v>164</v>
      </c>
      <c r="F50" s="32" t="s">
        <v>165</v>
      </c>
      <c r="G50" s="33">
        <f>100</f>
        <v>100</v>
      </c>
      <c r="H50" s="33">
        <f>135+65+75</f>
        <v>275</v>
      </c>
      <c r="I50" s="14">
        <f t="shared" si="10"/>
        <v>375</v>
      </c>
      <c r="J50" s="14">
        <f t="shared" si="11"/>
        <v>48.75</v>
      </c>
      <c r="K50" s="14">
        <f t="shared" si="12"/>
        <v>326.25</v>
      </c>
      <c r="L50" s="34">
        <v>25</v>
      </c>
      <c r="M50" s="34">
        <v>14</v>
      </c>
      <c r="N50" s="14">
        <f t="shared" si="13"/>
        <v>39</v>
      </c>
      <c r="O50" s="22">
        <f t="shared" si="14"/>
        <v>75</v>
      </c>
      <c r="P50" s="22">
        <f t="shared" si="15"/>
        <v>261</v>
      </c>
      <c r="Q50" s="14">
        <f t="shared" si="16"/>
        <v>336</v>
      </c>
      <c r="R50" s="14">
        <f t="shared" si="17"/>
        <v>375</v>
      </c>
      <c r="S50" s="34">
        <v>375</v>
      </c>
      <c r="T50" s="35">
        <v>846</v>
      </c>
      <c r="U50" s="34"/>
      <c r="V50" s="207"/>
      <c r="W50" s="37"/>
      <c r="X50" s="24">
        <f t="shared" si="18"/>
        <v>375</v>
      </c>
      <c r="Y50" s="24">
        <f t="shared" si="19"/>
        <v>0</v>
      </c>
    </row>
    <row r="51" spans="1:26" s="1" customFormat="1" ht="26.25" customHeight="1" x14ac:dyDescent="0.3">
      <c r="A51" s="30">
        <v>47</v>
      </c>
      <c r="B51" s="31">
        <v>43477</v>
      </c>
      <c r="C51" s="21" t="s">
        <v>158</v>
      </c>
      <c r="D51" s="32" t="s">
        <v>159</v>
      </c>
      <c r="E51" s="32" t="s">
        <v>166</v>
      </c>
      <c r="F51" s="32" t="s">
        <v>38</v>
      </c>
      <c r="G51" s="33">
        <v>25</v>
      </c>
      <c r="H51" s="33">
        <v>75</v>
      </c>
      <c r="I51" s="14">
        <f t="shared" si="10"/>
        <v>100</v>
      </c>
      <c r="J51" s="14">
        <f t="shared" si="11"/>
        <v>13</v>
      </c>
      <c r="K51" s="14">
        <f t="shared" si="12"/>
        <v>87</v>
      </c>
      <c r="L51" s="34">
        <v>8</v>
      </c>
      <c r="M51" s="34">
        <v>14</v>
      </c>
      <c r="N51" s="14">
        <f t="shared" si="13"/>
        <v>22</v>
      </c>
      <c r="O51" s="22">
        <f t="shared" si="14"/>
        <v>17</v>
      </c>
      <c r="P51" s="22">
        <f t="shared" si="15"/>
        <v>61</v>
      </c>
      <c r="Q51" s="14">
        <f t="shared" si="16"/>
        <v>78</v>
      </c>
      <c r="R51" s="14">
        <f t="shared" si="17"/>
        <v>100</v>
      </c>
      <c r="S51" s="34">
        <v>100</v>
      </c>
      <c r="T51" s="35" t="s">
        <v>191</v>
      </c>
      <c r="U51" s="34"/>
      <c r="V51" s="207"/>
      <c r="W51" s="37"/>
      <c r="X51" s="24">
        <f t="shared" si="18"/>
        <v>100</v>
      </c>
      <c r="Y51" s="24">
        <f t="shared" si="19"/>
        <v>0</v>
      </c>
    </row>
    <row r="52" spans="1:26" s="1" customFormat="1" ht="26.25" customHeight="1" x14ac:dyDescent="0.3">
      <c r="A52" s="30">
        <v>48</v>
      </c>
      <c r="B52" s="31">
        <v>43478</v>
      </c>
      <c r="C52" s="21" t="s">
        <v>167</v>
      </c>
      <c r="D52" s="32" t="s">
        <v>172</v>
      </c>
      <c r="E52" s="32" t="s">
        <v>173</v>
      </c>
      <c r="F52" s="32" t="s">
        <v>174</v>
      </c>
      <c r="G52" s="33">
        <v>50</v>
      </c>
      <c r="H52" s="33">
        <f>135+75</f>
        <v>210</v>
      </c>
      <c r="I52" s="14">
        <f t="shared" si="10"/>
        <v>260</v>
      </c>
      <c r="J52" s="14">
        <f t="shared" si="11"/>
        <v>33.800000000000004</v>
      </c>
      <c r="K52" s="14">
        <f t="shared" si="12"/>
        <v>226.2</v>
      </c>
      <c r="L52" s="34">
        <v>8</v>
      </c>
      <c r="M52" s="34">
        <v>78.709999999999994</v>
      </c>
      <c r="N52" s="14">
        <f t="shared" si="13"/>
        <v>86.71</v>
      </c>
      <c r="O52" s="22">
        <f t="shared" si="14"/>
        <v>42</v>
      </c>
      <c r="P52" s="22">
        <f t="shared" si="15"/>
        <v>131.29000000000002</v>
      </c>
      <c r="Q52" s="14">
        <f t="shared" si="16"/>
        <v>173.29000000000002</v>
      </c>
      <c r="R52" s="14">
        <f t="shared" si="17"/>
        <v>260</v>
      </c>
      <c r="S52" s="34">
        <v>260</v>
      </c>
      <c r="T52" s="35">
        <v>850</v>
      </c>
      <c r="U52" s="34"/>
      <c r="V52" s="207"/>
      <c r="W52" s="37"/>
      <c r="X52" s="24">
        <f t="shared" si="18"/>
        <v>260</v>
      </c>
      <c r="Y52" s="24">
        <f t="shared" si="19"/>
        <v>0</v>
      </c>
    </row>
    <row r="53" spans="1:26" s="1" customFormat="1" ht="26.25" customHeight="1" x14ac:dyDescent="0.3">
      <c r="A53" s="30">
        <v>49</v>
      </c>
      <c r="B53" s="31">
        <v>43478</v>
      </c>
      <c r="C53" s="21" t="s">
        <v>168</v>
      </c>
      <c r="D53" s="32" t="s">
        <v>175</v>
      </c>
      <c r="E53" s="32" t="s">
        <v>176</v>
      </c>
      <c r="F53" s="32" t="s">
        <v>177</v>
      </c>
      <c r="G53" s="33">
        <v>30</v>
      </c>
      <c r="H53" s="33">
        <v>140</v>
      </c>
      <c r="I53" s="14">
        <f t="shared" si="10"/>
        <v>170</v>
      </c>
      <c r="J53" s="14">
        <f t="shared" si="11"/>
        <v>22.1</v>
      </c>
      <c r="K53" s="14">
        <f t="shared" si="12"/>
        <v>147.9</v>
      </c>
      <c r="L53" s="34">
        <v>10</v>
      </c>
      <c r="M53" s="175">
        <v>14</v>
      </c>
      <c r="N53" s="14">
        <f t="shared" si="13"/>
        <v>24</v>
      </c>
      <c r="O53" s="22">
        <f t="shared" si="14"/>
        <v>20</v>
      </c>
      <c r="P53" s="22">
        <f t="shared" si="15"/>
        <v>126</v>
      </c>
      <c r="Q53" s="14">
        <f t="shared" si="16"/>
        <v>146</v>
      </c>
      <c r="R53" s="14">
        <f t="shared" si="17"/>
        <v>170</v>
      </c>
      <c r="S53" s="34">
        <v>100</v>
      </c>
      <c r="T53" s="35">
        <v>953</v>
      </c>
      <c r="U53" s="34">
        <v>70</v>
      </c>
      <c r="V53" s="207" t="s">
        <v>1214</v>
      </c>
      <c r="W53" s="37"/>
      <c r="X53" s="24">
        <f t="shared" si="18"/>
        <v>170</v>
      </c>
      <c r="Y53" s="24">
        <f t="shared" si="19"/>
        <v>0</v>
      </c>
    </row>
    <row r="54" spans="1:26" s="1" customFormat="1" ht="26.25" customHeight="1" x14ac:dyDescent="0.3">
      <c r="A54" s="30">
        <v>50</v>
      </c>
      <c r="B54" s="31">
        <v>43478</v>
      </c>
      <c r="C54" s="21" t="s">
        <v>169</v>
      </c>
      <c r="D54" s="32" t="s">
        <v>178</v>
      </c>
      <c r="E54" s="32" t="s">
        <v>179</v>
      </c>
      <c r="F54" s="32" t="s">
        <v>38</v>
      </c>
      <c r="G54" s="33">
        <v>25</v>
      </c>
      <c r="H54" s="33">
        <v>60</v>
      </c>
      <c r="I54" s="14">
        <f t="shared" si="10"/>
        <v>85</v>
      </c>
      <c r="J54" s="14">
        <f t="shared" si="11"/>
        <v>11.05</v>
      </c>
      <c r="K54" s="14">
        <f t="shared" si="12"/>
        <v>73.95</v>
      </c>
      <c r="L54" s="34">
        <v>8</v>
      </c>
      <c r="M54" s="34">
        <v>14</v>
      </c>
      <c r="N54" s="14">
        <f t="shared" si="13"/>
        <v>22</v>
      </c>
      <c r="O54" s="22">
        <f t="shared" si="14"/>
        <v>17</v>
      </c>
      <c r="P54" s="22">
        <f t="shared" si="15"/>
        <v>46</v>
      </c>
      <c r="Q54" s="14">
        <f t="shared" si="16"/>
        <v>63</v>
      </c>
      <c r="R54" s="14">
        <f t="shared" si="17"/>
        <v>85</v>
      </c>
      <c r="S54" s="34">
        <v>40</v>
      </c>
      <c r="T54" s="35">
        <v>954</v>
      </c>
      <c r="U54" s="34"/>
      <c r="V54" s="207"/>
      <c r="W54" s="37"/>
      <c r="X54" s="24">
        <f t="shared" si="18"/>
        <v>40</v>
      </c>
      <c r="Y54" s="24">
        <f t="shared" si="19"/>
        <v>45</v>
      </c>
    </row>
    <row r="55" spans="1:26" s="1" customFormat="1" ht="26.25" customHeight="1" x14ac:dyDescent="0.3">
      <c r="A55" s="30">
        <v>51</v>
      </c>
      <c r="B55" s="31">
        <v>43478</v>
      </c>
      <c r="C55" s="21" t="s">
        <v>170</v>
      </c>
      <c r="D55" s="32" t="s">
        <v>180</v>
      </c>
      <c r="E55" s="32"/>
      <c r="F55" s="32" t="s">
        <v>181</v>
      </c>
      <c r="G55" s="33"/>
      <c r="H55" s="33">
        <v>70</v>
      </c>
      <c r="I55" s="14">
        <f t="shared" si="10"/>
        <v>70</v>
      </c>
      <c r="J55" s="14">
        <f t="shared" si="11"/>
        <v>9.1</v>
      </c>
      <c r="K55" s="14">
        <f t="shared" si="12"/>
        <v>60.9</v>
      </c>
      <c r="L55" s="34"/>
      <c r="M55" s="34">
        <v>22</v>
      </c>
      <c r="N55" s="14">
        <f t="shared" si="13"/>
        <v>22</v>
      </c>
      <c r="O55" s="22">
        <f t="shared" si="14"/>
        <v>0</v>
      </c>
      <c r="P55" s="22">
        <f t="shared" si="15"/>
        <v>48</v>
      </c>
      <c r="Q55" s="14">
        <f t="shared" si="16"/>
        <v>48</v>
      </c>
      <c r="R55" s="14">
        <f t="shared" si="17"/>
        <v>70</v>
      </c>
      <c r="S55" s="34">
        <v>25</v>
      </c>
      <c r="T55" s="35">
        <v>956</v>
      </c>
      <c r="U55" s="34"/>
      <c r="V55" s="207"/>
      <c r="W55" s="37"/>
      <c r="X55" s="24">
        <f t="shared" si="18"/>
        <v>25</v>
      </c>
      <c r="Y55" s="24">
        <f t="shared" si="19"/>
        <v>45</v>
      </c>
    </row>
    <row r="56" spans="1:26" s="1" customFormat="1" ht="26.25" customHeight="1" x14ac:dyDescent="0.3">
      <c r="A56" s="30">
        <v>52</v>
      </c>
      <c r="B56" s="31">
        <v>43478</v>
      </c>
      <c r="C56" s="21" t="s">
        <v>171</v>
      </c>
      <c r="D56" s="32"/>
      <c r="E56" s="32" t="s">
        <v>183</v>
      </c>
      <c r="F56" s="32" t="s">
        <v>182</v>
      </c>
      <c r="G56" s="33">
        <v>5</v>
      </c>
      <c r="H56" s="33">
        <v>20</v>
      </c>
      <c r="I56" s="14">
        <f t="shared" si="10"/>
        <v>25</v>
      </c>
      <c r="J56" s="14">
        <f t="shared" si="11"/>
        <v>3.25</v>
      </c>
      <c r="K56" s="14">
        <f t="shared" si="12"/>
        <v>21.75</v>
      </c>
      <c r="L56" s="34">
        <v>3.75</v>
      </c>
      <c r="M56" s="34">
        <v>8</v>
      </c>
      <c r="N56" s="14">
        <f t="shared" si="13"/>
        <v>11.75</v>
      </c>
      <c r="O56" s="22">
        <f t="shared" si="14"/>
        <v>1.25</v>
      </c>
      <c r="P56" s="22">
        <f t="shared" si="15"/>
        <v>12</v>
      </c>
      <c r="Q56" s="14">
        <f t="shared" si="16"/>
        <v>13.25</v>
      </c>
      <c r="R56" s="14">
        <f t="shared" si="17"/>
        <v>25</v>
      </c>
      <c r="S56" s="34">
        <v>25</v>
      </c>
      <c r="T56" s="35" t="s">
        <v>190</v>
      </c>
      <c r="U56" s="34"/>
      <c r="V56" s="207"/>
      <c r="W56" s="37"/>
      <c r="X56" s="24">
        <f t="shared" si="18"/>
        <v>25</v>
      </c>
      <c r="Y56" s="24">
        <f t="shared" si="19"/>
        <v>0</v>
      </c>
    </row>
    <row r="57" spans="1:26" s="1" customFormat="1" ht="26.25" customHeight="1" x14ac:dyDescent="0.3">
      <c r="A57" s="30">
        <v>53</v>
      </c>
      <c r="B57" s="31">
        <v>43479</v>
      </c>
      <c r="C57" s="21" t="s">
        <v>184</v>
      </c>
      <c r="D57" s="32" t="s">
        <v>186</v>
      </c>
      <c r="E57" s="32" t="s">
        <v>187</v>
      </c>
      <c r="F57" s="32" t="s">
        <v>64</v>
      </c>
      <c r="G57" s="33">
        <v>45</v>
      </c>
      <c r="H57" s="33">
        <f>75+205</f>
        <v>280</v>
      </c>
      <c r="I57" s="14">
        <f t="shared" si="10"/>
        <v>325</v>
      </c>
      <c r="J57" s="14">
        <f t="shared" si="11"/>
        <v>42.25</v>
      </c>
      <c r="K57" s="14">
        <f t="shared" si="12"/>
        <v>282.75</v>
      </c>
      <c r="L57" s="34">
        <v>8</v>
      </c>
      <c r="M57" s="34">
        <v>128.93</v>
      </c>
      <c r="N57" s="14">
        <f t="shared" si="13"/>
        <v>136.93</v>
      </c>
      <c r="O57" s="22">
        <f t="shared" si="14"/>
        <v>37</v>
      </c>
      <c r="P57" s="22">
        <f t="shared" si="15"/>
        <v>151.07</v>
      </c>
      <c r="Q57" s="14">
        <f t="shared" si="16"/>
        <v>188.07</v>
      </c>
      <c r="R57" s="14">
        <f t="shared" si="17"/>
        <v>325</v>
      </c>
      <c r="S57" s="34">
        <v>100</v>
      </c>
      <c r="T57" s="35">
        <v>960</v>
      </c>
      <c r="U57" s="34"/>
      <c r="V57" s="207"/>
      <c r="W57" s="37"/>
      <c r="X57" s="24">
        <f t="shared" si="18"/>
        <v>100</v>
      </c>
      <c r="Y57" s="24">
        <f t="shared" si="19"/>
        <v>225</v>
      </c>
    </row>
    <row r="58" spans="1:26" s="1" customFormat="1" ht="26.25" customHeight="1" x14ac:dyDescent="0.3">
      <c r="A58" s="30">
        <v>54</v>
      </c>
      <c r="B58" s="31">
        <v>43479</v>
      </c>
      <c r="C58" s="21" t="s">
        <v>185</v>
      </c>
      <c r="D58" s="32"/>
      <c r="E58" s="32" t="s">
        <v>188</v>
      </c>
      <c r="F58" s="32" t="s">
        <v>38</v>
      </c>
      <c r="G58" s="33">
        <v>45</v>
      </c>
      <c r="H58" s="33">
        <v>110</v>
      </c>
      <c r="I58" s="14">
        <f t="shared" si="10"/>
        <v>155</v>
      </c>
      <c r="J58" s="14">
        <f t="shared" si="11"/>
        <v>20.150000000000002</v>
      </c>
      <c r="K58" s="14">
        <f t="shared" si="12"/>
        <v>134.85</v>
      </c>
      <c r="L58" s="34">
        <v>8</v>
      </c>
      <c r="M58" s="34">
        <v>33.380000000000003</v>
      </c>
      <c r="N58" s="14">
        <f t="shared" si="13"/>
        <v>41.38</v>
      </c>
      <c r="O58" s="22">
        <f t="shared" si="14"/>
        <v>37</v>
      </c>
      <c r="P58" s="22">
        <f t="shared" si="15"/>
        <v>76.62</v>
      </c>
      <c r="Q58" s="14">
        <f t="shared" si="16"/>
        <v>113.62</v>
      </c>
      <c r="R58" s="14">
        <f t="shared" si="17"/>
        <v>155</v>
      </c>
      <c r="S58" s="34">
        <v>155</v>
      </c>
      <c r="T58" s="35" t="s">
        <v>189</v>
      </c>
      <c r="U58" s="34"/>
      <c r="V58" s="207"/>
      <c r="W58" s="37"/>
      <c r="X58" s="24">
        <f t="shared" si="18"/>
        <v>155</v>
      </c>
      <c r="Y58" s="24">
        <f t="shared" si="19"/>
        <v>0</v>
      </c>
    </row>
    <row r="59" spans="1:26" s="1" customFormat="1" ht="26.25" customHeight="1" x14ac:dyDescent="0.3">
      <c r="A59" s="30">
        <v>55</v>
      </c>
      <c r="B59" s="31">
        <v>43481</v>
      </c>
      <c r="C59" s="21" t="s">
        <v>192</v>
      </c>
      <c r="D59" s="32" t="s">
        <v>195</v>
      </c>
      <c r="E59" s="32" t="s">
        <v>196</v>
      </c>
      <c r="F59" s="32" t="s">
        <v>197</v>
      </c>
      <c r="G59" s="33">
        <v>180</v>
      </c>
      <c r="H59" s="33">
        <f>205+75+90</f>
        <v>370</v>
      </c>
      <c r="I59" s="14">
        <f t="shared" si="10"/>
        <v>550</v>
      </c>
      <c r="J59" s="14">
        <f t="shared" si="11"/>
        <v>71.5</v>
      </c>
      <c r="K59" s="14">
        <f t="shared" si="12"/>
        <v>478.5</v>
      </c>
      <c r="L59" s="34">
        <v>45</v>
      </c>
      <c r="M59" s="34">
        <v>151.25</v>
      </c>
      <c r="N59" s="14">
        <f t="shared" si="13"/>
        <v>196.25</v>
      </c>
      <c r="O59" s="22">
        <f t="shared" si="14"/>
        <v>135</v>
      </c>
      <c r="P59" s="22">
        <f t="shared" si="15"/>
        <v>218.75</v>
      </c>
      <c r="Q59" s="14">
        <f t="shared" si="16"/>
        <v>353.75</v>
      </c>
      <c r="R59" s="14">
        <f t="shared" si="17"/>
        <v>550</v>
      </c>
      <c r="S59" s="34">
        <v>100</v>
      </c>
      <c r="T59" s="35">
        <v>965</v>
      </c>
      <c r="U59" s="34"/>
      <c r="V59" s="207"/>
      <c r="W59" s="37"/>
      <c r="X59" s="24">
        <f t="shared" si="18"/>
        <v>100</v>
      </c>
      <c r="Y59" s="24">
        <f t="shared" si="19"/>
        <v>450</v>
      </c>
    </row>
    <row r="60" spans="1:26" s="1" customFormat="1" ht="26.25" customHeight="1" x14ac:dyDescent="0.3">
      <c r="A60" s="30">
        <v>56</v>
      </c>
      <c r="B60" s="31">
        <v>43481</v>
      </c>
      <c r="C60" s="21" t="s">
        <v>193</v>
      </c>
      <c r="D60" s="32" t="s">
        <v>198</v>
      </c>
      <c r="E60" s="32" t="s">
        <v>199</v>
      </c>
      <c r="F60" s="32" t="s">
        <v>71</v>
      </c>
      <c r="G60" s="33">
        <v>25</v>
      </c>
      <c r="H60" s="33">
        <v>65</v>
      </c>
      <c r="I60" s="14">
        <f t="shared" si="10"/>
        <v>90</v>
      </c>
      <c r="J60" s="14">
        <f t="shared" si="11"/>
        <v>11.700000000000001</v>
      </c>
      <c r="K60" s="14">
        <f t="shared" si="12"/>
        <v>78.3</v>
      </c>
      <c r="L60" s="34">
        <v>8</v>
      </c>
      <c r="M60" s="34">
        <v>19.5</v>
      </c>
      <c r="N60" s="14">
        <f t="shared" si="13"/>
        <v>27.5</v>
      </c>
      <c r="O60" s="22">
        <f t="shared" si="14"/>
        <v>17</v>
      </c>
      <c r="P60" s="22">
        <f t="shared" si="15"/>
        <v>45.5</v>
      </c>
      <c r="Q60" s="14">
        <f t="shared" si="16"/>
        <v>62.5</v>
      </c>
      <c r="R60" s="14">
        <f t="shared" si="17"/>
        <v>90</v>
      </c>
      <c r="S60" s="34">
        <v>80</v>
      </c>
      <c r="T60" s="35">
        <v>970</v>
      </c>
      <c r="U60" s="34">
        <v>10</v>
      </c>
      <c r="V60" s="208" t="s">
        <v>1215</v>
      </c>
      <c r="W60" s="37"/>
      <c r="X60" s="24">
        <f t="shared" si="18"/>
        <v>90</v>
      </c>
      <c r="Y60" s="24">
        <f t="shared" si="19"/>
        <v>0</v>
      </c>
    </row>
    <row r="61" spans="1:26" s="1" customFormat="1" ht="26.25" customHeight="1" x14ac:dyDescent="0.3">
      <c r="A61" s="30">
        <v>57</v>
      </c>
      <c r="B61" s="31">
        <v>43481</v>
      </c>
      <c r="C61" s="21" t="s">
        <v>194</v>
      </c>
      <c r="D61" s="32"/>
      <c r="E61" s="32" t="s">
        <v>200</v>
      </c>
      <c r="F61" s="32"/>
      <c r="G61" s="33">
        <v>15</v>
      </c>
      <c r="H61" s="33"/>
      <c r="I61" s="14">
        <f t="shared" si="10"/>
        <v>15</v>
      </c>
      <c r="J61" s="14">
        <f t="shared" si="11"/>
        <v>1.9500000000000002</v>
      </c>
      <c r="K61" s="14">
        <f t="shared" si="12"/>
        <v>13.05</v>
      </c>
      <c r="L61" s="34">
        <v>8</v>
      </c>
      <c r="M61" s="34"/>
      <c r="N61" s="14">
        <f t="shared" si="13"/>
        <v>8</v>
      </c>
      <c r="O61" s="22">
        <f t="shared" si="14"/>
        <v>7</v>
      </c>
      <c r="P61" s="22">
        <f t="shared" si="15"/>
        <v>0</v>
      </c>
      <c r="Q61" s="14">
        <f t="shared" si="16"/>
        <v>7</v>
      </c>
      <c r="R61" s="14">
        <f t="shared" si="17"/>
        <v>15</v>
      </c>
      <c r="S61" s="34">
        <v>15</v>
      </c>
      <c r="T61" s="35">
        <v>971</v>
      </c>
      <c r="U61" s="34"/>
      <c r="V61" s="207"/>
      <c r="W61" s="37"/>
      <c r="X61" s="24">
        <f t="shared" si="18"/>
        <v>15</v>
      </c>
      <c r="Y61" s="24">
        <f t="shared" si="19"/>
        <v>0</v>
      </c>
    </row>
    <row r="62" spans="1:26" s="1" customFormat="1" ht="26.25" customHeight="1" x14ac:dyDescent="0.3">
      <c r="A62" s="30">
        <v>58</v>
      </c>
      <c r="B62" s="31">
        <v>43482</v>
      </c>
      <c r="C62" s="21" t="s">
        <v>201</v>
      </c>
      <c r="D62" s="32"/>
      <c r="E62" s="32" t="s">
        <v>202</v>
      </c>
      <c r="F62" s="32"/>
      <c r="G62" s="33">
        <v>3</v>
      </c>
      <c r="H62" s="33"/>
      <c r="I62" s="14">
        <f t="shared" si="10"/>
        <v>3</v>
      </c>
      <c r="J62" s="14">
        <f t="shared" si="11"/>
        <v>0.39</v>
      </c>
      <c r="K62" s="14">
        <f t="shared" si="12"/>
        <v>2.61</v>
      </c>
      <c r="L62" s="34">
        <v>1</v>
      </c>
      <c r="M62" s="34"/>
      <c r="N62" s="14">
        <f t="shared" si="13"/>
        <v>1</v>
      </c>
      <c r="O62" s="22">
        <f t="shared" si="14"/>
        <v>2</v>
      </c>
      <c r="P62" s="22">
        <f t="shared" si="15"/>
        <v>0</v>
      </c>
      <c r="Q62" s="14">
        <f t="shared" si="16"/>
        <v>2</v>
      </c>
      <c r="R62" s="14">
        <f t="shared" si="17"/>
        <v>3</v>
      </c>
      <c r="S62" s="34">
        <v>3</v>
      </c>
      <c r="T62" s="35">
        <v>973</v>
      </c>
      <c r="U62" s="34"/>
      <c r="V62" s="207"/>
      <c r="W62" s="37"/>
      <c r="X62" s="24">
        <f t="shared" si="18"/>
        <v>3</v>
      </c>
      <c r="Y62" s="24">
        <f t="shared" si="19"/>
        <v>0</v>
      </c>
    </row>
    <row r="63" spans="1:26" s="1" customFormat="1" ht="26.25" customHeight="1" x14ac:dyDescent="0.3">
      <c r="A63" s="30">
        <v>59</v>
      </c>
      <c r="B63" s="31">
        <v>43483</v>
      </c>
      <c r="C63" s="21" t="s">
        <v>203</v>
      </c>
      <c r="D63" s="32" t="s">
        <v>205</v>
      </c>
      <c r="E63" s="32" t="s">
        <v>206</v>
      </c>
      <c r="F63" s="32" t="s">
        <v>207</v>
      </c>
      <c r="G63" s="33">
        <v>100</v>
      </c>
      <c r="H63" s="33">
        <f>60+125</f>
        <v>185</v>
      </c>
      <c r="I63" s="14">
        <f t="shared" si="10"/>
        <v>285</v>
      </c>
      <c r="J63" s="14">
        <f t="shared" si="11"/>
        <v>37.050000000000004</v>
      </c>
      <c r="K63" s="14">
        <f t="shared" si="12"/>
        <v>247.95</v>
      </c>
      <c r="L63" s="34">
        <v>45</v>
      </c>
      <c r="M63" s="34">
        <v>82</v>
      </c>
      <c r="N63" s="14">
        <f t="shared" si="13"/>
        <v>127</v>
      </c>
      <c r="O63" s="22">
        <f t="shared" si="14"/>
        <v>55</v>
      </c>
      <c r="P63" s="22">
        <f t="shared" si="15"/>
        <v>103</v>
      </c>
      <c r="Q63" s="14">
        <f t="shared" si="16"/>
        <v>158</v>
      </c>
      <c r="R63" s="14">
        <f t="shared" si="17"/>
        <v>285</v>
      </c>
      <c r="S63" s="34">
        <v>55</v>
      </c>
      <c r="T63" s="35">
        <v>974</v>
      </c>
      <c r="U63" s="34"/>
      <c r="V63" s="207"/>
      <c r="W63" s="37"/>
      <c r="X63" s="24">
        <f t="shared" si="18"/>
        <v>55</v>
      </c>
      <c r="Y63" s="24">
        <f t="shared" si="19"/>
        <v>230</v>
      </c>
    </row>
    <row r="64" spans="1:26" s="1" customFormat="1" ht="26.25" customHeight="1" x14ac:dyDescent="0.3">
      <c r="A64" s="30">
        <v>60</v>
      </c>
      <c r="B64" s="31">
        <v>43483</v>
      </c>
      <c r="C64" s="21" t="s">
        <v>204</v>
      </c>
      <c r="D64" s="32"/>
      <c r="E64" s="32" t="s">
        <v>209</v>
      </c>
      <c r="F64" s="32" t="s">
        <v>208</v>
      </c>
      <c r="G64" s="33">
        <f>25+25</f>
        <v>50</v>
      </c>
      <c r="H64" s="33">
        <f>60+60</f>
        <v>120</v>
      </c>
      <c r="I64" s="14">
        <f t="shared" si="10"/>
        <v>170</v>
      </c>
      <c r="J64" s="14">
        <f t="shared" si="11"/>
        <v>22.1</v>
      </c>
      <c r="K64" s="14">
        <f t="shared" si="12"/>
        <v>147.9</v>
      </c>
      <c r="L64" s="34">
        <v>20</v>
      </c>
      <c r="M64" s="34">
        <f>14+16</f>
        <v>30</v>
      </c>
      <c r="N64" s="14">
        <f t="shared" si="13"/>
        <v>50</v>
      </c>
      <c r="O64" s="22">
        <f t="shared" si="14"/>
        <v>30</v>
      </c>
      <c r="P64" s="22">
        <f t="shared" si="15"/>
        <v>90</v>
      </c>
      <c r="Q64" s="14">
        <f t="shared" si="16"/>
        <v>120</v>
      </c>
      <c r="R64" s="14">
        <f t="shared" si="17"/>
        <v>170</v>
      </c>
      <c r="S64" s="34">
        <v>70</v>
      </c>
      <c r="T64" s="35">
        <v>977</v>
      </c>
      <c r="U64" s="34"/>
      <c r="V64" s="207"/>
      <c r="W64" s="37"/>
      <c r="X64" s="24">
        <f t="shared" si="18"/>
        <v>70</v>
      </c>
      <c r="Y64" s="24">
        <f t="shared" si="19"/>
        <v>100</v>
      </c>
      <c r="Z64" s="1" t="s">
        <v>301</v>
      </c>
    </row>
    <row r="65" spans="1:25" s="1" customFormat="1" ht="26.25" customHeight="1" x14ac:dyDescent="0.3">
      <c r="A65" s="30">
        <v>61</v>
      </c>
      <c r="B65" s="31">
        <v>43484</v>
      </c>
      <c r="C65" s="21" t="s">
        <v>210</v>
      </c>
      <c r="D65" s="32" t="s">
        <v>217</v>
      </c>
      <c r="E65" s="32" t="s">
        <v>218</v>
      </c>
      <c r="F65" s="32" t="s">
        <v>219</v>
      </c>
      <c r="G65" s="33">
        <v>25</v>
      </c>
      <c r="H65" s="33">
        <v>60</v>
      </c>
      <c r="I65" s="14">
        <f t="shared" si="10"/>
        <v>85</v>
      </c>
      <c r="J65" s="14">
        <f t="shared" si="11"/>
        <v>11.05</v>
      </c>
      <c r="K65" s="14">
        <f t="shared" si="12"/>
        <v>73.95</v>
      </c>
      <c r="L65" s="34">
        <v>10</v>
      </c>
      <c r="M65" s="34">
        <f>14</f>
        <v>14</v>
      </c>
      <c r="N65" s="14">
        <f t="shared" si="13"/>
        <v>24</v>
      </c>
      <c r="O65" s="22">
        <f t="shared" si="14"/>
        <v>15</v>
      </c>
      <c r="P65" s="22">
        <f t="shared" si="15"/>
        <v>46</v>
      </c>
      <c r="Q65" s="14">
        <f t="shared" si="16"/>
        <v>61</v>
      </c>
      <c r="R65" s="14">
        <f t="shared" si="17"/>
        <v>85</v>
      </c>
      <c r="S65" s="34">
        <v>25</v>
      </c>
      <c r="T65" s="35">
        <v>978</v>
      </c>
      <c r="U65" s="34"/>
      <c r="V65" s="207"/>
      <c r="W65" s="37"/>
      <c r="X65" s="24">
        <f t="shared" si="18"/>
        <v>25</v>
      </c>
      <c r="Y65" s="24">
        <f t="shared" si="19"/>
        <v>60</v>
      </c>
    </row>
    <row r="66" spans="1:25" s="1" customFormat="1" ht="26.25" customHeight="1" x14ac:dyDescent="0.3">
      <c r="A66" s="30">
        <v>62</v>
      </c>
      <c r="B66" s="31">
        <v>43484</v>
      </c>
      <c r="C66" s="21" t="s">
        <v>211</v>
      </c>
      <c r="D66" s="32" t="s">
        <v>220</v>
      </c>
      <c r="E66" s="32" t="s">
        <v>221</v>
      </c>
      <c r="F66" s="32" t="s">
        <v>38</v>
      </c>
      <c r="G66" s="33">
        <v>50</v>
      </c>
      <c r="H66" s="33">
        <v>100</v>
      </c>
      <c r="I66" s="14">
        <f t="shared" si="10"/>
        <v>150</v>
      </c>
      <c r="J66" s="14">
        <f t="shared" si="11"/>
        <v>19.5</v>
      </c>
      <c r="K66" s="14">
        <f t="shared" si="12"/>
        <v>130.5</v>
      </c>
      <c r="L66" s="34">
        <v>8</v>
      </c>
      <c r="M66" s="34">
        <v>18</v>
      </c>
      <c r="N66" s="14">
        <f t="shared" si="13"/>
        <v>26</v>
      </c>
      <c r="O66" s="22">
        <f t="shared" si="14"/>
        <v>42</v>
      </c>
      <c r="P66" s="22">
        <f t="shared" si="15"/>
        <v>82</v>
      </c>
      <c r="Q66" s="14">
        <f t="shared" si="16"/>
        <v>124</v>
      </c>
      <c r="R66" s="14">
        <f t="shared" si="17"/>
        <v>150</v>
      </c>
      <c r="S66" s="34">
        <v>100</v>
      </c>
      <c r="T66" s="35">
        <v>980</v>
      </c>
      <c r="U66" s="34">
        <v>50</v>
      </c>
      <c r="V66" s="207" t="s">
        <v>1208</v>
      </c>
      <c r="W66" s="37"/>
      <c r="X66" s="24">
        <f t="shared" si="18"/>
        <v>150</v>
      </c>
      <c r="Y66" s="24">
        <f t="shared" si="19"/>
        <v>0</v>
      </c>
    </row>
    <row r="67" spans="1:25" s="1" customFormat="1" ht="26.25" customHeight="1" x14ac:dyDescent="0.3">
      <c r="A67" s="30">
        <v>63</v>
      </c>
      <c r="B67" s="31">
        <v>43484</v>
      </c>
      <c r="C67" s="21" t="s">
        <v>212</v>
      </c>
      <c r="D67" s="32" t="s">
        <v>222</v>
      </c>
      <c r="E67" s="32" t="s">
        <v>223</v>
      </c>
      <c r="F67" s="32" t="s">
        <v>224</v>
      </c>
      <c r="G67" s="33">
        <v>135</v>
      </c>
      <c r="H67" s="33">
        <f>175+125</f>
        <v>300</v>
      </c>
      <c r="I67" s="14">
        <f t="shared" si="10"/>
        <v>435</v>
      </c>
      <c r="J67" s="14">
        <f t="shared" si="11"/>
        <v>56.550000000000004</v>
      </c>
      <c r="K67" s="14">
        <f t="shared" si="12"/>
        <v>378.45</v>
      </c>
      <c r="L67" s="34">
        <v>25</v>
      </c>
      <c r="M67" s="34">
        <v>106.95</v>
      </c>
      <c r="N67" s="14">
        <f t="shared" si="13"/>
        <v>131.94999999999999</v>
      </c>
      <c r="O67" s="22">
        <f t="shared" si="14"/>
        <v>110</v>
      </c>
      <c r="P67" s="22">
        <f t="shared" si="15"/>
        <v>193.05</v>
      </c>
      <c r="Q67" s="14">
        <f t="shared" si="16"/>
        <v>303.05</v>
      </c>
      <c r="R67" s="14">
        <f t="shared" si="17"/>
        <v>435</v>
      </c>
      <c r="S67" s="34">
        <v>40</v>
      </c>
      <c r="T67" s="35">
        <v>982</v>
      </c>
      <c r="U67" s="34">
        <v>395</v>
      </c>
      <c r="V67" s="207" t="s">
        <v>1207</v>
      </c>
      <c r="W67" s="37"/>
      <c r="X67" s="24">
        <f t="shared" si="18"/>
        <v>435</v>
      </c>
      <c r="Y67" s="24">
        <f t="shared" si="19"/>
        <v>0</v>
      </c>
    </row>
    <row r="68" spans="1:25" s="1" customFormat="1" ht="26.25" customHeight="1" x14ac:dyDescent="0.3">
      <c r="A68" s="30">
        <v>64</v>
      </c>
      <c r="B68" s="31">
        <v>43484</v>
      </c>
      <c r="C68" s="21" t="s">
        <v>213</v>
      </c>
      <c r="D68" s="32"/>
      <c r="E68" s="32" t="s">
        <v>225</v>
      </c>
      <c r="F68" s="32"/>
      <c r="G68" s="33">
        <v>3</v>
      </c>
      <c r="H68" s="33"/>
      <c r="I68" s="14">
        <f t="shared" si="10"/>
        <v>3</v>
      </c>
      <c r="J68" s="14">
        <f t="shared" si="11"/>
        <v>0.39</v>
      </c>
      <c r="K68" s="14">
        <f t="shared" si="12"/>
        <v>2.61</v>
      </c>
      <c r="L68" s="34">
        <v>1</v>
      </c>
      <c r="M68" s="34"/>
      <c r="N68" s="14">
        <f t="shared" si="13"/>
        <v>1</v>
      </c>
      <c r="O68" s="22">
        <f t="shared" si="14"/>
        <v>2</v>
      </c>
      <c r="P68" s="22">
        <f t="shared" si="15"/>
        <v>0</v>
      </c>
      <c r="Q68" s="14">
        <f t="shared" si="16"/>
        <v>2</v>
      </c>
      <c r="R68" s="14">
        <f t="shared" si="17"/>
        <v>3</v>
      </c>
      <c r="S68" s="34">
        <v>3</v>
      </c>
      <c r="T68" s="35">
        <v>983</v>
      </c>
      <c r="U68" s="34"/>
      <c r="V68" s="207"/>
      <c r="W68" s="37"/>
      <c r="X68" s="24">
        <f t="shared" si="18"/>
        <v>3</v>
      </c>
      <c r="Y68" s="24">
        <f t="shared" si="19"/>
        <v>0</v>
      </c>
    </row>
    <row r="69" spans="1:25" s="1" customFormat="1" ht="26.25" customHeight="1" x14ac:dyDescent="0.3">
      <c r="A69" s="30">
        <v>65</v>
      </c>
      <c r="B69" s="31">
        <v>43484</v>
      </c>
      <c r="C69" s="21" t="s">
        <v>214</v>
      </c>
      <c r="D69" s="32" t="s">
        <v>226</v>
      </c>
      <c r="E69" s="32" t="s">
        <v>227</v>
      </c>
      <c r="F69" s="32" t="s">
        <v>38</v>
      </c>
      <c r="G69" s="33">
        <v>25</v>
      </c>
      <c r="H69" s="33">
        <v>60</v>
      </c>
      <c r="I69" s="14">
        <f t="shared" si="10"/>
        <v>85</v>
      </c>
      <c r="J69" s="14">
        <f t="shared" si="11"/>
        <v>11.05</v>
      </c>
      <c r="K69" s="14">
        <f t="shared" si="12"/>
        <v>73.95</v>
      </c>
      <c r="L69" s="34">
        <v>10</v>
      </c>
      <c r="M69" s="34">
        <v>14</v>
      </c>
      <c r="N69" s="14">
        <f t="shared" si="13"/>
        <v>24</v>
      </c>
      <c r="O69" s="22">
        <f t="shared" si="14"/>
        <v>15</v>
      </c>
      <c r="P69" s="22">
        <f t="shared" si="15"/>
        <v>46</v>
      </c>
      <c r="Q69" s="14">
        <f t="shared" si="16"/>
        <v>61</v>
      </c>
      <c r="R69" s="14">
        <f t="shared" si="17"/>
        <v>85</v>
      </c>
      <c r="S69" s="34">
        <v>20</v>
      </c>
      <c r="T69" s="35">
        <v>984</v>
      </c>
      <c r="U69" s="34"/>
      <c r="V69" s="207"/>
      <c r="W69" s="37"/>
      <c r="X69" s="24">
        <f t="shared" si="18"/>
        <v>20</v>
      </c>
      <c r="Y69" s="24">
        <f t="shared" si="19"/>
        <v>65</v>
      </c>
    </row>
    <row r="70" spans="1:25" s="1" customFormat="1" ht="26.25" customHeight="1" x14ac:dyDescent="0.3">
      <c r="A70" s="30">
        <v>66</v>
      </c>
      <c r="B70" s="31">
        <v>43484</v>
      </c>
      <c r="C70" s="21" t="s">
        <v>215</v>
      </c>
      <c r="D70" s="32" t="s">
        <v>228</v>
      </c>
      <c r="E70" s="32" t="s">
        <v>229</v>
      </c>
      <c r="F70" s="32" t="s">
        <v>230</v>
      </c>
      <c r="G70" s="33">
        <v>20</v>
      </c>
      <c r="H70" s="33">
        <v>55</v>
      </c>
      <c r="I70" s="14">
        <f t="shared" si="10"/>
        <v>75</v>
      </c>
      <c r="J70" s="14">
        <f t="shared" si="11"/>
        <v>9.75</v>
      </c>
      <c r="K70" s="14">
        <f t="shared" si="12"/>
        <v>65.25</v>
      </c>
      <c r="L70" s="34">
        <v>10</v>
      </c>
      <c r="M70" s="34">
        <v>14</v>
      </c>
      <c r="N70" s="14">
        <f t="shared" si="13"/>
        <v>24</v>
      </c>
      <c r="O70" s="22">
        <f t="shared" si="14"/>
        <v>10</v>
      </c>
      <c r="P70" s="22">
        <f t="shared" si="15"/>
        <v>41</v>
      </c>
      <c r="Q70" s="14">
        <f t="shared" si="16"/>
        <v>51</v>
      </c>
      <c r="R70" s="14">
        <f t="shared" si="17"/>
        <v>75</v>
      </c>
      <c r="S70" s="34">
        <v>20</v>
      </c>
      <c r="T70" s="35">
        <v>985</v>
      </c>
      <c r="U70" s="34">
        <v>55</v>
      </c>
      <c r="V70" s="207" t="s">
        <v>1205</v>
      </c>
      <c r="W70" s="37"/>
      <c r="X70" s="24">
        <f t="shared" si="18"/>
        <v>75</v>
      </c>
      <c r="Y70" s="24">
        <f t="shared" si="19"/>
        <v>0</v>
      </c>
    </row>
    <row r="71" spans="1:25" s="1" customFormat="1" ht="26.25" customHeight="1" x14ac:dyDescent="0.3">
      <c r="A71" s="30">
        <v>67</v>
      </c>
      <c r="B71" s="31">
        <v>43484</v>
      </c>
      <c r="C71" s="21" t="s">
        <v>216</v>
      </c>
      <c r="D71" s="32" t="s">
        <v>231</v>
      </c>
      <c r="E71" s="32" t="s">
        <v>232</v>
      </c>
      <c r="F71" s="32" t="s">
        <v>233</v>
      </c>
      <c r="G71" s="33">
        <v>50</v>
      </c>
      <c r="H71" s="33">
        <f>75+175</f>
        <v>250</v>
      </c>
      <c r="I71" s="14">
        <f t="shared" si="10"/>
        <v>300</v>
      </c>
      <c r="J71" s="14">
        <f t="shared" si="11"/>
        <v>39</v>
      </c>
      <c r="K71" s="14">
        <f t="shared" si="12"/>
        <v>261</v>
      </c>
      <c r="L71" s="34">
        <v>10</v>
      </c>
      <c r="M71" s="34">
        <v>99</v>
      </c>
      <c r="N71" s="14">
        <f t="shared" si="13"/>
        <v>109</v>
      </c>
      <c r="O71" s="22">
        <f t="shared" si="14"/>
        <v>40</v>
      </c>
      <c r="P71" s="22">
        <f t="shared" si="15"/>
        <v>151</v>
      </c>
      <c r="Q71" s="14">
        <f t="shared" si="16"/>
        <v>191</v>
      </c>
      <c r="R71" s="14">
        <f t="shared" si="17"/>
        <v>300</v>
      </c>
      <c r="S71" s="34">
        <v>200</v>
      </c>
      <c r="T71" s="35">
        <v>986</v>
      </c>
      <c r="U71" s="34"/>
      <c r="V71" s="207"/>
      <c r="W71" s="37"/>
      <c r="X71" s="24">
        <f t="shared" si="18"/>
        <v>200</v>
      </c>
      <c r="Y71" s="24">
        <f t="shared" si="19"/>
        <v>100</v>
      </c>
    </row>
    <row r="72" spans="1:25" s="1" customFormat="1" ht="26.25" customHeight="1" x14ac:dyDescent="0.3">
      <c r="A72" s="30">
        <v>68</v>
      </c>
      <c r="B72" s="31">
        <v>43485</v>
      </c>
      <c r="C72" s="21" t="s">
        <v>234</v>
      </c>
      <c r="D72" s="32" t="s">
        <v>238</v>
      </c>
      <c r="E72" s="32" t="s">
        <v>239</v>
      </c>
      <c r="F72" s="32"/>
      <c r="G72" s="33">
        <v>5</v>
      </c>
      <c r="H72" s="33"/>
      <c r="I72" s="14">
        <f t="shared" si="10"/>
        <v>5</v>
      </c>
      <c r="J72" s="14">
        <f t="shared" si="11"/>
        <v>0.65</v>
      </c>
      <c r="K72" s="14">
        <f t="shared" si="12"/>
        <v>4.3499999999999996</v>
      </c>
      <c r="L72" s="34">
        <v>1</v>
      </c>
      <c r="M72" s="34"/>
      <c r="N72" s="14">
        <f t="shared" si="13"/>
        <v>1</v>
      </c>
      <c r="O72" s="22">
        <f t="shared" si="14"/>
        <v>4</v>
      </c>
      <c r="P72" s="22">
        <f t="shared" si="15"/>
        <v>0</v>
      </c>
      <c r="Q72" s="14">
        <f t="shared" si="16"/>
        <v>4</v>
      </c>
      <c r="R72" s="14">
        <f t="shared" si="17"/>
        <v>5</v>
      </c>
      <c r="S72" s="34">
        <v>5</v>
      </c>
      <c r="T72" s="35">
        <v>987</v>
      </c>
      <c r="U72" s="34"/>
      <c r="V72" s="207"/>
      <c r="W72" s="37"/>
      <c r="X72" s="24">
        <f t="shared" si="18"/>
        <v>5</v>
      </c>
      <c r="Y72" s="24">
        <f t="shared" si="19"/>
        <v>0</v>
      </c>
    </row>
    <row r="73" spans="1:25" s="1" customFormat="1" ht="26.25" customHeight="1" x14ac:dyDescent="0.3">
      <c r="A73" s="30">
        <v>69</v>
      </c>
      <c r="B73" s="31">
        <v>43485</v>
      </c>
      <c r="C73" s="21" t="s">
        <v>246</v>
      </c>
      <c r="D73" s="32" t="s">
        <v>240</v>
      </c>
      <c r="E73" s="32" t="s">
        <v>241</v>
      </c>
      <c r="F73" s="32" t="s">
        <v>242</v>
      </c>
      <c r="G73" s="33">
        <v>50</v>
      </c>
      <c r="H73" s="33">
        <f>175</f>
        <v>175</v>
      </c>
      <c r="I73" s="14">
        <f t="shared" si="10"/>
        <v>225</v>
      </c>
      <c r="J73" s="14">
        <f t="shared" si="11"/>
        <v>29.25</v>
      </c>
      <c r="K73" s="14">
        <f t="shared" si="12"/>
        <v>195.75</v>
      </c>
      <c r="L73" s="34">
        <v>10</v>
      </c>
      <c r="M73" s="34">
        <v>64</v>
      </c>
      <c r="N73" s="14">
        <f t="shared" si="13"/>
        <v>74</v>
      </c>
      <c r="O73" s="22">
        <f t="shared" si="14"/>
        <v>40</v>
      </c>
      <c r="P73" s="22">
        <f t="shared" si="15"/>
        <v>111</v>
      </c>
      <c r="Q73" s="14">
        <f t="shared" si="16"/>
        <v>151</v>
      </c>
      <c r="R73" s="14">
        <f t="shared" si="17"/>
        <v>225</v>
      </c>
      <c r="S73" s="34">
        <v>100</v>
      </c>
      <c r="T73" s="35">
        <v>988</v>
      </c>
      <c r="U73" s="34">
        <v>125</v>
      </c>
      <c r="V73" s="207" t="s">
        <v>1206</v>
      </c>
      <c r="W73" s="37"/>
      <c r="X73" s="24">
        <f t="shared" si="18"/>
        <v>225</v>
      </c>
      <c r="Y73" s="24">
        <f t="shared" si="19"/>
        <v>0</v>
      </c>
    </row>
    <row r="74" spans="1:25" s="1" customFormat="1" ht="26.25" customHeight="1" x14ac:dyDescent="0.3">
      <c r="A74" s="30">
        <v>70</v>
      </c>
      <c r="B74" s="31">
        <v>43485</v>
      </c>
      <c r="C74" s="21" t="s">
        <v>235</v>
      </c>
      <c r="D74" s="32" t="s">
        <v>243</v>
      </c>
      <c r="E74" s="32" t="s">
        <v>244</v>
      </c>
      <c r="F74" s="32" t="s">
        <v>245</v>
      </c>
      <c r="G74" s="33"/>
      <c r="H74" s="33">
        <v>10</v>
      </c>
      <c r="I74" s="14">
        <f t="shared" si="10"/>
        <v>10</v>
      </c>
      <c r="J74" s="14">
        <f t="shared" si="11"/>
        <v>1.3</v>
      </c>
      <c r="K74" s="14">
        <f t="shared" si="12"/>
        <v>8.6999999999999993</v>
      </c>
      <c r="L74" s="34">
        <v>10</v>
      </c>
      <c r="M74" s="34"/>
      <c r="N74" s="14">
        <f t="shared" si="13"/>
        <v>10</v>
      </c>
      <c r="O74" s="22">
        <f t="shared" si="14"/>
        <v>-10</v>
      </c>
      <c r="P74" s="22">
        <f t="shared" si="15"/>
        <v>10</v>
      </c>
      <c r="Q74" s="14">
        <f t="shared" si="16"/>
        <v>0</v>
      </c>
      <c r="R74" s="14">
        <f t="shared" si="17"/>
        <v>10</v>
      </c>
      <c r="S74" s="34">
        <v>10</v>
      </c>
      <c r="T74" s="35">
        <v>989</v>
      </c>
      <c r="U74" s="34"/>
      <c r="V74" s="207"/>
      <c r="W74" s="37"/>
      <c r="X74" s="24">
        <f t="shared" si="18"/>
        <v>10</v>
      </c>
      <c r="Y74" s="24">
        <f t="shared" si="19"/>
        <v>0</v>
      </c>
    </row>
    <row r="75" spans="1:25" s="1" customFormat="1" ht="26.25" customHeight="1" x14ac:dyDescent="0.3">
      <c r="A75" s="30">
        <v>71</v>
      </c>
      <c r="B75" s="31">
        <v>43485</v>
      </c>
      <c r="C75" s="21" t="s">
        <v>236</v>
      </c>
      <c r="D75" s="32"/>
      <c r="E75" s="32" t="s">
        <v>106</v>
      </c>
      <c r="F75" s="32"/>
      <c r="G75" s="33">
        <v>10</v>
      </c>
      <c r="H75" s="33"/>
      <c r="I75" s="14">
        <f t="shared" si="10"/>
        <v>10</v>
      </c>
      <c r="J75" s="14">
        <f t="shared" si="11"/>
        <v>1.3</v>
      </c>
      <c r="K75" s="14">
        <f t="shared" si="12"/>
        <v>8.6999999999999993</v>
      </c>
      <c r="L75" s="34">
        <v>5</v>
      </c>
      <c r="M75" s="34"/>
      <c r="N75" s="14">
        <f t="shared" si="13"/>
        <v>5</v>
      </c>
      <c r="O75" s="22">
        <f t="shared" si="14"/>
        <v>5</v>
      </c>
      <c r="P75" s="22">
        <f t="shared" si="15"/>
        <v>0</v>
      </c>
      <c r="Q75" s="14">
        <f t="shared" si="16"/>
        <v>5</v>
      </c>
      <c r="R75" s="14">
        <f t="shared" si="17"/>
        <v>10</v>
      </c>
      <c r="S75" s="34">
        <v>10</v>
      </c>
      <c r="T75" s="35">
        <v>993</v>
      </c>
      <c r="U75" s="34"/>
      <c r="V75" s="207"/>
      <c r="W75" s="37"/>
      <c r="X75" s="24">
        <f t="shared" si="18"/>
        <v>10</v>
      </c>
      <c r="Y75" s="24">
        <f t="shared" si="19"/>
        <v>0</v>
      </c>
    </row>
    <row r="76" spans="1:25" s="1" customFormat="1" ht="26.25" customHeight="1" x14ac:dyDescent="0.3">
      <c r="A76" s="30">
        <v>72</v>
      </c>
      <c r="B76" s="31">
        <v>43485</v>
      </c>
      <c r="C76" s="21" t="s">
        <v>237</v>
      </c>
      <c r="D76" s="32" t="s">
        <v>247</v>
      </c>
      <c r="E76" s="32" t="s">
        <v>248</v>
      </c>
      <c r="F76" s="32" t="s">
        <v>34</v>
      </c>
      <c r="G76" s="33">
        <v>200</v>
      </c>
      <c r="H76" s="33">
        <v>75</v>
      </c>
      <c r="I76" s="14">
        <f t="shared" si="10"/>
        <v>275</v>
      </c>
      <c r="J76" s="14">
        <f t="shared" si="11"/>
        <v>35.75</v>
      </c>
      <c r="K76" s="14">
        <f t="shared" si="12"/>
        <v>239.25</v>
      </c>
      <c r="L76" s="34">
        <v>45</v>
      </c>
      <c r="M76" s="34">
        <v>14</v>
      </c>
      <c r="N76" s="14">
        <f t="shared" si="13"/>
        <v>59</v>
      </c>
      <c r="O76" s="22">
        <f t="shared" si="14"/>
        <v>155</v>
      </c>
      <c r="P76" s="22">
        <f t="shared" si="15"/>
        <v>61</v>
      </c>
      <c r="Q76" s="14">
        <f t="shared" si="16"/>
        <v>216</v>
      </c>
      <c r="R76" s="14">
        <f t="shared" si="17"/>
        <v>275</v>
      </c>
      <c r="S76" s="34">
        <v>200</v>
      </c>
      <c r="T76" s="35">
        <v>994</v>
      </c>
      <c r="U76" s="34">
        <v>75</v>
      </c>
      <c r="V76" s="207" t="s">
        <v>1204</v>
      </c>
      <c r="W76" s="37"/>
      <c r="X76" s="24">
        <f t="shared" si="18"/>
        <v>275</v>
      </c>
      <c r="Y76" s="24">
        <f t="shared" si="19"/>
        <v>0</v>
      </c>
    </row>
    <row r="77" spans="1:25" s="1" customFormat="1" ht="26.25" customHeight="1" x14ac:dyDescent="0.3">
      <c r="A77" s="30">
        <v>73</v>
      </c>
      <c r="B77" s="31">
        <v>43485</v>
      </c>
      <c r="C77" s="21" t="s">
        <v>294</v>
      </c>
      <c r="D77" s="32"/>
      <c r="E77" s="32" t="s">
        <v>249</v>
      </c>
      <c r="F77" s="32" t="s">
        <v>71</v>
      </c>
      <c r="G77" s="33">
        <v>45</v>
      </c>
      <c r="H77" s="33">
        <v>80</v>
      </c>
      <c r="I77" s="14">
        <f t="shared" si="10"/>
        <v>125</v>
      </c>
      <c r="J77" s="14">
        <f t="shared" si="11"/>
        <v>16.25</v>
      </c>
      <c r="K77" s="14">
        <f t="shared" si="12"/>
        <v>108.75</v>
      </c>
      <c r="L77" s="34">
        <v>10</v>
      </c>
      <c r="M77" s="34">
        <v>19.5</v>
      </c>
      <c r="N77" s="14">
        <f t="shared" si="13"/>
        <v>29.5</v>
      </c>
      <c r="O77" s="22">
        <f t="shared" si="14"/>
        <v>35</v>
      </c>
      <c r="P77" s="22">
        <f t="shared" si="15"/>
        <v>60.5</v>
      </c>
      <c r="Q77" s="14">
        <f t="shared" si="16"/>
        <v>95.5</v>
      </c>
      <c r="R77" s="14">
        <f t="shared" si="17"/>
        <v>125</v>
      </c>
      <c r="S77" s="34">
        <v>125</v>
      </c>
      <c r="T77" s="35" t="s">
        <v>250</v>
      </c>
      <c r="U77" s="34"/>
      <c r="V77" s="207"/>
      <c r="W77" s="37"/>
      <c r="X77" s="24">
        <f t="shared" si="18"/>
        <v>125</v>
      </c>
      <c r="Y77" s="24">
        <f t="shared" si="19"/>
        <v>0</v>
      </c>
    </row>
    <row r="78" spans="1:25" s="1" customFormat="1" ht="26.25" customHeight="1" x14ac:dyDescent="0.3">
      <c r="A78" s="30">
        <v>74</v>
      </c>
      <c r="B78" s="31">
        <v>43487</v>
      </c>
      <c r="C78" s="21" t="s">
        <v>251</v>
      </c>
      <c r="D78" s="32" t="s">
        <v>253</v>
      </c>
      <c r="E78" s="32" t="s">
        <v>254</v>
      </c>
      <c r="F78" s="32" t="s">
        <v>255</v>
      </c>
      <c r="G78" s="33">
        <v>35</v>
      </c>
      <c r="H78" s="33">
        <f>125+205</f>
        <v>330</v>
      </c>
      <c r="I78" s="14">
        <f t="shared" si="10"/>
        <v>365</v>
      </c>
      <c r="J78" s="14">
        <f t="shared" si="11"/>
        <v>47.45</v>
      </c>
      <c r="K78" s="14">
        <f t="shared" si="12"/>
        <v>317.55</v>
      </c>
      <c r="L78" s="34">
        <v>15</v>
      </c>
      <c r="M78" s="34">
        <v>172.05</v>
      </c>
      <c r="N78" s="14">
        <f t="shared" si="13"/>
        <v>187.05</v>
      </c>
      <c r="O78" s="22">
        <f t="shared" si="14"/>
        <v>20</v>
      </c>
      <c r="P78" s="22">
        <f t="shared" si="15"/>
        <v>157.94999999999999</v>
      </c>
      <c r="Q78" s="14">
        <f t="shared" si="16"/>
        <v>177.95</v>
      </c>
      <c r="R78" s="14">
        <f t="shared" si="17"/>
        <v>365</v>
      </c>
      <c r="S78" s="34">
        <v>100</v>
      </c>
      <c r="T78" s="35">
        <v>998</v>
      </c>
      <c r="U78" s="34"/>
      <c r="V78" s="207"/>
      <c r="W78" s="37"/>
      <c r="X78" s="24">
        <f t="shared" si="18"/>
        <v>100</v>
      </c>
      <c r="Y78" s="24">
        <f t="shared" si="19"/>
        <v>265</v>
      </c>
    </row>
    <row r="79" spans="1:25" s="1" customFormat="1" ht="26.25" customHeight="1" x14ac:dyDescent="0.3">
      <c r="A79" s="30">
        <v>75</v>
      </c>
      <c r="B79" s="31">
        <v>43487</v>
      </c>
      <c r="C79" s="21" t="s">
        <v>252</v>
      </c>
      <c r="D79" s="32" t="s">
        <v>256</v>
      </c>
      <c r="E79" s="32" t="s">
        <v>257</v>
      </c>
      <c r="F79" s="32" t="s">
        <v>38</v>
      </c>
      <c r="G79" s="33">
        <v>35</v>
      </c>
      <c r="H79" s="33">
        <v>100</v>
      </c>
      <c r="I79" s="14">
        <f t="shared" si="10"/>
        <v>135</v>
      </c>
      <c r="J79" s="14">
        <f t="shared" si="11"/>
        <v>17.55</v>
      </c>
      <c r="K79" s="14">
        <f t="shared" si="12"/>
        <v>117.45</v>
      </c>
      <c r="L79" s="34">
        <v>8</v>
      </c>
      <c r="M79" s="34">
        <v>14</v>
      </c>
      <c r="N79" s="14">
        <f t="shared" si="13"/>
        <v>22</v>
      </c>
      <c r="O79" s="22">
        <f t="shared" si="14"/>
        <v>27</v>
      </c>
      <c r="P79" s="22">
        <f t="shared" si="15"/>
        <v>86</v>
      </c>
      <c r="Q79" s="14">
        <f t="shared" si="16"/>
        <v>113</v>
      </c>
      <c r="R79" s="14">
        <f t="shared" si="17"/>
        <v>135</v>
      </c>
      <c r="S79" s="34">
        <v>50</v>
      </c>
      <c r="T79" s="35">
        <v>999</v>
      </c>
      <c r="U79" s="34"/>
      <c r="V79" s="207"/>
      <c r="W79" s="37"/>
      <c r="X79" s="24">
        <f t="shared" si="18"/>
        <v>50</v>
      </c>
      <c r="Y79" s="24">
        <f t="shared" si="19"/>
        <v>85</v>
      </c>
    </row>
    <row r="80" spans="1:25" s="1" customFormat="1" ht="26.25" customHeight="1" x14ac:dyDescent="0.3">
      <c r="A80" s="30">
        <v>76</v>
      </c>
      <c r="B80" s="31">
        <v>43488</v>
      </c>
      <c r="C80" s="21" t="s">
        <v>258</v>
      </c>
      <c r="D80" s="32" t="s">
        <v>259</v>
      </c>
      <c r="E80" s="32" t="s">
        <v>260</v>
      </c>
      <c r="F80" s="32"/>
      <c r="G80" s="33">
        <v>5</v>
      </c>
      <c r="H80" s="33"/>
      <c r="I80" s="14">
        <f t="shared" si="10"/>
        <v>5</v>
      </c>
      <c r="J80" s="14">
        <f t="shared" si="11"/>
        <v>0.65</v>
      </c>
      <c r="K80" s="14">
        <f t="shared" si="12"/>
        <v>4.3499999999999996</v>
      </c>
      <c r="L80" s="34"/>
      <c r="M80" s="34"/>
      <c r="N80" s="14">
        <f t="shared" si="13"/>
        <v>0</v>
      </c>
      <c r="O80" s="22">
        <f t="shared" si="14"/>
        <v>5</v>
      </c>
      <c r="P80" s="22">
        <f t="shared" si="15"/>
        <v>0</v>
      </c>
      <c r="Q80" s="14">
        <f t="shared" si="16"/>
        <v>5</v>
      </c>
      <c r="R80" s="14">
        <f t="shared" si="17"/>
        <v>5</v>
      </c>
      <c r="S80" s="34">
        <v>5</v>
      </c>
      <c r="T80" s="35">
        <v>913</v>
      </c>
      <c r="U80" s="34"/>
      <c r="V80" s="207"/>
      <c r="W80" s="37"/>
      <c r="X80" s="24">
        <f t="shared" si="18"/>
        <v>5</v>
      </c>
      <c r="Y80" s="24">
        <f t="shared" si="19"/>
        <v>0</v>
      </c>
    </row>
    <row r="81" spans="1:25" s="1" customFormat="1" ht="26.25" customHeight="1" x14ac:dyDescent="0.3">
      <c r="A81" s="30">
        <v>77</v>
      </c>
      <c r="B81" s="31">
        <v>43489</v>
      </c>
      <c r="C81" s="107" t="s">
        <v>261</v>
      </c>
      <c r="D81" s="32" t="s">
        <v>262</v>
      </c>
      <c r="E81" s="32" t="s">
        <v>263</v>
      </c>
      <c r="F81" s="32" t="s">
        <v>264</v>
      </c>
      <c r="G81" s="33">
        <v>15</v>
      </c>
      <c r="H81" s="33">
        <f>75+75</f>
        <v>150</v>
      </c>
      <c r="I81" s="14">
        <f t="shared" si="10"/>
        <v>165</v>
      </c>
      <c r="J81" s="14">
        <f t="shared" si="11"/>
        <v>21.45</v>
      </c>
      <c r="K81" s="14">
        <f t="shared" si="12"/>
        <v>143.55000000000001</v>
      </c>
      <c r="L81" s="34">
        <v>8</v>
      </c>
      <c r="M81" s="34">
        <v>54.5</v>
      </c>
      <c r="N81" s="14">
        <f t="shared" si="13"/>
        <v>62.5</v>
      </c>
      <c r="O81" s="22">
        <f t="shared" si="14"/>
        <v>7</v>
      </c>
      <c r="P81" s="22">
        <f t="shared" si="15"/>
        <v>95.5</v>
      </c>
      <c r="Q81" s="14">
        <f t="shared" si="16"/>
        <v>102.5</v>
      </c>
      <c r="R81" s="14">
        <f t="shared" si="17"/>
        <v>165</v>
      </c>
      <c r="S81" s="34">
        <v>70</v>
      </c>
      <c r="T81" s="35">
        <v>9158</v>
      </c>
      <c r="U81" s="34"/>
      <c r="V81" s="207"/>
      <c r="W81" s="37"/>
      <c r="X81" s="24">
        <f t="shared" si="18"/>
        <v>70</v>
      </c>
      <c r="Y81" s="24">
        <f t="shared" si="19"/>
        <v>95</v>
      </c>
    </row>
    <row r="82" spans="1:25" s="1" customFormat="1" ht="26.25" customHeight="1" x14ac:dyDescent="0.3">
      <c r="A82" s="30"/>
      <c r="B82" s="31">
        <v>43490</v>
      </c>
      <c r="C82" s="107" t="s">
        <v>1209</v>
      </c>
      <c r="D82" s="32" t="s">
        <v>1210</v>
      </c>
      <c r="E82" s="32" t="s">
        <v>1211</v>
      </c>
      <c r="F82" s="32" t="s">
        <v>1212</v>
      </c>
      <c r="G82" s="33">
        <v>25</v>
      </c>
      <c r="H82" s="33">
        <v>75</v>
      </c>
      <c r="I82" s="14">
        <f t="shared" si="10"/>
        <v>100</v>
      </c>
      <c r="J82" s="14">
        <f t="shared" ref="J82" si="20">I82*13%</f>
        <v>13</v>
      </c>
      <c r="K82" s="14">
        <f t="shared" ref="K82" si="21">I82-J82</f>
        <v>87</v>
      </c>
      <c r="L82" s="34">
        <v>10</v>
      </c>
      <c r="M82" s="34">
        <v>14</v>
      </c>
      <c r="N82" s="14">
        <f t="shared" ref="N82" si="22">L82+M82</f>
        <v>24</v>
      </c>
      <c r="O82" s="22">
        <f t="shared" ref="O82" si="23">G82-L82</f>
        <v>15</v>
      </c>
      <c r="P82" s="22">
        <f t="shared" ref="P82" si="24">H82-M82</f>
        <v>61</v>
      </c>
      <c r="Q82" s="14">
        <f t="shared" ref="Q82" si="25">O82+P82</f>
        <v>76</v>
      </c>
      <c r="R82" s="14">
        <f t="shared" ref="R82" si="26">N82+Q82</f>
        <v>100</v>
      </c>
      <c r="S82" s="34">
        <v>50</v>
      </c>
      <c r="T82" s="35">
        <v>922</v>
      </c>
      <c r="U82" s="34">
        <v>50</v>
      </c>
      <c r="V82" s="207" t="s">
        <v>1213</v>
      </c>
      <c r="W82" s="37"/>
      <c r="X82" s="24"/>
      <c r="Y82" s="24"/>
    </row>
    <row r="83" spans="1:25" s="1" customFormat="1" ht="26.25" customHeight="1" x14ac:dyDescent="0.3">
      <c r="A83" s="30">
        <v>78</v>
      </c>
      <c r="B83" s="31">
        <v>43490</v>
      </c>
      <c r="C83" s="21" t="s">
        <v>265</v>
      </c>
      <c r="D83" s="32"/>
      <c r="E83" s="32" t="s">
        <v>267</v>
      </c>
      <c r="F83" s="32" t="s">
        <v>268</v>
      </c>
      <c r="G83" s="33">
        <v>25</v>
      </c>
      <c r="H83" s="33">
        <v>60</v>
      </c>
      <c r="I83" s="14">
        <f t="shared" si="10"/>
        <v>85</v>
      </c>
      <c r="J83" s="14">
        <f t="shared" si="11"/>
        <v>11.05</v>
      </c>
      <c r="K83" s="14">
        <f t="shared" si="12"/>
        <v>73.95</v>
      </c>
      <c r="L83" s="34">
        <v>15</v>
      </c>
      <c r="M83" s="34">
        <v>14</v>
      </c>
      <c r="N83" s="14">
        <f t="shared" si="13"/>
        <v>29</v>
      </c>
      <c r="O83" s="22">
        <f t="shared" si="14"/>
        <v>10</v>
      </c>
      <c r="P83" s="22">
        <f t="shared" si="15"/>
        <v>46</v>
      </c>
      <c r="Q83" s="14">
        <f t="shared" si="16"/>
        <v>56</v>
      </c>
      <c r="R83" s="14">
        <f t="shared" si="17"/>
        <v>85</v>
      </c>
      <c r="S83" s="34">
        <v>50</v>
      </c>
      <c r="T83" s="35">
        <v>921</v>
      </c>
      <c r="U83" s="34"/>
      <c r="V83" s="207"/>
      <c r="W83" s="37"/>
      <c r="X83" s="24">
        <f t="shared" si="18"/>
        <v>50</v>
      </c>
      <c r="Y83" s="24">
        <f t="shared" si="19"/>
        <v>35</v>
      </c>
    </row>
    <row r="84" spans="1:25" s="1" customFormat="1" ht="26.25" customHeight="1" x14ac:dyDescent="0.3">
      <c r="A84" s="30">
        <v>79</v>
      </c>
      <c r="B84" s="31">
        <v>43490</v>
      </c>
      <c r="C84" s="21" t="s">
        <v>266</v>
      </c>
      <c r="D84" s="32" t="s">
        <v>269</v>
      </c>
      <c r="E84" s="102" t="s">
        <v>270</v>
      </c>
      <c r="F84" s="32" t="s">
        <v>271</v>
      </c>
      <c r="G84" s="33">
        <v>200</v>
      </c>
      <c r="H84" s="33">
        <v>100</v>
      </c>
      <c r="I84" s="14">
        <f t="shared" si="10"/>
        <v>300</v>
      </c>
      <c r="J84" s="14">
        <f t="shared" si="11"/>
        <v>39</v>
      </c>
      <c r="K84" s="14">
        <f t="shared" si="12"/>
        <v>261</v>
      </c>
      <c r="L84" s="34">
        <v>45</v>
      </c>
      <c r="M84" s="34">
        <v>99</v>
      </c>
      <c r="N84" s="14">
        <f t="shared" si="13"/>
        <v>144</v>
      </c>
      <c r="O84" s="22">
        <f t="shared" si="14"/>
        <v>155</v>
      </c>
      <c r="P84" s="22">
        <f t="shared" si="15"/>
        <v>1</v>
      </c>
      <c r="Q84" s="14">
        <f t="shared" si="16"/>
        <v>156</v>
      </c>
      <c r="R84" s="14">
        <f t="shared" si="17"/>
        <v>300</v>
      </c>
      <c r="S84" s="34">
        <v>300</v>
      </c>
      <c r="T84" s="35" t="s">
        <v>272</v>
      </c>
      <c r="U84" s="34"/>
      <c r="V84" s="207"/>
      <c r="W84" s="37"/>
      <c r="X84" s="24">
        <f t="shared" si="18"/>
        <v>300</v>
      </c>
      <c r="Y84" s="24">
        <f t="shared" si="19"/>
        <v>0</v>
      </c>
    </row>
    <row r="85" spans="1:25" s="1" customFormat="1" ht="26.25" customHeight="1" x14ac:dyDescent="0.3">
      <c r="A85" s="30">
        <v>80</v>
      </c>
      <c r="B85" s="31">
        <v>43491</v>
      </c>
      <c r="C85" s="21" t="s">
        <v>273</v>
      </c>
      <c r="D85" s="32" t="s">
        <v>275</v>
      </c>
      <c r="E85" s="32" t="s">
        <v>276</v>
      </c>
      <c r="F85" s="32" t="s">
        <v>38</v>
      </c>
      <c r="G85" s="33">
        <v>25</v>
      </c>
      <c r="H85" s="33">
        <v>60</v>
      </c>
      <c r="I85" s="14">
        <f t="shared" si="10"/>
        <v>85</v>
      </c>
      <c r="J85" s="14">
        <f t="shared" si="11"/>
        <v>11.05</v>
      </c>
      <c r="K85" s="14">
        <f t="shared" si="12"/>
        <v>73.95</v>
      </c>
      <c r="L85" s="34">
        <v>10</v>
      </c>
      <c r="M85" s="34">
        <v>14</v>
      </c>
      <c r="N85" s="14">
        <f t="shared" si="13"/>
        <v>24</v>
      </c>
      <c r="O85" s="22">
        <f t="shared" si="14"/>
        <v>15</v>
      </c>
      <c r="P85" s="22">
        <f t="shared" si="15"/>
        <v>46</v>
      </c>
      <c r="Q85" s="14">
        <f t="shared" si="16"/>
        <v>61</v>
      </c>
      <c r="R85" s="14">
        <f t="shared" si="17"/>
        <v>85</v>
      </c>
      <c r="S85" s="34">
        <v>85</v>
      </c>
      <c r="T85" s="35">
        <v>922</v>
      </c>
      <c r="U85" s="34"/>
      <c r="V85" s="207"/>
      <c r="W85" s="37"/>
      <c r="X85" s="24">
        <f t="shared" si="18"/>
        <v>85</v>
      </c>
      <c r="Y85" s="24">
        <f t="shared" si="19"/>
        <v>0</v>
      </c>
    </row>
    <row r="86" spans="1:25" s="1" customFormat="1" ht="26.25" customHeight="1" x14ac:dyDescent="0.3">
      <c r="A86" s="30">
        <v>81</v>
      </c>
      <c r="B86" s="31">
        <v>43491</v>
      </c>
      <c r="C86" s="21" t="s">
        <v>274</v>
      </c>
      <c r="D86" s="32"/>
      <c r="E86" s="32" t="s">
        <v>277</v>
      </c>
      <c r="F86" s="32"/>
      <c r="G86" s="33">
        <v>3</v>
      </c>
      <c r="H86" s="33"/>
      <c r="I86" s="14">
        <f t="shared" si="10"/>
        <v>3</v>
      </c>
      <c r="J86" s="14">
        <f t="shared" si="11"/>
        <v>0.39</v>
      </c>
      <c r="K86" s="14">
        <f t="shared" si="12"/>
        <v>2.61</v>
      </c>
      <c r="L86" s="34">
        <v>1</v>
      </c>
      <c r="M86" s="34"/>
      <c r="N86" s="14">
        <f t="shared" si="13"/>
        <v>1</v>
      </c>
      <c r="O86" s="22">
        <f t="shared" si="14"/>
        <v>2</v>
      </c>
      <c r="P86" s="22">
        <f t="shared" si="15"/>
        <v>0</v>
      </c>
      <c r="Q86" s="14">
        <f t="shared" si="16"/>
        <v>2</v>
      </c>
      <c r="R86" s="14">
        <f t="shared" si="17"/>
        <v>3</v>
      </c>
      <c r="S86" s="34">
        <v>3</v>
      </c>
      <c r="T86" s="35">
        <v>1002</v>
      </c>
      <c r="U86" s="34"/>
      <c r="V86" s="207"/>
      <c r="W86" s="37"/>
      <c r="X86" s="24">
        <f t="shared" si="18"/>
        <v>3</v>
      </c>
      <c r="Y86" s="24">
        <f t="shared" si="19"/>
        <v>0</v>
      </c>
    </row>
    <row r="87" spans="1:25" s="1" customFormat="1" ht="26.25" customHeight="1" x14ac:dyDescent="0.3">
      <c r="A87" s="30">
        <v>82</v>
      </c>
      <c r="B87" s="31">
        <v>43492</v>
      </c>
      <c r="C87" s="21" t="s">
        <v>278</v>
      </c>
      <c r="D87" s="32"/>
      <c r="E87" s="32" t="s">
        <v>280</v>
      </c>
      <c r="F87" s="32"/>
      <c r="G87" s="33">
        <v>20</v>
      </c>
      <c r="H87" s="33"/>
      <c r="I87" s="14">
        <f t="shared" si="10"/>
        <v>20</v>
      </c>
      <c r="J87" s="14">
        <f t="shared" si="11"/>
        <v>2.6</v>
      </c>
      <c r="K87" s="14">
        <f t="shared" si="12"/>
        <v>17.399999999999999</v>
      </c>
      <c r="L87" s="34">
        <v>15</v>
      </c>
      <c r="M87" s="34"/>
      <c r="N87" s="14">
        <f t="shared" si="13"/>
        <v>15</v>
      </c>
      <c r="O87" s="22">
        <f t="shared" si="14"/>
        <v>5</v>
      </c>
      <c r="P87" s="22">
        <f t="shared" si="15"/>
        <v>0</v>
      </c>
      <c r="Q87" s="14">
        <f t="shared" si="16"/>
        <v>5</v>
      </c>
      <c r="R87" s="14">
        <f t="shared" si="17"/>
        <v>20</v>
      </c>
      <c r="S87" s="34">
        <v>20</v>
      </c>
      <c r="T87" s="35">
        <v>1003</v>
      </c>
      <c r="U87" s="34"/>
      <c r="V87" s="207"/>
      <c r="W87" s="37"/>
      <c r="X87" s="24">
        <f t="shared" si="18"/>
        <v>20</v>
      </c>
      <c r="Y87" s="24">
        <f t="shared" si="19"/>
        <v>0</v>
      </c>
    </row>
    <row r="88" spans="1:25" s="1" customFormat="1" ht="27" x14ac:dyDescent="0.3">
      <c r="A88" s="30">
        <v>83</v>
      </c>
      <c r="B88" s="31">
        <v>43492</v>
      </c>
      <c r="C88" s="21" t="s">
        <v>279</v>
      </c>
      <c r="D88" s="32"/>
      <c r="E88" s="32" t="s">
        <v>281</v>
      </c>
      <c r="F88" s="32" t="s">
        <v>233</v>
      </c>
      <c r="G88" s="33">
        <v>25</v>
      </c>
      <c r="H88" s="33">
        <f>75+175</f>
        <v>250</v>
      </c>
      <c r="I88" s="14">
        <f t="shared" si="10"/>
        <v>275</v>
      </c>
      <c r="J88" s="14">
        <f t="shared" si="11"/>
        <v>35.75</v>
      </c>
      <c r="K88" s="14">
        <f t="shared" si="12"/>
        <v>239.25</v>
      </c>
      <c r="L88" s="34">
        <v>15</v>
      </c>
      <c r="M88" s="34">
        <v>99</v>
      </c>
      <c r="N88" s="14">
        <f t="shared" si="13"/>
        <v>114</v>
      </c>
      <c r="O88" s="22">
        <f t="shared" si="14"/>
        <v>10</v>
      </c>
      <c r="P88" s="22">
        <f t="shared" si="15"/>
        <v>151</v>
      </c>
      <c r="Q88" s="14">
        <f t="shared" si="16"/>
        <v>161</v>
      </c>
      <c r="R88" s="14">
        <f t="shared" si="17"/>
        <v>275</v>
      </c>
      <c r="S88" s="34">
        <v>275</v>
      </c>
      <c r="T88" s="35" t="s">
        <v>282</v>
      </c>
      <c r="U88" s="34"/>
      <c r="V88" s="207"/>
      <c r="W88" s="37"/>
      <c r="X88" s="24">
        <f t="shared" si="18"/>
        <v>275</v>
      </c>
      <c r="Y88" s="24">
        <f t="shared" si="19"/>
        <v>0</v>
      </c>
    </row>
    <row r="89" spans="1:25" s="1" customFormat="1" ht="27" x14ac:dyDescent="0.3">
      <c r="A89" s="30">
        <v>84</v>
      </c>
      <c r="B89" s="31">
        <v>43493</v>
      </c>
      <c r="C89" s="21" t="s">
        <v>286</v>
      </c>
      <c r="D89" s="32" t="s">
        <v>287</v>
      </c>
      <c r="E89" s="32" t="s">
        <v>288</v>
      </c>
      <c r="F89" s="32" t="s">
        <v>38</v>
      </c>
      <c r="G89" s="33">
        <v>25</v>
      </c>
      <c r="H89" s="33">
        <v>75</v>
      </c>
      <c r="I89" s="14">
        <f t="shared" si="10"/>
        <v>100</v>
      </c>
      <c r="J89" s="14">
        <f t="shared" si="11"/>
        <v>13</v>
      </c>
      <c r="K89" s="14">
        <f t="shared" si="12"/>
        <v>87</v>
      </c>
      <c r="L89" s="34">
        <v>10</v>
      </c>
      <c r="M89" s="34">
        <v>14</v>
      </c>
      <c r="N89" s="14">
        <f t="shared" si="13"/>
        <v>24</v>
      </c>
      <c r="O89" s="22">
        <f t="shared" si="14"/>
        <v>15</v>
      </c>
      <c r="P89" s="22">
        <f t="shared" si="15"/>
        <v>61</v>
      </c>
      <c r="Q89" s="14">
        <f t="shared" si="16"/>
        <v>76</v>
      </c>
      <c r="R89" s="14">
        <f t="shared" si="17"/>
        <v>100</v>
      </c>
      <c r="S89" s="34">
        <v>10</v>
      </c>
      <c r="T89" s="35">
        <v>1006</v>
      </c>
      <c r="U89" s="34"/>
      <c r="V89" s="207"/>
      <c r="W89" s="37"/>
      <c r="X89" s="24">
        <f t="shared" si="18"/>
        <v>10</v>
      </c>
      <c r="Y89" s="24">
        <f t="shared" si="19"/>
        <v>90</v>
      </c>
    </row>
    <row r="90" spans="1:25" s="1" customFormat="1" ht="27" x14ac:dyDescent="0.3">
      <c r="A90" s="30">
        <v>85</v>
      </c>
      <c r="B90" s="31">
        <v>43493</v>
      </c>
      <c r="C90" s="21" t="s">
        <v>283</v>
      </c>
      <c r="D90" s="32" t="s">
        <v>285</v>
      </c>
      <c r="E90" s="32" t="s">
        <v>176</v>
      </c>
      <c r="F90" s="32" t="s">
        <v>38</v>
      </c>
      <c r="G90" s="33">
        <v>25</v>
      </c>
      <c r="H90" s="33">
        <v>75</v>
      </c>
      <c r="I90" s="14">
        <f t="shared" si="10"/>
        <v>100</v>
      </c>
      <c r="J90" s="14">
        <f t="shared" si="11"/>
        <v>13</v>
      </c>
      <c r="K90" s="14">
        <f t="shared" si="12"/>
        <v>87</v>
      </c>
      <c r="L90" s="34">
        <v>10</v>
      </c>
      <c r="M90" s="34">
        <v>14</v>
      </c>
      <c r="N90" s="14">
        <f t="shared" si="13"/>
        <v>24</v>
      </c>
      <c r="O90" s="22">
        <f t="shared" si="14"/>
        <v>15</v>
      </c>
      <c r="P90" s="22">
        <f t="shared" si="15"/>
        <v>61</v>
      </c>
      <c r="Q90" s="14">
        <f t="shared" si="16"/>
        <v>76</v>
      </c>
      <c r="R90" s="14">
        <f t="shared" si="17"/>
        <v>100</v>
      </c>
      <c r="S90" s="34">
        <v>10</v>
      </c>
      <c r="T90" s="35">
        <v>1007</v>
      </c>
      <c r="U90" s="34"/>
      <c r="V90" s="207"/>
      <c r="W90" s="37"/>
      <c r="X90" s="24">
        <f t="shared" si="18"/>
        <v>10</v>
      </c>
      <c r="Y90" s="24">
        <f t="shared" si="19"/>
        <v>90</v>
      </c>
    </row>
    <row r="91" spans="1:25" s="1" customFormat="1" ht="27" x14ac:dyDescent="0.3">
      <c r="A91" s="30">
        <v>86</v>
      </c>
      <c r="B91" s="31">
        <v>43493</v>
      </c>
      <c r="C91" s="21" t="s">
        <v>284</v>
      </c>
      <c r="D91" s="32"/>
      <c r="E91" s="32" t="s">
        <v>289</v>
      </c>
      <c r="F91" s="32" t="s">
        <v>38</v>
      </c>
      <c r="G91" s="33">
        <v>170</v>
      </c>
      <c r="H91" s="33">
        <v>90</v>
      </c>
      <c r="I91" s="14">
        <f t="shared" si="10"/>
        <v>260</v>
      </c>
      <c r="J91" s="14">
        <f t="shared" si="11"/>
        <v>33.800000000000004</v>
      </c>
      <c r="K91" s="14">
        <f t="shared" si="12"/>
        <v>226.2</v>
      </c>
      <c r="L91" s="34">
        <v>35</v>
      </c>
      <c r="M91" s="34">
        <v>14</v>
      </c>
      <c r="N91" s="14">
        <f t="shared" si="13"/>
        <v>49</v>
      </c>
      <c r="O91" s="22">
        <f t="shared" si="14"/>
        <v>135</v>
      </c>
      <c r="P91" s="22">
        <f t="shared" si="15"/>
        <v>76</v>
      </c>
      <c r="Q91" s="14">
        <f t="shared" si="16"/>
        <v>211</v>
      </c>
      <c r="R91" s="14">
        <f t="shared" si="17"/>
        <v>260</v>
      </c>
      <c r="S91" s="34">
        <v>260</v>
      </c>
      <c r="T91" s="35">
        <v>564</v>
      </c>
      <c r="U91" s="34"/>
      <c r="V91" s="207"/>
      <c r="W91" s="37"/>
      <c r="X91" s="24">
        <f t="shared" si="18"/>
        <v>260</v>
      </c>
      <c r="Y91" s="24">
        <f t="shared" si="19"/>
        <v>0</v>
      </c>
    </row>
    <row r="92" spans="1:25" s="1" customFormat="1" ht="27" x14ac:dyDescent="0.3">
      <c r="A92" s="30">
        <v>87</v>
      </c>
      <c r="B92" s="31">
        <v>43494</v>
      </c>
      <c r="C92" s="21" t="s">
        <v>290</v>
      </c>
      <c r="D92" s="32" t="s">
        <v>291</v>
      </c>
      <c r="E92" s="32" t="s">
        <v>292</v>
      </c>
      <c r="F92" s="32" t="s">
        <v>293</v>
      </c>
      <c r="G92" s="33">
        <v>200</v>
      </c>
      <c r="H92" s="33">
        <v>110</v>
      </c>
      <c r="I92" s="14">
        <f t="shared" si="10"/>
        <v>310</v>
      </c>
      <c r="J92" s="14">
        <f t="shared" si="11"/>
        <v>40.300000000000004</v>
      </c>
      <c r="K92" s="14">
        <f t="shared" si="12"/>
        <v>269.7</v>
      </c>
      <c r="L92" s="34">
        <v>45</v>
      </c>
      <c r="M92" s="34">
        <v>14</v>
      </c>
      <c r="N92" s="14">
        <f t="shared" si="13"/>
        <v>59</v>
      </c>
      <c r="O92" s="22">
        <f t="shared" si="14"/>
        <v>155</v>
      </c>
      <c r="P92" s="22">
        <f t="shared" si="15"/>
        <v>96</v>
      </c>
      <c r="Q92" s="14">
        <f t="shared" si="16"/>
        <v>251</v>
      </c>
      <c r="R92" s="14">
        <f t="shared" si="17"/>
        <v>310</v>
      </c>
      <c r="S92" s="34">
        <v>25</v>
      </c>
      <c r="T92" s="35">
        <v>1010</v>
      </c>
      <c r="U92" s="34"/>
      <c r="V92" s="207"/>
      <c r="W92" s="37"/>
      <c r="X92" s="24">
        <f t="shared" si="18"/>
        <v>25</v>
      </c>
      <c r="Y92" s="24">
        <f t="shared" si="19"/>
        <v>285</v>
      </c>
    </row>
    <row r="93" spans="1:25" s="1" customFormat="1" ht="13.5" x14ac:dyDescent="0.3">
      <c r="A93" s="30"/>
      <c r="B93" s="30"/>
      <c r="C93" s="21"/>
      <c r="D93" s="32"/>
      <c r="E93" s="32"/>
      <c r="F93" s="32"/>
      <c r="G93" s="33"/>
      <c r="H93" s="33"/>
      <c r="I93" s="14">
        <f>G93+H93</f>
        <v>0</v>
      </c>
      <c r="J93" s="14">
        <f>I93*13%</f>
        <v>0</v>
      </c>
      <c r="K93" s="14">
        <f>I93-J93</f>
        <v>0</v>
      </c>
      <c r="L93" s="34"/>
      <c r="M93" s="34"/>
      <c r="N93" s="14">
        <f>L93+M93</f>
        <v>0</v>
      </c>
      <c r="O93" s="22">
        <f t="shared" ref="O93:P96" si="27">G93-L93</f>
        <v>0</v>
      </c>
      <c r="P93" s="22">
        <f t="shared" si="27"/>
        <v>0</v>
      </c>
      <c r="Q93" s="14">
        <f>O93+P93</f>
        <v>0</v>
      </c>
      <c r="R93" s="14">
        <f>N93+Q93</f>
        <v>0</v>
      </c>
      <c r="S93" s="34"/>
      <c r="T93" s="35"/>
      <c r="U93" s="34"/>
      <c r="V93" s="207"/>
      <c r="W93" s="37"/>
      <c r="X93" s="24">
        <f>S93+U93</f>
        <v>0</v>
      </c>
      <c r="Y93" s="24">
        <f>R93-X93</f>
        <v>0</v>
      </c>
    </row>
    <row r="94" spans="1:25" s="1" customFormat="1" ht="13.5" x14ac:dyDescent="0.3">
      <c r="A94" s="30"/>
      <c r="B94" s="30"/>
      <c r="C94" s="32"/>
      <c r="D94" s="32"/>
      <c r="E94" s="32"/>
      <c r="F94" s="32"/>
      <c r="G94" s="33"/>
      <c r="H94" s="33"/>
      <c r="I94" s="14">
        <f>G94+H94</f>
        <v>0</v>
      </c>
      <c r="J94" s="14">
        <f>I94*13%</f>
        <v>0</v>
      </c>
      <c r="K94" s="14">
        <f>I94-J94</f>
        <v>0</v>
      </c>
      <c r="L94" s="34"/>
      <c r="M94" s="34"/>
      <c r="N94" s="14">
        <f>L94+M94</f>
        <v>0</v>
      </c>
      <c r="O94" s="22">
        <f t="shared" si="27"/>
        <v>0</v>
      </c>
      <c r="P94" s="22">
        <f t="shared" si="27"/>
        <v>0</v>
      </c>
      <c r="Q94" s="14">
        <f>O94+P94</f>
        <v>0</v>
      </c>
      <c r="R94" s="14">
        <f>N94+Q94</f>
        <v>0</v>
      </c>
      <c r="S94" s="34"/>
      <c r="T94" s="35"/>
      <c r="U94" s="34"/>
      <c r="V94" s="207"/>
      <c r="W94" s="37"/>
      <c r="X94" s="24">
        <f>S94+U94</f>
        <v>0</v>
      </c>
      <c r="Y94" s="24">
        <f>R94-X94</f>
        <v>0</v>
      </c>
    </row>
    <row r="95" spans="1:25" s="1" customFormat="1" ht="13.5" x14ac:dyDescent="0.3">
      <c r="A95" s="30"/>
      <c r="B95" s="30"/>
      <c r="C95" s="32"/>
      <c r="D95" s="32"/>
      <c r="E95" s="32"/>
      <c r="F95" s="30"/>
      <c r="G95" s="33"/>
      <c r="H95" s="33"/>
      <c r="I95" s="14">
        <f>G95+H95</f>
        <v>0</v>
      </c>
      <c r="J95" s="14">
        <f>I95*13%</f>
        <v>0</v>
      </c>
      <c r="K95" s="14">
        <f>I95-J95</f>
        <v>0</v>
      </c>
      <c r="L95" s="34"/>
      <c r="M95" s="34"/>
      <c r="N95" s="14">
        <f>L95+M95</f>
        <v>0</v>
      </c>
      <c r="O95" s="22">
        <f t="shared" si="27"/>
        <v>0</v>
      </c>
      <c r="P95" s="22">
        <f t="shared" si="27"/>
        <v>0</v>
      </c>
      <c r="Q95" s="14">
        <f>O95+P95</f>
        <v>0</v>
      </c>
      <c r="R95" s="14">
        <f>N95+Q95</f>
        <v>0</v>
      </c>
      <c r="S95" s="34"/>
      <c r="T95" s="35"/>
      <c r="U95" s="34"/>
      <c r="V95" s="207"/>
      <c r="W95" s="37"/>
      <c r="X95" s="24">
        <f>S95+U95</f>
        <v>0</v>
      </c>
      <c r="Y95" s="24">
        <f>R95-X95</f>
        <v>0</v>
      </c>
    </row>
    <row r="96" spans="1:25" s="1" customFormat="1" ht="13.5" x14ac:dyDescent="0.3">
      <c r="A96" s="88"/>
      <c r="B96" s="30"/>
      <c r="C96" s="32"/>
      <c r="D96" s="32"/>
      <c r="E96" s="32"/>
      <c r="F96" s="32"/>
      <c r="G96" s="33"/>
      <c r="H96" s="33"/>
      <c r="I96" s="14">
        <f>G96+H96</f>
        <v>0</v>
      </c>
      <c r="J96" s="14">
        <f>I96*13%</f>
        <v>0</v>
      </c>
      <c r="K96" s="14">
        <f>I96-J96</f>
        <v>0</v>
      </c>
      <c r="L96" s="34"/>
      <c r="M96" s="34"/>
      <c r="N96" s="14">
        <f>L96+M96</f>
        <v>0</v>
      </c>
      <c r="O96" s="22">
        <f t="shared" si="27"/>
        <v>0</v>
      </c>
      <c r="P96" s="22">
        <f t="shared" si="27"/>
        <v>0</v>
      </c>
      <c r="Q96" s="14">
        <f>O96+P96</f>
        <v>0</v>
      </c>
      <c r="R96" s="14">
        <f>N96+Q96</f>
        <v>0</v>
      </c>
      <c r="S96" s="34"/>
      <c r="T96" s="35"/>
      <c r="U96" s="34"/>
      <c r="V96" s="207"/>
      <c r="W96" s="37"/>
      <c r="X96" s="24">
        <f>S96+U96</f>
        <v>0</v>
      </c>
      <c r="Y96" s="24">
        <f>R96-X96</f>
        <v>0</v>
      </c>
    </row>
    <row r="97" spans="1:41" s="1" customFormat="1" ht="17.25" customHeight="1" x14ac:dyDescent="0.25">
      <c r="A97" s="89"/>
      <c r="B97" s="90"/>
      <c r="C97" s="91"/>
      <c r="D97" s="91"/>
      <c r="E97" s="91"/>
      <c r="F97" s="91"/>
      <c r="G97" s="65">
        <f>SUM(G6:G96)</f>
        <v>5562</v>
      </c>
      <c r="H97" s="65">
        <f>SUM(H6:H96)</f>
        <v>8455</v>
      </c>
      <c r="I97" s="65">
        <f>SUM(I6:I96)</f>
        <v>14017</v>
      </c>
      <c r="J97" s="65">
        <f>I97*13%</f>
        <v>1822.21</v>
      </c>
      <c r="K97" s="65">
        <f>I97-J97</f>
        <v>12194.79</v>
      </c>
      <c r="L97" s="65">
        <f>SUM(L6:L96)</f>
        <v>1416</v>
      </c>
      <c r="M97" s="65">
        <f>SUM(M6:M96)</f>
        <v>2505.2100000000005</v>
      </c>
      <c r="N97" s="65">
        <f>SUM(N6:N96)</f>
        <v>3921.21</v>
      </c>
      <c r="O97" s="65">
        <f>SUM(O6:O96)</f>
        <v>4146</v>
      </c>
      <c r="P97" s="65">
        <f>SUM(P6:P96)</f>
        <v>5949.7899999999991</v>
      </c>
      <c r="Q97" s="65">
        <f>O97+P97</f>
        <v>10095.789999999999</v>
      </c>
      <c r="R97" s="65">
        <f>SUM(R6:R96)</f>
        <v>14017</v>
      </c>
      <c r="S97" s="65">
        <f>SUM(S6:S96)</f>
        <v>7407</v>
      </c>
      <c r="T97" s="91"/>
      <c r="U97" s="65"/>
      <c r="V97" s="209"/>
      <c r="W97" s="89"/>
      <c r="X97" s="89">
        <f>SUM(X6:X96)</f>
        <v>8372</v>
      </c>
      <c r="Y97" s="89">
        <f>R97-X97</f>
        <v>5645</v>
      </c>
    </row>
    <row r="98" spans="1:41" s="100" customFormat="1" ht="27.75" customHeight="1" x14ac:dyDescent="0.25">
      <c r="A98" s="191" t="s">
        <v>608</v>
      </c>
      <c r="B98" s="191"/>
      <c r="C98" s="191"/>
      <c r="D98" s="191"/>
      <c r="E98" s="191"/>
      <c r="F98" s="191"/>
      <c r="G98" s="191"/>
      <c r="H98" s="191"/>
      <c r="I98" s="191"/>
      <c r="J98" s="191"/>
      <c r="K98" s="191"/>
      <c r="L98" s="191"/>
      <c r="M98" s="191"/>
      <c r="N98" s="191"/>
      <c r="O98" s="191"/>
      <c r="P98" s="191"/>
      <c r="Q98" s="191"/>
      <c r="R98" s="191"/>
      <c r="S98" s="191"/>
      <c r="T98" s="191"/>
      <c r="U98" s="191"/>
      <c r="V98" s="191"/>
      <c r="W98" s="191"/>
      <c r="X98" s="191"/>
      <c r="Y98" s="191"/>
    </row>
    <row r="99" spans="1:41" ht="15" x14ac:dyDescent="0.25">
      <c r="A99" s="193" t="s">
        <v>0</v>
      </c>
      <c r="B99" s="194"/>
      <c r="C99" s="194"/>
      <c r="D99" s="194"/>
      <c r="E99" s="195" t="s">
        <v>1</v>
      </c>
      <c r="F99" s="195"/>
      <c r="G99" s="194"/>
      <c r="H99" s="194"/>
      <c r="I99" s="194"/>
      <c r="J99" s="77"/>
      <c r="K99" s="77"/>
      <c r="L99" s="194" t="s">
        <v>2</v>
      </c>
      <c r="M99" s="194"/>
      <c r="N99" s="194"/>
      <c r="O99" s="194" t="s">
        <v>3</v>
      </c>
      <c r="P99" s="194"/>
      <c r="Q99" s="194"/>
      <c r="R99" s="195" t="s">
        <v>4</v>
      </c>
      <c r="S99" s="197"/>
      <c r="T99" s="197"/>
      <c r="U99" s="197"/>
      <c r="V99" s="205"/>
      <c r="W99" s="19"/>
      <c r="X99" s="19"/>
      <c r="Y99" s="78"/>
    </row>
    <row r="100" spans="1:41" ht="15" x14ac:dyDescent="0.25">
      <c r="A100" s="79" t="s">
        <v>5</v>
      </c>
      <c r="B100" s="80" t="s">
        <v>6</v>
      </c>
      <c r="C100" s="80" t="s">
        <v>7</v>
      </c>
      <c r="D100" s="80" t="s">
        <v>8</v>
      </c>
      <c r="E100" s="80" t="s">
        <v>9</v>
      </c>
      <c r="F100" s="80" t="s">
        <v>10</v>
      </c>
      <c r="G100" s="80" t="s">
        <v>29</v>
      </c>
      <c r="H100" s="80" t="s">
        <v>30</v>
      </c>
      <c r="I100" s="80" t="s">
        <v>11</v>
      </c>
      <c r="J100" s="80" t="s">
        <v>12</v>
      </c>
      <c r="K100" s="80" t="s">
        <v>13</v>
      </c>
      <c r="L100" s="80" t="s">
        <v>14</v>
      </c>
      <c r="M100" s="80" t="s">
        <v>15</v>
      </c>
      <c r="N100" s="80" t="s">
        <v>16</v>
      </c>
      <c r="O100" s="80" t="s">
        <v>17</v>
      </c>
      <c r="P100" s="80" t="s">
        <v>18</v>
      </c>
      <c r="Q100" s="80" t="s">
        <v>19</v>
      </c>
      <c r="R100" s="196"/>
      <c r="S100" s="80" t="s">
        <v>20</v>
      </c>
      <c r="T100" s="80" t="s">
        <v>21</v>
      </c>
      <c r="U100" s="81" t="s">
        <v>20</v>
      </c>
      <c r="V100" s="82" t="s">
        <v>21</v>
      </c>
      <c r="W100" s="80" t="s">
        <v>22</v>
      </c>
      <c r="X100" s="80" t="s">
        <v>23</v>
      </c>
      <c r="Y100" s="80" t="s">
        <v>24</v>
      </c>
    </row>
    <row r="101" spans="1:41" s="1" customFormat="1" ht="24" customHeight="1" x14ac:dyDescent="0.3">
      <c r="A101" s="30">
        <v>1</v>
      </c>
      <c r="B101" s="31">
        <v>43483</v>
      </c>
      <c r="C101" s="21" t="s">
        <v>295</v>
      </c>
      <c r="D101" s="32" t="s">
        <v>296</v>
      </c>
      <c r="E101" s="32"/>
      <c r="F101" s="32"/>
      <c r="G101" s="33">
        <v>25</v>
      </c>
      <c r="H101" s="33">
        <v>75.02</v>
      </c>
      <c r="I101" s="14">
        <f t="shared" ref="I101:I109" si="28">G101+H101</f>
        <v>100.02</v>
      </c>
      <c r="J101" s="14">
        <f t="shared" ref="J101:J109" si="29">I101*13%</f>
        <v>13.002599999999999</v>
      </c>
      <c r="K101" s="14">
        <f t="shared" ref="K101:K109" si="30">I101-J101</f>
        <v>87.017399999999995</v>
      </c>
      <c r="L101" s="34">
        <v>10</v>
      </c>
      <c r="M101" s="34">
        <v>14</v>
      </c>
      <c r="N101" s="14">
        <f t="shared" ref="N101:N108" si="31">L101+M101</f>
        <v>24</v>
      </c>
      <c r="O101" s="22">
        <f t="shared" ref="O101:P108" si="32">G101-L101</f>
        <v>15</v>
      </c>
      <c r="P101" s="22">
        <f t="shared" si="32"/>
        <v>61.019999999999996</v>
      </c>
      <c r="Q101" s="14">
        <f t="shared" ref="Q101:Q108" si="33">O101+P101</f>
        <v>76.02</v>
      </c>
      <c r="R101" s="14">
        <f t="shared" ref="R101:R108" si="34">N101+Q101</f>
        <v>100.02</v>
      </c>
      <c r="S101" s="34"/>
      <c r="T101" s="35"/>
      <c r="U101" s="34"/>
      <c r="V101" s="207"/>
      <c r="W101" s="37"/>
      <c r="X101" s="24">
        <f t="shared" ref="X101:X108" si="35">S101+U101</f>
        <v>0</v>
      </c>
      <c r="Y101" s="24">
        <f t="shared" ref="Y101:Y108" si="36">R101-X101</f>
        <v>100.02</v>
      </c>
    </row>
    <row r="102" spans="1:41" s="1" customFormat="1" ht="27" x14ac:dyDescent="0.3">
      <c r="A102" s="30">
        <v>2</v>
      </c>
      <c r="B102" s="31">
        <v>43483</v>
      </c>
      <c r="C102" s="32" t="s">
        <v>297</v>
      </c>
      <c r="D102" s="32" t="s">
        <v>298</v>
      </c>
      <c r="E102" s="32" t="s">
        <v>299</v>
      </c>
      <c r="F102" s="32" t="s">
        <v>300</v>
      </c>
      <c r="G102" s="33">
        <v>200</v>
      </c>
      <c r="H102" s="33">
        <v>75</v>
      </c>
      <c r="I102" s="14">
        <f t="shared" si="28"/>
        <v>275</v>
      </c>
      <c r="J102" s="14">
        <f t="shared" si="29"/>
        <v>35.75</v>
      </c>
      <c r="K102" s="14">
        <f t="shared" si="30"/>
        <v>239.25</v>
      </c>
      <c r="L102" s="34">
        <v>45</v>
      </c>
      <c r="M102" s="34">
        <v>14</v>
      </c>
      <c r="N102" s="14">
        <f t="shared" si="31"/>
        <v>59</v>
      </c>
      <c r="O102" s="22">
        <f t="shared" si="32"/>
        <v>155</v>
      </c>
      <c r="P102" s="22">
        <f t="shared" si="32"/>
        <v>61</v>
      </c>
      <c r="Q102" s="14">
        <f t="shared" si="33"/>
        <v>216</v>
      </c>
      <c r="R102" s="14">
        <f t="shared" si="34"/>
        <v>275</v>
      </c>
      <c r="S102" s="34"/>
      <c r="T102" s="35"/>
      <c r="U102" s="34"/>
      <c r="V102" s="207"/>
      <c r="W102" s="37"/>
      <c r="X102" s="24">
        <f t="shared" si="35"/>
        <v>0</v>
      </c>
      <c r="Y102" s="24">
        <f t="shared" si="36"/>
        <v>275</v>
      </c>
    </row>
    <row r="103" spans="1:41" s="1" customFormat="1" ht="27" x14ac:dyDescent="0.3">
      <c r="A103" s="30">
        <v>3</v>
      </c>
      <c r="B103" s="31">
        <v>43484</v>
      </c>
      <c r="C103" s="32" t="s">
        <v>302</v>
      </c>
      <c r="D103" s="32" t="s">
        <v>303</v>
      </c>
      <c r="E103" s="32" t="s">
        <v>304</v>
      </c>
      <c r="F103" s="32" t="s">
        <v>300</v>
      </c>
      <c r="G103" s="33">
        <v>20</v>
      </c>
      <c r="H103" s="33">
        <v>60</v>
      </c>
      <c r="I103" s="14">
        <f t="shared" si="28"/>
        <v>80</v>
      </c>
      <c r="J103" s="14">
        <f t="shared" si="29"/>
        <v>10.4</v>
      </c>
      <c r="K103" s="14">
        <f t="shared" si="30"/>
        <v>69.599999999999994</v>
      </c>
      <c r="L103" s="34">
        <v>10</v>
      </c>
      <c r="M103" s="34">
        <v>14</v>
      </c>
      <c r="N103" s="14">
        <f t="shared" si="31"/>
        <v>24</v>
      </c>
      <c r="O103" s="22">
        <f t="shared" si="32"/>
        <v>10</v>
      </c>
      <c r="P103" s="22">
        <f t="shared" si="32"/>
        <v>46</v>
      </c>
      <c r="Q103" s="14">
        <f t="shared" si="33"/>
        <v>56</v>
      </c>
      <c r="R103" s="14">
        <f t="shared" si="34"/>
        <v>80</v>
      </c>
      <c r="S103" s="34"/>
      <c r="T103" s="35"/>
      <c r="U103" s="34"/>
      <c r="V103" s="207"/>
      <c r="W103" s="37"/>
      <c r="X103" s="24">
        <f t="shared" si="35"/>
        <v>0</v>
      </c>
      <c r="Y103" s="24">
        <f t="shared" si="36"/>
        <v>80</v>
      </c>
    </row>
    <row r="104" spans="1:41" s="1" customFormat="1" ht="27" x14ac:dyDescent="0.3">
      <c r="A104" s="30">
        <v>4</v>
      </c>
      <c r="B104" s="31">
        <v>43485</v>
      </c>
      <c r="C104" s="21" t="s">
        <v>306</v>
      </c>
      <c r="D104" s="32" t="s">
        <v>305</v>
      </c>
      <c r="E104" s="32" t="s">
        <v>307</v>
      </c>
      <c r="F104" s="32" t="s">
        <v>300</v>
      </c>
      <c r="G104" s="33">
        <v>25</v>
      </c>
      <c r="H104" s="33">
        <v>75</v>
      </c>
      <c r="I104" s="14">
        <f t="shared" si="28"/>
        <v>100</v>
      </c>
      <c r="J104" s="14">
        <f t="shared" si="29"/>
        <v>13</v>
      </c>
      <c r="K104" s="14">
        <f t="shared" si="30"/>
        <v>87</v>
      </c>
      <c r="L104" s="34">
        <v>10</v>
      </c>
      <c r="M104" s="34">
        <v>14</v>
      </c>
      <c r="N104" s="14">
        <f t="shared" si="31"/>
        <v>24</v>
      </c>
      <c r="O104" s="22">
        <f t="shared" si="32"/>
        <v>15</v>
      </c>
      <c r="P104" s="22">
        <f t="shared" si="32"/>
        <v>61</v>
      </c>
      <c r="Q104" s="14">
        <f t="shared" si="33"/>
        <v>76</v>
      </c>
      <c r="R104" s="14">
        <f t="shared" si="34"/>
        <v>100</v>
      </c>
      <c r="S104" s="34"/>
      <c r="T104" s="35"/>
      <c r="U104" s="34"/>
      <c r="V104" s="207"/>
      <c r="W104" s="37"/>
      <c r="X104" s="24">
        <f t="shared" si="35"/>
        <v>0</v>
      </c>
      <c r="Y104" s="24">
        <f t="shared" si="36"/>
        <v>100</v>
      </c>
    </row>
    <row r="105" spans="1:41" s="1" customFormat="1" ht="20.25" customHeight="1" x14ac:dyDescent="0.3">
      <c r="A105" s="30">
        <v>5</v>
      </c>
      <c r="B105" s="31">
        <v>43493</v>
      </c>
      <c r="C105" s="32" t="s">
        <v>308</v>
      </c>
      <c r="D105" s="32" t="s">
        <v>309</v>
      </c>
      <c r="E105" s="32" t="s">
        <v>326</v>
      </c>
      <c r="F105" s="32" t="s">
        <v>325</v>
      </c>
      <c r="G105" s="33">
        <v>180</v>
      </c>
      <c r="H105" s="33">
        <f>175</f>
        <v>175</v>
      </c>
      <c r="I105" s="14">
        <f t="shared" si="28"/>
        <v>355</v>
      </c>
      <c r="J105" s="14">
        <f t="shared" si="29"/>
        <v>46.15</v>
      </c>
      <c r="K105" s="14">
        <f t="shared" si="30"/>
        <v>308.85000000000002</v>
      </c>
      <c r="L105" s="34">
        <v>45</v>
      </c>
      <c r="M105" s="34">
        <v>64</v>
      </c>
      <c r="N105" s="14">
        <f t="shared" si="31"/>
        <v>109</v>
      </c>
      <c r="O105" s="22">
        <f t="shared" si="32"/>
        <v>135</v>
      </c>
      <c r="P105" s="22">
        <f t="shared" si="32"/>
        <v>111</v>
      </c>
      <c r="Q105" s="14">
        <f t="shared" si="33"/>
        <v>246</v>
      </c>
      <c r="R105" s="14">
        <f t="shared" si="34"/>
        <v>355</v>
      </c>
      <c r="S105" s="34"/>
      <c r="T105" s="35"/>
      <c r="U105" s="34"/>
      <c r="V105" s="207"/>
      <c r="W105" s="37"/>
      <c r="X105" s="24">
        <f t="shared" si="35"/>
        <v>0</v>
      </c>
      <c r="Y105" s="24">
        <f t="shared" si="36"/>
        <v>355</v>
      </c>
    </row>
    <row r="106" spans="1:41" s="1" customFormat="1" ht="20.25" customHeight="1" x14ac:dyDescent="0.3">
      <c r="A106" s="30">
        <v>6</v>
      </c>
      <c r="B106" s="31">
        <v>43495</v>
      </c>
      <c r="C106" s="32" t="s">
        <v>310</v>
      </c>
      <c r="D106" s="32" t="s">
        <v>311</v>
      </c>
      <c r="E106" s="32" t="s">
        <v>312</v>
      </c>
      <c r="F106" s="32" t="s">
        <v>318</v>
      </c>
      <c r="G106" s="33">
        <v>100</v>
      </c>
      <c r="H106" s="33">
        <v>130.04</v>
      </c>
      <c r="I106" s="14">
        <f t="shared" si="28"/>
        <v>230.04</v>
      </c>
      <c r="J106" s="14">
        <f t="shared" si="29"/>
        <v>29.905200000000001</v>
      </c>
      <c r="K106" s="14">
        <f t="shared" si="30"/>
        <v>200.13479999999998</v>
      </c>
      <c r="L106" s="34">
        <v>45</v>
      </c>
      <c r="M106" s="34">
        <v>78.709999999999994</v>
      </c>
      <c r="N106" s="14">
        <f t="shared" si="31"/>
        <v>123.71</v>
      </c>
      <c r="O106" s="22">
        <f t="shared" si="32"/>
        <v>55</v>
      </c>
      <c r="P106" s="22">
        <f t="shared" si="32"/>
        <v>51.33</v>
      </c>
      <c r="Q106" s="14">
        <f t="shared" si="33"/>
        <v>106.33</v>
      </c>
      <c r="R106" s="14">
        <f t="shared" si="34"/>
        <v>230.04</v>
      </c>
      <c r="S106" s="34"/>
      <c r="T106" s="35"/>
      <c r="U106" s="34"/>
      <c r="V106" s="207"/>
      <c r="W106" s="37"/>
      <c r="X106" s="24">
        <f t="shared" si="35"/>
        <v>0</v>
      </c>
      <c r="Y106" s="24">
        <f t="shared" si="36"/>
        <v>230.04</v>
      </c>
    </row>
    <row r="107" spans="1:41" s="1" customFormat="1" ht="27" x14ac:dyDescent="0.3">
      <c r="A107" s="30">
        <v>7</v>
      </c>
      <c r="B107" s="31">
        <v>43495</v>
      </c>
      <c r="C107" s="32" t="s">
        <v>313</v>
      </c>
      <c r="D107" s="32" t="s">
        <v>314</v>
      </c>
      <c r="E107" s="32" t="s">
        <v>315</v>
      </c>
      <c r="F107" s="32" t="s">
        <v>316</v>
      </c>
      <c r="G107" s="33">
        <v>75</v>
      </c>
      <c r="H107" s="33">
        <v>100</v>
      </c>
      <c r="I107" s="14">
        <f t="shared" si="28"/>
        <v>175</v>
      </c>
      <c r="J107" s="14">
        <f t="shared" si="29"/>
        <v>22.75</v>
      </c>
      <c r="K107" s="14">
        <f t="shared" si="30"/>
        <v>152.25</v>
      </c>
      <c r="L107" s="34">
        <v>10</v>
      </c>
      <c r="M107" s="34">
        <v>33</v>
      </c>
      <c r="N107" s="14">
        <f t="shared" si="31"/>
        <v>43</v>
      </c>
      <c r="O107" s="22">
        <f t="shared" si="32"/>
        <v>65</v>
      </c>
      <c r="P107" s="22">
        <f t="shared" si="32"/>
        <v>67</v>
      </c>
      <c r="Q107" s="14">
        <f t="shared" si="33"/>
        <v>132</v>
      </c>
      <c r="R107" s="14">
        <f t="shared" si="34"/>
        <v>175</v>
      </c>
      <c r="S107" s="34"/>
      <c r="T107" s="35"/>
      <c r="U107" s="34"/>
      <c r="V107" s="207"/>
      <c r="W107" s="37"/>
      <c r="X107" s="24">
        <f t="shared" si="35"/>
        <v>0</v>
      </c>
      <c r="Y107" s="24">
        <f t="shared" si="36"/>
        <v>175</v>
      </c>
    </row>
    <row r="108" spans="1:41" s="1" customFormat="1" ht="40.5" x14ac:dyDescent="0.3">
      <c r="A108" s="30">
        <v>8</v>
      </c>
      <c r="B108" s="31">
        <v>43496</v>
      </c>
      <c r="C108" s="32" t="s">
        <v>319</v>
      </c>
      <c r="D108" s="32" t="s">
        <v>317</v>
      </c>
      <c r="E108" s="32" t="s">
        <v>320</v>
      </c>
      <c r="F108" s="32" t="s">
        <v>321</v>
      </c>
      <c r="G108" s="33">
        <v>400</v>
      </c>
      <c r="H108" s="33">
        <v>150</v>
      </c>
      <c r="I108" s="14">
        <f t="shared" si="28"/>
        <v>550</v>
      </c>
      <c r="J108" s="14">
        <f t="shared" si="29"/>
        <v>71.5</v>
      </c>
      <c r="K108" s="14">
        <f t="shared" si="30"/>
        <v>478.5</v>
      </c>
      <c r="L108" s="34">
        <v>45</v>
      </c>
      <c r="M108" s="34">
        <f>14+14</f>
        <v>28</v>
      </c>
      <c r="N108" s="14">
        <f t="shared" si="31"/>
        <v>73</v>
      </c>
      <c r="O108" s="22">
        <f t="shared" si="32"/>
        <v>355</v>
      </c>
      <c r="P108" s="22">
        <f t="shared" si="32"/>
        <v>122</v>
      </c>
      <c r="Q108" s="14">
        <f t="shared" si="33"/>
        <v>477</v>
      </c>
      <c r="R108" s="14">
        <f t="shared" si="34"/>
        <v>550</v>
      </c>
      <c r="S108" s="34"/>
      <c r="T108" s="35"/>
      <c r="U108" s="34"/>
      <c r="V108" s="207"/>
      <c r="W108" s="37"/>
      <c r="X108" s="24">
        <f t="shared" si="35"/>
        <v>0</v>
      </c>
      <c r="Y108" s="24">
        <f t="shared" si="36"/>
        <v>550</v>
      </c>
    </row>
    <row r="109" spans="1:41" ht="27" x14ac:dyDescent="0.3">
      <c r="A109" s="30">
        <v>9</v>
      </c>
      <c r="B109" s="31">
        <v>43496</v>
      </c>
      <c r="C109" s="32" t="s">
        <v>322</v>
      </c>
      <c r="D109" s="32" t="s">
        <v>323</v>
      </c>
      <c r="E109" s="32" t="s">
        <v>324</v>
      </c>
      <c r="F109" s="32" t="s">
        <v>271</v>
      </c>
      <c r="G109" s="33">
        <v>200</v>
      </c>
      <c r="H109" s="33">
        <v>175</v>
      </c>
      <c r="I109" s="14">
        <f t="shared" si="28"/>
        <v>375</v>
      </c>
      <c r="J109" s="14">
        <f t="shared" si="29"/>
        <v>48.75</v>
      </c>
      <c r="K109" s="14">
        <f t="shared" si="30"/>
        <v>326.25</v>
      </c>
      <c r="L109" s="34">
        <v>45</v>
      </c>
      <c r="M109" s="34">
        <v>64</v>
      </c>
      <c r="N109" s="14">
        <f t="shared" ref="N109:N117" si="37">L109+M109</f>
        <v>109</v>
      </c>
      <c r="O109" s="22">
        <f t="shared" ref="O109:O117" si="38">G109-L109</f>
        <v>155</v>
      </c>
      <c r="P109" s="22">
        <f t="shared" ref="P109:P117" si="39">H109-M109</f>
        <v>111</v>
      </c>
      <c r="Q109" s="14">
        <f t="shared" ref="Q109:Q117" si="40">O109+P109</f>
        <v>266</v>
      </c>
      <c r="R109" s="14">
        <f t="shared" ref="R109:R117" si="41">N109+Q109</f>
        <v>375</v>
      </c>
      <c r="S109" s="34"/>
      <c r="T109" s="35"/>
      <c r="U109" s="34"/>
      <c r="V109" s="207"/>
      <c r="W109" s="37"/>
      <c r="X109" s="24">
        <f t="shared" ref="X109:X117" si="42">S109+U109</f>
        <v>0</v>
      </c>
      <c r="Y109" s="24">
        <f t="shared" ref="Y109:Y117" si="43">R109-X109</f>
        <v>375</v>
      </c>
    </row>
    <row r="110" spans="1:41" s="56" customFormat="1" ht="18.75" customHeight="1" x14ac:dyDescent="0.25">
      <c r="A110" s="50"/>
      <c r="B110" s="52"/>
      <c r="C110" s="53"/>
      <c r="D110" s="53"/>
      <c r="E110" s="53"/>
      <c r="F110" s="53"/>
      <c r="G110" s="54">
        <f t="shared" ref="G110:M110" si="44">SUM(G101:G109)</f>
        <v>1225</v>
      </c>
      <c r="H110" s="54">
        <f t="shared" si="44"/>
        <v>1015.06</v>
      </c>
      <c r="I110" s="48">
        <f t="shared" si="44"/>
        <v>2240.06</v>
      </c>
      <c r="J110" s="48">
        <f t="shared" si="44"/>
        <v>291.20780000000002</v>
      </c>
      <c r="K110" s="48">
        <f t="shared" si="44"/>
        <v>1948.8522</v>
      </c>
      <c r="L110" s="48">
        <f t="shared" si="44"/>
        <v>265</v>
      </c>
      <c r="M110" s="48">
        <f t="shared" si="44"/>
        <v>323.70999999999998</v>
      </c>
      <c r="N110" s="48">
        <f t="shared" si="37"/>
        <v>588.71</v>
      </c>
      <c r="O110" s="48">
        <f t="shared" si="38"/>
        <v>960</v>
      </c>
      <c r="P110" s="48">
        <f t="shared" si="39"/>
        <v>691.34999999999991</v>
      </c>
      <c r="Q110" s="48">
        <f t="shared" si="40"/>
        <v>1651.35</v>
      </c>
      <c r="R110" s="48">
        <f t="shared" si="41"/>
        <v>2240.06</v>
      </c>
      <c r="S110" s="48"/>
      <c r="T110" s="49"/>
      <c r="U110" s="48"/>
      <c r="V110" s="49"/>
      <c r="W110" s="50"/>
      <c r="X110" s="51">
        <f t="shared" si="42"/>
        <v>0</v>
      </c>
      <c r="Y110" s="51">
        <f t="shared" si="43"/>
        <v>2240.06</v>
      </c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</row>
    <row r="111" spans="1:41" s="100" customFormat="1" ht="27.75" customHeight="1" x14ac:dyDescent="0.25">
      <c r="A111" s="191" t="s">
        <v>327</v>
      </c>
      <c r="B111" s="191"/>
      <c r="C111" s="191"/>
      <c r="D111" s="191"/>
      <c r="E111" s="191"/>
      <c r="F111" s="191"/>
      <c r="G111" s="191"/>
      <c r="H111" s="191"/>
      <c r="I111" s="191"/>
      <c r="J111" s="191"/>
      <c r="K111" s="191"/>
      <c r="L111" s="191"/>
      <c r="M111" s="191"/>
      <c r="N111" s="191"/>
      <c r="O111" s="191"/>
      <c r="P111" s="191"/>
      <c r="Q111" s="191"/>
      <c r="R111" s="191"/>
      <c r="S111" s="191"/>
      <c r="T111" s="191"/>
      <c r="U111" s="191"/>
      <c r="V111" s="191"/>
      <c r="W111" s="191"/>
      <c r="X111" s="191"/>
      <c r="Y111" s="191"/>
      <c r="Z111" s="101"/>
      <c r="AA111" s="101"/>
      <c r="AB111" s="101"/>
      <c r="AC111" s="101"/>
      <c r="AD111" s="101"/>
      <c r="AE111" s="101"/>
      <c r="AF111" s="101"/>
      <c r="AG111" s="101"/>
      <c r="AH111" s="101"/>
      <c r="AI111" s="101"/>
      <c r="AJ111" s="101"/>
      <c r="AK111" s="101"/>
      <c r="AL111" s="101"/>
      <c r="AM111" s="101"/>
      <c r="AN111" s="101"/>
      <c r="AO111" s="101"/>
    </row>
    <row r="112" spans="1:41" ht="15" x14ac:dyDescent="0.25">
      <c r="A112" s="193" t="s">
        <v>0</v>
      </c>
      <c r="B112" s="194"/>
      <c r="C112" s="194"/>
      <c r="D112" s="194"/>
      <c r="E112" s="195" t="s">
        <v>1</v>
      </c>
      <c r="F112" s="195"/>
      <c r="G112" s="194"/>
      <c r="H112" s="194"/>
      <c r="I112" s="194"/>
      <c r="J112" s="77"/>
      <c r="K112" s="77"/>
      <c r="L112" s="194" t="s">
        <v>2</v>
      </c>
      <c r="M112" s="194"/>
      <c r="N112" s="194"/>
      <c r="O112" s="194" t="s">
        <v>3</v>
      </c>
      <c r="P112" s="194"/>
      <c r="Q112" s="194"/>
      <c r="R112" s="195" t="s">
        <v>4</v>
      </c>
      <c r="S112" s="197"/>
      <c r="T112" s="197"/>
      <c r="U112" s="197"/>
      <c r="V112" s="205"/>
      <c r="W112" s="19"/>
      <c r="X112" s="19"/>
      <c r="Y112" s="7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</row>
    <row r="113" spans="1:41" ht="15" x14ac:dyDescent="0.25">
      <c r="A113" s="79" t="s">
        <v>5</v>
      </c>
      <c r="B113" s="80" t="s">
        <v>6</v>
      </c>
      <c r="C113" s="80" t="s">
        <v>7</v>
      </c>
      <c r="D113" s="80" t="s">
        <v>333</v>
      </c>
      <c r="E113" s="80" t="s">
        <v>9</v>
      </c>
      <c r="F113" s="80" t="s">
        <v>10</v>
      </c>
      <c r="G113" s="80" t="s">
        <v>29</v>
      </c>
      <c r="H113" s="80" t="s">
        <v>30</v>
      </c>
      <c r="I113" s="80" t="s">
        <v>11</v>
      </c>
      <c r="J113" s="80" t="s">
        <v>12</v>
      </c>
      <c r="K113" s="80" t="s">
        <v>13</v>
      </c>
      <c r="L113" s="80" t="s">
        <v>14</v>
      </c>
      <c r="M113" s="80" t="s">
        <v>15</v>
      </c>
      <c r="N113" s="80" t="s">
        <v>16</v>
      </c>
      <c r="O113" s="80" t="s">
        <v>17</v>
      </c>
      <c r="P113" s="80" t="s">
        <v>18</v>
      </c>
      <c r="Q113" s="80" t="s">
        <v>19</v>
      </c>
      <c r="R113" s="196"/>
      <c r="S113" s="80" t="s">
        <v>20</v>
      </c>
      <c r="T113" s="80" t="s">
        <v>21</v>
      </c>
      <c r="U113" s="81" t="s">
        <v>20</v>
      </c>
      <c r="V113" s="82" t="s">
        <v>21</v>
      </c>
      <c r="W113" s="80" t="s">
        <v>22</v>
      </c>
      <c r="X113" s="80" t="s">
        <v>23</v>
      </c>
      <c r="Y113" s="80" t="s">
        <v>24</v>
      </c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</row>
    <row r="114" spans="1:41" s="1" customFormat="1" ht="22.5" customHeight="1" x14ac:dyDescent="0.15">
      <c r="A114" s="96">
        <v>3</v>
      </c>
      <c r="B114" s="83">
        <v>43467</v>
      </c>
      <c r="C114" s="99" t="s">
        <v>358</v>
      </c>
      <c r="D114" s="23" t="s">
        <v>366</v>
      </c>
      <c r="E114" s="23" t="s">
        <v>365</v>
      </c>
      <c r="F114" s="23" t="s">
        <v>337</v>
      </c>
      <c r="G114" s="22">
        <v>120</v>
      </c>
      <c r="H114" s="22">
        <v>280</v>
      </c>
      <c r="I114" s="14">
        <f>G114+H114</f>
        <v>400</v>
      </c>
      <c r="J114" s="14">
        <f>I114*13%</f>
        <v>52</v>
      </c>
      <c r="K114" s="14">
        <f>I114-J114</f>
        <v>348</v>
      </c>
      <c r="L114" s="22">
        <v>45</v>
      </c>
      <c r="M114" s="22">
        <v>128.93</v>
      </c>
      <c r="N114" s="14">
        <f>L114+M114</f>
        <v>173.93</v>
      </c>
      <c r="O114" s="22">
        <f>G114-L114</f>
        <v>75</v>
      </c>
      <c r="P114" s="22">
        <f>H114-M114</f>
        <v>151.07</v>
      </c>
      <c r="Q114" s="14">
        <f>O114+P114</f>
        <v>226.07</v>
      </c>
      <c r="R114" s="14">
        <f>N114+Q114</f>
        <v>400</v>
      </c>
      <c r="S114" s="22"/>
      <c r="T114" s="96"/>
      <c r="U114" s="22"/>
      <c r="V114" s="206"/>
      <c r="W114" s="85"/>
      <c r="X114" s="97">
        <f>S114+U114</f>
        <v>0</v>
      </c>
      <c r="Y114" s="98">
        <f>R114-X114</f>
        <v>400</v>
      </c>
    </row>
    <row r="115" spans="1:41" ht="22.5" customHeight="1" x14ac:dyDescent="0.3">
      <c r="A115" s="30">
        <v>1</v>
      </c>
      <c r="B115" s="31">
        <v>43468</v>
      </c>
      <c r="C115" s="21" t="s">
        <v>335</v>
      </c>
      <c r="D115" s="32" t="s">
        <v>334</v>
      </c>
      <c r="E115" s="59" t="s">
        <v>336</v>
      </c>
      <c r="F115" s="59" t="s">
        <v>337</v>
      </c>
      <c r="G115" s="33">
        <v>30</v>
      </c>
      <c r="H115" s="33">
        <f>75+225</f>
        <v>300</v>
      </c>
      <c r="I115" s="14">
        <f>G115+H115</f>
        <v>330</v>
      </c>
      <c r="J115" s="14">
        <f>I115*13%</f>
        <v>42.9</v>
      </c>
      <c r="K115" s="14">
        <f>I115-J115</f>
        <v>287.10000000000002</v>
      </c>
      <c r="L115" s="34">
        <v>10</v>
      </c>
      <c r="M115" s="34">
        <v>128.93</v>
      </c>
      <c r="N115" s="14">
        <f t="shared" si="37"/>
        <v>138.93</v>
      </c>
      <c r="O115" s="22">
        <f t="shared" si="38"/>
        <v>20</v>
      </c>
      <c r="P115" s="22">
        <f t="shared" si="39"/>
        <v>171.07</v>
      </c>
      <c r="Q115" s="14">
        <f t="shared" si="40"/>
        <v>191.07</v>
      </c>
      <c r="R115" s="14">
        <f t="shared" si="41"/>
        <v>330</v>
      </c>
      <c r="S115" s="34"/>
      <c r="T115" s="35"/>
      <c r="U115" s="34"/>
      <c r="V115" s="207"/>
      <c r="W115" s="37"/>
      <c r="X115" s="24">
        <f t="shared" si="42"/>
        <v>0</v>
      </c>
      <c r="Y115" s="24">
        <f t="shared" si="43"/>
        <v>330</v>
      </c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</row>
    <row r="116" spans="1:41" x14ac:dyDescent="0.3">
      <c r="A116" s="30">
        <v>2</v>
      </c>
      <c r="B116" s="31">
        <v>43473</v>
      </c>
      <c r="C116" s="21" t="s">
        <v>338</v>
      </c>
      <c r="D116" s="32" t="s">
        <v>339</v>
      </c>
      <c r="E116" s="59" t="s">
        <v>340</v>
      </c>
      <c r="F116" s="59" t="s">
        <v>341</v>
      </c>
      <c r="G116" s="33">
        <v>180</v>
      </c>
      <c r="H116" s="33">
        <v>75</v>
      </c>
      <c r="I116" s="14">
        <f>G116+H116</f>
        <v>255</v>
      </c>
      <c r="J116" s="14">
        <f>I116*13%</f>
        <v>33.15</v>
      </c>
      <c r="K116" s="14">
        <f>I116-J116</f>
        <v>221.85</v>
      </c>
      <c r="L116" s="34">
        <v>45</v>
      </c>
      <c r="M116" s="34">
        <v>14</v>
      </c>
      <c r="N116" s="14">
        <f t="shared" si="37"/>
        <v>59</v>
      </c>
      <c r="O116" s="22">
        <f t="shared" si="38"/>
        <v>135</v>
      </c>
      <c r="P116" s="22">
        <f t="shared" si="39"/>
        <v>61</v>
      </c>
      <c r="Q116" s="14">
        <f t="shared" si="40"/>
        <v>196</v>
      </c>
      <c r="R116" s="14">
        <f t="shared" si="41"/>
        <v>255</v>
      </c>
      <c r="S116" s="34"/>
      <c r="T116" s="35"/>
      <c r="U116" s="34"/>
      <c r="V116" s="207"/>
      <c r="W116" s="37"/>
      <c r="X116" s="24">
        <f t="shared" si="42"/>
        <v>0</v>
      </c>
      <c r="Y116" s="24">
        <f t="shared" si="43"/>
        <v>255</v>
      </c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</row>
    <row r="117" spans="1:41" x14ac:dyDescent="0.3">
      <c r="A117" s="30">
        <v>3</v>
      </c>
      <c r="B117" s="31">
        <v>43473</v>
      </c>
      <c r="C117" s="21" t="s">
        <v>342</v>
      </c>
      <c r="D117" s="32" t="s">
        <v>339</v>
      </c>
      <c r="E117" s="59" t="s">
        <v>343</v>
      </c>
      <c r="F117" s="59" t="s">
        <v>344</v>
      </c>
      <c r="G117" s="33">
        <v>145</v>
      </c>
      <c r="H117" s="33">
        <v>135</v>
      </c>
      <c r="I117" s="14">
        <f>G117+H117</f>
        <v>280</v>
      </c>
      <c r="J117" s="14">
        <f>I117*13%</f>
        <v>36.4</v>
      </c>
      <c r="K117" s="14">
        <f>I117-J117</f>
        <v>243.6</v>
      </c>
      <c r="L117" s="34">
        <v>35</v>
      </c>
      <c r="M117" s="34">
        <v>43.71</v>
      </c>
      <c r="N117" s="14">
        <f t="shared" si="37"/>
        <v>78.710000000000008</v>
      </c>
      <c r="O117" s="22">
        <f t="shared" si="38"/>
        <v>110</v>
      </c>
      <c r="P117" s="22">
        <f t="shared" si="39"/>
        <v>91.289999999999992</v>
      </c>
      <c r="Q117" s="14">
        <f t="shared" si="40"/>
        <v>201.29</v>
      </c>
      <c r="R117" s="14">
        <f t="shared" si="41"/>
        <v>280</v>
      </c>
      <c r="S117" s="34"/>
      <c r="T117" s="35"/>
      <c r="U117" s="34"/>
      <c r="V117" s="207"/>
      <c r="W117" s="37"/>
      <c r="X117" s="24">
        <f t="shared" si="42"/>
        <v>0</v>
      </c>
      <c r="Y117" s="24">
        <f t="shared" si="43"/>
        <v>280</v>
      </c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</row>
    <row r="118" spans="1:41" x14ac:dyDescent="0.3">
      <c r="A118" s="30">
        <v>4</v>
      </c>
      <c r="B118" s="31">
        <v>43477</v>
      </c>
      <c r="C118" s="21" t="s">
        <v>346</v>
      </c>
      <c r="D118" s="32" t="s">
        <v>339</v>
      </c>
      <c r="E118" s="59" t="s">
        <v>345</v>
      </c>
      <c r="F118" s="59" t="s">
        <v>271</v>
      </c>
      <c r="G118" s="33">
        <v>40</v>
      </c>
      <c r="H118" s="33">
        <v>200</v>
      </c>
      <c r="I118" s="14">
        <f t="shared" ref="I118:I123" si="45">G118+H118</f>
        <v>240</v>
      </c>
      <c r="J118" s="14">
        <f t="shared" ref="J118:J124" si="46">I118*13%</f>
        <v>31.200000000000003</v>
      </c>
      <c r="K118" s="14">
        <f t="shared" ref="K118:K123" si="47">I118-J118</f>
        <v>208.8</v>
      </c>
      <c r="L118" s="34">
        <v>10</v>
      </c>
      <c r="M118" s="34">
        <v>64</v>
      </c>
      <c r="N118" s="14">
        <f t="shared" ref="N118:N123" si="48">L118+M118</f>
        <v>74</v>
      </c>
      <c r="O118" s="22">
        <f t="shared" ref="O118:O123" si="49">G118-L118</f>
        <v>30</v>
      </c>
      <c r="P118" s="22">
        <f t="shared" ref="P118:P123" si="50">H118-M118</f>
        <v>136</v>
      </c>
      <c r="Q118" s="14">
        <f t="shared" ref="Q118:Q123" si="51">O118+P118</f>
        <v>166</v>
      </c>
      <c r="R118" s="14">
        <f t="shared" ref="R118:R123" si="52">N118+Q118</f>
        <v>240</v>
      </c>
      <c r="S118" s="34"/>
      <c r="T118" s="35"/>
      <c r="U118" s="34"/>
      <c r="V118" s="207"/>
      <c r="W118" s="37"/>
      <c r="X118" s="24">
        <f t="shared" ref="X118:X125" si="53">S118+U118</f>
        <v>0</v>
      </c>
      <c r="Y118" s="24">
        <f t="shared" ref="Y118:Y125" si="54">R118-X118</f>
        <v>240</v>
      </c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</row>
    <row r="119" spans="1:41" x14ac:dyDescent="0.3">
      <c r="A119" s="30">
        <v>5</v>
      </c>
      <c r="B119" s="31">
        <v>43481</v>
      </c>
      <c r="C119" s="21" t="s">
        <v>347</v>
      </c>
      <c r="D119" s="32" t="s">
        <v>348</v>
      </c>
      <c r="E119" s="59" t="s">
        <v>349</v>
      </c>
      <c r="F119" s="59" t="s">
        <v>219</v>
      </c>
      <c r="G119" s="33">
        <v>200</v>
      </c>
      <c r="H119" s="33">
        <v>140</v>
      </c>
      <c r="I119" s="14">
        <f t="shared" si="45"/>
        <v>340</v>
      </c>
      <c r="J119" s="14">
        <f t="shared" si="46"/>
        <v>44.2</v>
      </c>
      <c r="K119" s="14">
        <f t="shared" si="47"/>
        <v>295.8</v>
      </c>
      <c r="L119" s="34">
        <v>45</v>
      </c>
      <c r="M119" s="34">
        <v>14</v>
      </c>
      <c r="N119" s="14">
        <f t="shared" si="48"/>
        <v>59</v>
      </c>
      <c r="O119" s="22">
        <f t="shared" si="49"/>
        <v>155</v>
      </c>
      <c r="P119" s="22">
        <f t="shared" si="50"/>
        <v>126</v>
      </c>
      <c r="Q119" s="14">
        <f t="shared" si="51"/>
        <v>281</v>
      </c>
      <c r="R119" s="14">
        <f t="shared" si="52"/>
        <v>340</v>
      </c>
      <c r="S119" s="34"/>
      <c r="T119" s="35"/>
      <c r="U119" s="34"/>
      <c r="V119" s="207"/>
      <c r="W119" s="37"/>
      <c r="X119" s="24">
        <f t="shared" si="53"/>
        <v>0</v>
      </c>
      <c r="Y119" s="24">
        <f t="shared" si="54"/>
        <v>340</v>
      </c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</row>
    <row r="120" spans="1:41" ht="18.75" customHeight="1" x14ac:dyDescent="0.3">
      <c r="A120" s="30">
        <v>6</v>
      </c>
      <c r="B120" s="31">
        <v>43481</v>
      </c>
      <c r="C120" s="21" t="s">
        <v>350</v>
      </c>
      <c r="D120" s="32" t="s">
        <v>351</v>
      </c>
      <c r="E120" s="59" t="s">
        <v>63</v>
      </c>
      <c r="F120" s="59" t="s">
        <v>352</v>
      </c>
      <c r="G120" s="33"/>
      <c r="H120" s="33">
        <v>210</v>
      </c>
      <c r="I120" s="14">
        <f t="shared" si="45"/>
        <v>210</v>
      </c>
      <c r="J120" s="14">
        <f t="shared" si="46"/>
        <v>27.3</v>
      </c>
      <c r="K120" s="14">
        <f t="shared" si="47"/>
        <v>182.7</v>
      </c>
      <c r="L120" s="34"/>
      <c r="M120" s="34">
        <v>14</v>
      </c>
      <c r="N120" s="14">
        <f t="shared" si="48"/>
        <v>14</v>
      </c>
      <c r="O120" s="22">
        <f t="shared" si="49"/>
        <v>0</v>
      </c>
      <c r="P120" s="22">
        <f t="shared" si="50"/>
        <v>196</v>
      </c>
      <c r="Q120" s="14">
        <f t="shared" si="51"/>
        <v>196</v>
      </c>
      <c r="R120" s="14">
        <f t="shared" si="52"/>
        <v>210</v>
      </c>
      <c r="S120" s="34"/>
      <c r="T120" s="35"/>
      <c r="U120" s="34"/>
      <c r="V120" s="207"/>
      <c r="W120" s="37"/>
      <c r="X120" s="24">
        <f t="shared" si="53"/>
        <v>0</v>
      </c>
      <c r="Y120" s="24">
        <f t="shared" si="54"/>
        <v>210</v>
      </c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</row>
    <row r="121" spans="1:41" s="2" customFormat="1" ht="29.25" customHeight="1" x14ac:dyDescent="0.25">
      <c r="A121" s="36">
        <v>9</v>
      </c>
      <c r="B121" s="87">
        <v>43785</v>
      </c>
      <c r="C121" s="99" t="s">
        <v>359</v>
      </c>
      <c r="D121" s="35" t="s">
        <v>348</v>
      </c>
      <c r="E121" s="35" t="s">
        <v>360</v>
      </c>
      <c r="F121" s="35" t="s">
        <v>361</v>
      </c>
      <c r="G121" s="34">
        <v>220</v>
      </c>
      <c r="H121" s="34">
        <v>120</v>
      </c>
      <c r="I121" s="14">
        <f>G121+H121</f>
        <v>340</v>
      </c>
      <c r="J121" s="14">
        <f>I121*13%</f>
        <v>44.2</v>
      </c>
      <c r="K121" s="14">
        <f>I121-J121</f>
        <v>295.8</v>
      </c>
      <c r="L121" s="34">
        <v>45</v>
      </c>
      <c r="M121" s="34">
        <v>14</v>
      </c>
      <c r="N121" s="14">
        <f>L121+M121</f>
        <v>59</v>
      </c>
      <c r="O121" s="22">
        <f>G121-L121</f>
        <v>175</v>
      </c>
      <c r="P121" s="22">
        <f>H121-M121</f>
        <v>106</v>
      </c>
      <c r="Q121" s="14">
        <f>O121+P121</f>
        <v>281</v>
      </c>
      <c r="R121" s="14">
        <f>N121+Q121</f>
        <v>340</v>
      </c>
      <c r="S121" s="34"/>
      <c r="T121" s="36"/>
      <c r="U121" s="34"/>
      <c r="V121" s="207"/>
      <c r="W121" s="37"/>
      <c r="X121" s="97">
        <f>S121+U121</f>
        <v>0</v>
      </c>
      <c r="Y121" s="97">
        <f>R121-X121</f>
        <v>340</v>
      </c>
    </row>
    <row r="122" spans="1:41" s="2" customFormat="1" ht="42" customHeight="1" x14ac:dyDescent="0.25">
      <c r="A122" s="36">
        <v>7</v>
      </c>
      <c r="B122" s="83">
        <v>43479</v>
      </c>
      <c r="C122" s="99" t="s">
        <v>362</v>
      </c>
      <c r="D122" s="35" t="s">
        <v>363</v>
      </c>
      <c r="E122" s="35" t="s">
        <v>368</v>
      </c>
      <c r="F122" s="35" t="s">
        <v>367</v>
      </c>
      <c r="G122" s="34">
        <v>40</v>
      </c>
      <c r="H122" s="34">
        <v>350</v>
      </c>
      <c r="I122" s="14">
        <f>G122+H122</f>
        <v>390</v>
      </c>
      <c r="J122" s="14">
        <f>I122*13%</f>
        <v>50.7</v>
      </c>
      <c r="K122" s="14">
        <f>I122-J122</f>
        <v>339.3</v>
      </c>
      <c r="L122" s="34">
        <v>45</v>
      </c>
      <c r="M122" s="34">
        <f>70+14</f>
        <v>84</v>
      </c>
      <c r="N122" s="14">
        <f>L122+M122</f>
        <v>129</v>
      </c>
      <c r="O122" s="22">
        <f>G122-L122</f>
        <v>-5</v>
      </c>
      <c r="P122" s="22">
        <f>H122-M122</f>
        <v>266</v>
      </c>
      <c r="Q122" s="14">
        <f>O122+P122</f>
        <v>261</v>
      </c>
      <c r="R122" s="14">
        <f>N122+Q122</f>
        <v>390</v>
      </c>
      <c r="S122" s="34"/>
      <c r="T122" s="36"/>
      <c r="U122" s="34"/>
      <c r="V122" s="207"/>
      <c r="W122" s="37"/>
      <c r="X122" s="97">
        <f>S122+U122</f>
        <v>0</v>
      </c>
      <c r="Y122" s="97">
        <f>R122-X122</f>
        <v>390</v>
      </c>
    </row>
    <row r="123" spans="1:41" ht="27" x14ac:dyDescent="0.3">
      <c r="A123" s="30">
        <v>7</v>
      </c>
      <c r="B123" s="31">
        <v>43483</v>
      </c>
      <c r="C123" s="21" t="s">
        <v>353</v>
      </c>
      <c r="D123" s="32" t="s">
        <v>351</v>
      </c>
      <c r="E123" s="59" t="s">
        <v>355</v>
      </c>
      <c r="F123" s="32" t="s">
        <v>354</v>
      </c>
      <c r="G123" s="33">
        <v>180</v>
      </c>
      <c r="H123" s="33">
        <f>225+75+70</f>
        <v>370</v>
      </c>
      <c r="I123" s="14">
        <f t="shared" si="45"/>
        <v>550</v>
      </c>
      <c r="J123" s="14">
        <f t="shared" si="46"/>
        <v>71.5</v>
      </c>
      <c r="K123" s="14">
        <f t="shared" si="47"/>
        <v>478.5</v>
      </c>
      <c r="L123" s="34">
        <v>45</v>
      </c>
      <c r="M123" s="34">
        <v>151.25</v>
      </c>
      <c r="N123" s="14">
        <f t="shared" si="48"/>
        <v>196.25</v>
      </c>
      <c r="O123" s="22">
        <f t="shared" si="49"/>
        <v>135</v>
      </c>
      <c r="P123" s="22">
        <f t="shared" si="50"/>
        <v>218.75</v>
      </c>
      <c r="Q123" s="14">
        <f t="shared" si="51"/>
        <v>353.75</v>
      </c>
      <c r="R123" s="14">
        <f t="shared" si="52"/>
        <v>550</v>
      </c>
      <c r="S123" s="34"/>
      <c r="T123" s="35"/>
      <c r="U123" s="34"/>
      <c r="V123" s="207"/>
      <c r="W123" s="37"/>
      <c r="X123" s="24">
        <f t="shared" si="53"/>
        <v>0</v>
      </c>
      <c r="Y123" s="24">
        <f t="shared" si="54"/>
        <v>550</v>
      </c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</row>
    <row r="124" spans="1:41" x14ac:dyDescent="0.3">
      <c r="A124" s="30">
        <v>8</v>
      </c>
      <c r="B124" s="31">
        <v>43487</v>
      </c>
      <c r="C124" s="21" t="s">
        <v>356</v>
      </c>
      <c r="D124" s="32" t="s">
        <v>339</v>
      </c>
      <c r="E124" s="59" t="s">
        <v>357</v>
      </c>
      <c r="F124" s="32" t="s">
        <v>341</v>
      </c>
      <c r="G124" s="33">
        <v>35</v>
      </c>
      <c r="H124" s="33">
        <v>100</v>
      </c>
      <c r="I124" s="14">
        <f>G124+H124</f>
        <v>135</v>
      </c>
      <c r="J124" s="14">
        <f t="shared" si="46"/>
        <v>17.55</v>
      </c>
      <c r="K124" s="14">
        <f>I124-J124</f>
        <v>117.45</v>
      </c>
      <c r="L124" s="34">
        <v>5</v>
      </c>
      <c r="M124" s="34">
        <v>14</v>
      </c>
      <c r="N124" s="14">
        <f>L124+M124</f>
        <v>19</v>
      </c>
      <c r="O124" s="22">
        <f>G124-L124</f>
        <v>30</v>
      </c>
      <c r="P124" s="22">
        <f>H124-M124</f>
        <v>86</v>
      </c>
      <c r="Q124" s="14">
        <f>O124+P124</f>
        <v>116</v>
      </c>
      <c r="R124" s="14">
        <f>N124+Q124</f>
        <v>135</v>
      </c>
      <c r="S124" s="34"/>
      <c r="T124" s="35"/>
      <c r="U124" s="34"/>
      <c r="V124" s="207"/>
      <c r="W124" s="37"/>
      <c r="X124" s="24">
        <f>S124+U124</f>
        <v>0</v>
      </c>
      <c r="Y124" s="24">
        <f>R124-X124</f>
        <v>135</v>
      </c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</row>
    <row r="125" spans="1:41" s="60" customFormat="1" ht="12.75" x14ac:dyDescent="0.25">
      <c r="A125" s="61"/>
      <c r="B125" s="62"/>
      <c r="C125" s="63"/>
      <c r="D125" s="63"/>
      <c r="E125" s="64"/>
      <c r="F125" s="64"/>
      <c r="G125" s="65">
        <f>SUM(G114:G124)</f>
        <v>1190</v>
      </c>
      <c r="H125" s="65">
        <f>SUM(H114:H124)</f>
        <v>2280</v>
      </c>
      <c r="I125" s="66">
        <f>SUM(I114:I124)</f>
        <v>3470</v>
      </c>
      <c r="J125" s="66">
        <f>SUM(J114:J124)</f>
        <v>451.1</v>
      </c>
      <c r="K125" s="66">
        <f>I125-J125</f>
        <v>3018.9</v>
      </c>
      <c r="L125" s="66">
        <f>SUM(L114:L124)</f>
        <v>330</v>
      </c>
      <c r="M125" s="66">
        <f>SUM(M114:M124)</f>
        <v>670.81999999999994</v>
      </c>
      <c r="N125" s="66">
        <f>SUM(N114:N124)</f>
        <v>1000.82</v>
      </c>
      <c r="O125" s="66">
        <f>SUM(O114:O124)</f>
        <v>860</v>
      </c>
      <c r="P125" s="66">
        <f>SUM(P115:P124)</f>
        <v>1458.1100000000001</v>
      </c>
      <c r="Q125" s="66">
        <f>O125+P125</f>
        <v>2318.11</v>
      </c>
      <c r="R125" s="66">
        <f>N125+Q125</f>
        <v>3318.9300000000003</v>
      </c>
      <c r="S125" s="66"/>
      <c r="T125" s="67"/>
      <c r="U125" s="66"/>
      <c r="V125" s="67"/>
      <c r="W125" s="68"/>
      <c r="X125" s="69">
        <f t="shared" si="53"/>
        <v>0</v>
      </c>
      <c r="Y125" s="69">
        <f t="shared" si="54"/>
        <v>3318.9300000000003</v>
      </c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</row>
    <row r="126" spans="1:41" x14ac:dyDescent="0.3">
      <c r="A126" s="92"/>
      <c r="B126" s="92"/>
      <c r="C126" s="93"/>
      <c r="D126" s="93"/>
      <c r="E126" s="93"/>
      <c r="F126" s="93"/>
      <c r="G126" s="94"/>
      <c r="H126" s="94"/>
      <c r="I126" s="95"/>
      <c r="J126" s="95"/>
      <c r="K126" s="95"/>
      <c r="L126" s="95"/>
      <c r="M126" s="95"/>
      <c r="N126" s="95"/>
      <c r="O126" s="95"/>
      <c r="P126" s="95"/>
      <c r="Q126" s="95"/>
      <c r="R126" s="95"/>
      <c r="S126" s="95"/>
      <c r="T126" s="93"/>
      <c r="U126" s="94"/>
      <c r="V126" s="210"/>
      <c r="W126" s="38"/>
      <c r="X126" s="38"/>
      <c r="Y126" s="3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</row>
    <row r="127" spans="1:41" ht="27.75" customHeight="1" x14ac:dyDescent="0.25">
      <c r="A127" s="198" t="s">
        <v>364</v>
      </c>
      <c r="B127" s="198"/>
      <c r="C127" s="198"/>
      <c r="D127" s="198"/>
      <c r="E127" s="198"/>
      <c r="F127" s="198"/>
      <c r="G127" s="198"/>
      <c r="H127" s="198"/>
      <c r="I127" s="198"/>
      <c r="J127" s="198"/>
      <c r="K127" s="198"/>
      <c r="L127" s="198"/>
      <c r="M127" s="198"/>
      <c r="N127" s="198"/>
      <c r="O127" s="198"/>
      <c r="P127" s="198"/>
      <c r="Q127" s="198"/>
      <c r="R127" s="198"/>
      <c r="S127" s="198"/>
      <c r="T127" s="198"/>
      <c r="U127" s="198"/>
      <c r="V127" s="198"/>
      <c r="W127" s="198"/>
      <c r="X127" s="198"/>
      <c r="Y127" s="19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</row>
    <row r="128" spans="1:41" ht="27" customHeight="1" x14ac:dyDescent="0.25">
      <c r="A128" s="193" t="s">
        <v>0</v>
      </c>
      <c r="B128" s="194"/>
      <c r="C128" s="194"/>
      <c r="D128" s="194"/>
      <c r="E128" s="195" t="s">
        <v>1</v>
      </c>
      <c r="F128" s="195"/>
      <c r="G128" s="194"/>
      <c r="H128" s="194"/>
      <c r="I128" s="194"/>
      <c r="J128" s="77"/>
      <c r="K128" s="77"/>
      <c r="L128" s="194" t="s">
        <v>2</v>
      </c>
      <c r="M128" s="194"/>
      <c r="N128" s="194"/>
      <c r="O128" s="194" t="s">
        <v>3</v>
      </c>
      <c r="P128" s="194"/>
      <c r="Q128" s="194"/>
      <c r="R128" s="195" t="s">
        <v>4</v>
      </c>
      <c r="S128" s="197"/>
      <c r="T128" s="197"/>
      <c r="U128" s="197"/>
      <c r="V128" s="205"/>
      <c r="W128" s="19"/>
      <c r="X128" s="19"/>
      <c r="Y128" s="7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</row>
    <row r="129" spans="1:41" ht="15" x14ac:dyDescent="0.25">
      <c r="A129" s="79" t="s">
        <v>5</v>
      </c>
      <c r="B129" s="80" t="s">
        <v>6</v>
      </c>
      <c r="C129" s="80" t="s">
        <v>7</v>
      </c>
      <c r="D129" s="80" t="s">
        <v>8</v>
      </c>
      <c r="E129" s="80" t="s">
        <v>331</v>
      </c>
      <c r="F129" s="80" t="s">
        <v>332</v>
      </c>
      <c r="G129" s="80" t="s">
        <v>29</v>
      </c>
      <c r="H129" s="80" t="s">
        <v>30</v>
      </c>
      <c r="I129" s="80" t="s">
        <v>11</v>
      </c>
      <c r="J129" s="80" t="s">
        <v>12</v>
      </c>
      <c r="K129" s="80" t="s">
        <v>13</v>
      </c>
      <c r="L129" s="80" t="s">
        <v>14</v>
      </c>
      <c r="M129" s="80" t="s">
        <v>15</v>
      </c>
      <c r="N129" s="80" t="s">
        <v>16</v>
      </c>
      <c r="O129" s="80" t="s">
        <v>17</v>
      </c>
      <c r="P129" s="80" t="s">
        <v>18</v>
      </c>
      <c r="Q129" s="80" t="s">
        <v>19</v>
      </c>
      <c r="R129" s="196"/>
      <c r="S129" s="80" t="s">
        <v>20</v>
      </c>
      <c r="T129" s="80" t="s">
        <v>21</v>
      </c>
      <c r="U129" s="81" t="s">
        <v>20</v>
      </c>
      <c r="V129" s="82" t="s">
        <v>21</v>
      </c>
      <c r="W129" s="80" t="s">
        <v>22</v>
      </c>
      <c r="X129" s="80" t="s">
        <v>23</v>
      </c>
      <c r="Y129" s="80" t="s">
        <v>24</v>
      </c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</row>
    <row r="130" spans="1:41" s="25" customFormat="1" ht="14.25" customHeight="1" x14ac:dyDescent="0.25">
      <c r="A130" s="9">
        <v>1</v>
      </c>
      <c r="B130" s="57">
        <v>43496</v>
      </c>
      <c r="C130" s="10" t="s">
        <v>328</v>
      </c>
      <c r="D130" s="10"/>
      <c r="E130" s="104">
        <v>76</v>
      </c>
      <c r="F130" s="104">
        <v>87</v>
      </c>
      <c r="G130" s="11">
        <f>G97</f>
        <v>5562</v>
      </c>
      <c r="H130" s="11">
        <f t="shared" ref="H130:R130" si="55">H97</f>
        <v>8455</v>
      </c>
      <c r="I130" s="11">
        <f t="shared" si="55"/>
        <v>14017</v>
      </c>
      <c r="J130" s="11">
        <f t="shared" si="55"/>
        <v>1822.21</v>
      </c>
      <c r="K130" s="11">
        <f t="shared" si="55"/>
        <v>12194.79</v>
      </c>
      <c r="L130" s="11">
        <f t="shared" si="55"/>
        <v>1416</v>
      </c>
      <c r="M130" s="11">
        <f t="shared" si="55"/>
        <v>2505.2100000000005</v>
      </c>
      <c r="N130" s="11">
        <f t="shared" si="55"/>
        <v>3921.21</v>
      </c>
      <c r="O130" s="11">
        <f t="shared" si="55"/>
        <v>4146</v>
      </c>
      <c r="P130" s="11">
        <f t="shared" si="55"/>
        <v>5949.7899999999991</v>
      </c>
      <c r="Q130" s="11">
        <f t="shared" si="55"/>
        <v>10095.789999999999</v>
      </c>
      <c r="R130" s="11">
        <f t="shared" si="55"/>
        <v>14017</v>
      </c>
      <c r="S130" s="11"/>
      <c r="T130" s="10"/>
      <c r="U130" s="11"/>
      <c r="V130" s="211"/>
      <c r="W130" s="9"/>
      <c r="X130" s="9">
        <f>SUM(X35:X129)</f>
        <v>13929</v>
      </c>
      <c r="Y130" s="9">
        <f>R130-X130</f>
        <v>88</v>
      </c>
    </row>
    <row r="131" spans="1:41" s="18" customFormat="1" ht="18.75" customHeight="1" x14ac:dyDescent="0.25">
      <c r="A131" s="12">
        <v>2</v>
      </c>
      <c r="B131" s="57">
        <v>43496</v>
      </c>
      <c r="C131" s="13" t="s">
        <v>329</v>
      </c>
      <c r="D131" s="13"/>
      <c r="E131" s="58">
        <v>9</v>
      </c>
      <c r="F131" s="104">
        <v>10</v>
      </c>
      <c r="G131" s="11">
        <f>G110</f>
        <v>1225</v>
      </c>
      <c r="H131" s="11">
        <f t="shared" ref="H131:R131" si="56">H110</f>
        <v>1015.06</v>
      </c>
      <c r="I131" s="14">
        <f t="shared" si="56"/>
        <v>2240.06</v>
      </c>
      <c r="J131" s="14">
        <f t="shared" si="56"/>
        <v>291.20780000000002</v>
      </c>
      <c r="K131" s="14">
        <f t="shared" si="56"/>
        <v>1948.8522</v>
      </c>
      <c r="L131" s="14">
        <f t="shared" si="56"/>
        <v>265</v>
      </c>
      <c r="M131" s="14">
        <f t="shared" si="56"/>
        <v>323.70999999999998</v>
      </c>
      <c r="N131" s="14">
        <f t="shared" si="56"/>
        <v>588.71</v>
      </c>
      <c r="O131" s="14">
        <f t="shared" si="56"/>
        <v>960</v>
      </c>
      <c r="P131" s="14">
        <f t="shared" si="56"/>
        <v>691.34999999999991</v>
      </c>
      <c r="Q131" s="14">
        <f t="shared" si="56"/>
        <v>1651.35</v>
      </c>
      <c r="R131" s="14">
        <f t="shared" si="56"/>
        <v>2240.06</v>
      </c>
      <c r="S131" s="14"/>
      <c r="T131" s="15"/>
      <c r="U131" s="14"/>
      <c r="V131" s="15"/>
      <c r="W131" s="16"/>
      <c r="X131" s="17">
        <f>S131+U131</f>
        <v>0</v>
      </c>
      <c r="Y131" s="17">
        <f>R131-X131</f>
        <v>2240.06</v>
      </c>
    </row>
    <row r="132" spans="1:41" s="47" customFormat="1" ht="15" x14ac:dyDescent="0.25">
      <c r="A132" s="39">
        <v>3</v>
      </c>
      <c r="B132" s="57">
        <v>43496</v>
      </c>
      <c r="C132" s="40" t="s">
        <v>330</v>
      </c>
      <c r="D132" s="40"/>
      <c r="E132" s="103">
        <v>4</v>
      </c>
      <c r="F132" s="103">
        <v>5</v>
      </c>
      <c r="G132" s="41">
        <f>G125</f>
        <v>1190</v>
      </c>
      <c r="H132" s="41">
        <f>H125</f>
        <v>2280</v>
      </c>
      <c r="I132" s="14">
        <f>G132+H132</f>
        <v>3470</v>
      </c>
      <c r="J132" s="14">
        <f>I132*13%</f>
        <v>451.1</v>
      </c>
      <c r="K132" s="14">
        <f>I132-J132</f>
        <v>3018.9</v>
      </c>
      <c r="L132" s="42">
        <f>L125</f>
        <v>330</v>
      </c>
      <c r="M132" s="42">
        <f>M125</f>
        <v>670.81999999999994</v>
      </c>
      <c r="N132" s="14">
        <f>L132+M132</f>
        <v>1000.8199999999999</v>
      </c>
      <c r="O132" s="14">
        <f>O125</f>
        <v>860</v>
      </c>
      <c r="P132" s="14">
        <f>P125</f>
        <v>1458.1100000000001</v>
      </c>
      <c r="Q132" s="14">
        <f>Q125</f>
        <v>2318.11</v>
      </c>
      <c r="R132" s="14">
        <f>R125</f>
        <v>3318.9300000000003</v>
      </c>
      <c r="S132" s="42"/>
      <c r="T132" s="43"/>
      <c r="U132" s="42"/>
      <c r="V132" s="212"/>
      <c r="W132" s="45"/>
      <c r="X132" s="17">
        <f>S132+U132</f>
        <v>0</v>
      </c>
      <c r="Y132" s="17">
        <f>R132-X132</f>
        <v>3318.9300000000003</v>
      </c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</row>
    <row r="133" spans="1:41" s="18" customFormat="1" ht="12.75" x14ac:dyDescent="0.25">
      <c r="A133" s="70"/>
      <c r="B133" s="70"/>
      <c r="C133" s="71"/>
      <c r="D133" s="71"/>
      <c r="E133" s="105">
        <f>SUM(E130:E132)</f>
        <v>89</v>
      </c>
      <c r="F133" s="106">
        <f>SUM(F130:F132)</f>
        <v>102</v>
      </c>
      <c r="G133" s="72">
        <f t="shared" ref="G133:R133" si="57">SUM(G130:G132)</f>
        <v>7977</v>
      </c>
      <c r="H133" s="72">
        <f t="shared" si="57"/>
        <v>11750.06</v>
      </c>
      <c r="I133" s="73">
        <f t="shared" si="57"/>
        <v>19727.059999999998</v>
      </c>
      <c r="J133" s="73">
        <f t="shared" si="57"/>
        <v>2564.5178000000001</v>
      </c>
      <c r="K133" s="73">
        <f t="shared" si="57"/>
        <v>17162.5422</v>
      </c>
      <c r="L133" s="73">
        <f t="shared" si="57"/>
        <v>2011</v>
      </c>
      <c r="M133" s="73">
        <f t="shared" si="57"/>
        <v>3499.7400000000007</v>
      </c>
      <c r="N133" s="73">
        <f t="shared" si="57"/>
        <v>5510.74</v>
      </c>
      <c r="O133" s="73">
        <f t="shared" si="57"/>
        <v>5966</v>
      </c>
      <c r="P133" s="73">
        <f t="shared" si="57"/>
        <v>8099.25</v>
      </c>
      <c r="Q133" s="73">
        <f t="shared" si="57"/>
        <v>14065.25</v>
      </c>
      <c r="R133" s="73">
        <f t="shared" si="57"/>
        <v>19575.989999999998</v>
      </c>
      <c r="S133" s="74"/>
      <c r="T133" s="71"/>
      <c r="U133" s="72"/>
      <c r="V133" s="213"/>
      <c r="W133" s="75"/>
      <c r="X133" s="76">
        <f>SUM(X130:X132)</f>
        <v>13929</v>
      </c>
      <c r="Y133" s="76">
        <f>SUM(Y130:Y132)</f>
        <v>5646.99</v>
      </c>
    </row>
    <row r="134" spans="1:41" s="18" customFormat="1" ht="12.75" x14ac:dyDescent="0.25">
      <c r="A134" s="26"/>
      <c r="B134" s="26"/>
      <c r="C134" s="27"/>
      <c r="D134" s="27"/>
      <c r="E134" s="27"/>
      <c r="F134" s="27"/>
      <c r="G134" s="28"/>
      <c r="H134" s="28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7"/>
      <c r="U134" s="28"/>
      <c r="V134" s="214"/>
    </row>
    <row r="135" spans="1:41" x14ac:dyDescent="0.3">
      <c r="G135" s="7"/>
      <c r="H135" s="7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</row>
    <row r="136" spans="1:41" x14ac:dyDescent="0.3">
      <c r="G136" s="7"/>
      <c r="H136" s="7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</row>
    <row r="137" spans="1:41" x14ac:dyDescent="0.3">
      <c r="G137" s="7"/>
      <c r="H137" s="7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</row>
    <row r="138" spans="1:41" x14ac:dyDescent="0.3">
      <c r="G138" s="7"/>
      <c r="H138" s="7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</row>
    <row r="139" spans="1:41" x14ac:dyDescent="0.3">
      <c r="G139" s="7"/>
      <c r="H139" s="7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</row>
    <row r="140" spans="1:41" x14ac:dyDescent="0.3">
      <c r="G140" s="7"/>
      <c r="H140" s="7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</row>
    <row r="141" spans="1:41" x14ac:dyDescent="0.3">
      <c r="G141" s="7"/>
      <c r="H141" s="7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</row>
    <row r="142" spans="1:41" x14ac:dyDescent="0.3">
      <c r="G142" s="7"/>
      <c r="H142" s="7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</row>
    <row r="143" spans="1:41" x14ac:dyDescent="0.3">
      <c r="G143" s="7"/>
      <c r="H143" s="7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</row>
    <row r="144" spans="1:41" x14ac:dyDescent="0.3">
      <c r="G144" s="7"/>
      <c r="H144" s="7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</row>
    <row r="145" spans="7:41" x14ac:dyDescent="0.3">
      <c r="G145" s="7"/>
      <c r="H145" s="7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</row>
    <row r="146" spans="7:41" x14ac:dyDescent="0.3"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</row>
    <row r="1048559" spans="2:2" x14ac:dyDescent="0.3">
      <c r="B1048559" s="5"/>
    </row>
  </sheetData>
  <mergeCells count="33">
    <mergeCell ref="A127:Y127"/>
    <mergeCell ref="A128:D128"/>
    <mergeCell ref="E128:F128"/>
    <mergeCell ref="G128:I128"/>
    <mergeCell ref="L128:N128"/>
    <mergeCell ref="O128:Q128"/>
    <mergeCell ref="R128:R129"/>
    <mergeCell ref="S128:U128"/>
    <mergeCell ref="R99:R100"/>
    <mergeCell ref="S99:U99"/>
    <mergeCell ref="A98:Y98"/>
    <mergeCell ref="A111:Y111"/>
    <mergeCell ref="A112:D112"/>
    <mergeCell ref="E112:F112"/>
    <mergeCell ref="G112:I112"/>
    <mergeCell ref="L112:N112"/>
    <mergeCell ref="O112:Q112"/>
    <mergeCell ref="R112:R113"/>
    <mergeCell ref="S112:U112"/>
    <mergeCell ref="A99:D99"/>
    <mergeCell ref="E99:F99"/>
    <mergeCell ref="G99:I99"/>
    <mergeCell ref="L99:N99"/>
    <mergeCell ref="O99:Q99"/>
    <mergeCell ref="A3:Y3"/>
    <mergeCell ref="A2:Y2"/>
    <mergeCell ref="A4:D4"/>
    <mergeCell ref="E4:F4"/>
    <mergeCell ref="G4:I4"/>
    <mergeCell ref="L4:N4"/>
    <mergeCell ref="O4:Q4"/>
    <mergeCell ref="R4:R5"/>
    <mergeCell ref="S4:U4"/>
  </mergeCells>
  <pageMargins left="0" right="0" top="0.74803149606299213" bottom="0" header="0.31496062992125984" footer="0.31496062992125984"/>
  <pageSetup scale="41" fitToHeight="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A112"/>
  <sheetViews>
    <sheetView topLeftCell="A62" workbookViewId="0">
      <selection activeCell="E75" sqref="E75"/>
    </sheetView>
  </sheetViews>
  <sheetFormatPr baseColWidth="10" defaultRowHeight="15" x14ac:dyDescent="0.25"/>
  <cols>
    <col min="1" max="1" width="4.28515625" style="117" customWidth="1"/>
    <col min="2" max="2" width="11.42578125" style="117"/>
    <col min="3" max="3" width="34" style="117" customWidth="1"/>
    <col min="4" max="4" width="11.42578125" style="117"/>
    <col min="5" max="5" width="22.85546875" style="117" customWidth="1"/>
    <col min="6" max="6" width="22.140625" style="117" customWidth="1"/>
    <col min="7" max="27" width="11.42578125" style="117"/>
  </cols>
  <sheetData>
    <row r="2" spans="1:25" ht="18" x14ac:dyDescent="0.25">
      <c r="A2" s="192" t="s">
        <v>25</v>
      </c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</row>
    <row r="3" spans="1:25" ht="18" x14ac:dyDescent="0.25">
      <c r="A3" s="191" t="s">
        <v>573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</row>
    <row r="4" spans="1:25" x14ac:dyDescent="0.25">
      <c r="A4" s="199" t="s">
        <v>0</v>
      </c>
      <c r="B4" s="200"/>
      <c r="C4" s="200"/>
      <c r="D4" s="201"/>
      <c r="E4" s="202" t="s">
        <v>1</v>
      </c>
      <c r="F4" s="203"/>
      <c r="G4" s="199" t="s">
        <v>430</v>
      </c>
      <c r="H4" s="200"/>
      <c r="I4" s="200"/>
      <c r="J4" s="200"/>
      <c r="K4" s="201"/>
      <c r="L4" s="199" t="s">
        <v>2</v>
      </c>
      <c r="M4" s="200"/>
      <c r="N4" s="201"/>
      <c r="O4" s="199" t="s">
        <v>3</v>
      </c>
      <c r="P4" s="200"/>
      <c r="Q4" s="201"/>
      <c r="R4" s="195" t="s">
        <v>4</v>
      </c>
      <c r="S4" s="199" t="s">
        <v>431</v>
      </c>
      <c r="T4" s="200"/>
      <c r="U4" s="200"/>
      <c r="V4" s="200"/>
      <c r="W4" s="201"/>
      <c r="X4" s="78"/>
      <c r="Y4" s="78"/>
    </row>
    <row r="5" spans="1:25" ht="25.5" x14ac:dyDescent="0.25">
      <c r="A5" s="111" t="s">
        <v>5</v>
      </c>
      <c r="B5" s="80" t="s">
        <v>6</v>
      </c>
      <c r="C5" s="80" t="s">
        <v>7</v>
      </c>
      <c r="D5" s="80" t="s">
        <v>8</v>
      </c>
      <c r="E5" s="80" t="s">
        <v>9</v>
      </c>
      <c r="F5" s="80" t="s">
        <v>10</v>
      </c>
      <c r="G5" s="80" t="s">
        <v>29</v>
      </c>
      <c r="H5" s="80" t="s">
        <v>30</v>
      </c>
      <c r="I5" s="80" t="s">
        <v>11</v>
      </c>
      <c r="J5" s="80" t="s">
        <v>12</v>
      </c>
      <c r="K5" s="80" t="s">
        <v>13</v>
      </c>
      <c r="L5" s="80" t="s">
        <v>14</v>
      </c>
      <c r="M5" s="80" t="s">
        <v>15</v>
      </c>
      <c r="N5" s="80" t="s">
        <v>16</v>
      </c>
      <c r="O5" s="80" t="s">
        <v>17</v>
      </c>
      <c r="P5" s="80" t="s">
        <v>18</v>
      </c>
      <c r="Q5" s="80" t="s">
        <v>19</v>
      </c>
      <c r="R5" s="196"/>
      <c r="S5" s="80" t="s">
        <v>20</v>
      </c>
      <c r="T5" s="80" t="s">
        <v>21</v>
      </c>
      <c r="U5" s="81" t="s">
        <v>20</v>
      </c>
      <c r="V5" s="82" t="s">
        <v>21</v>
      </c>
      <c r="W5" s="80" t="s">
        <v>22</v>
      </c>
      <c r="X5" s="80" t="s">
        <v>23</v>
      </c>
      <c r="Y5" s="80" t="s">
        <v>24</v>
      </c>
    </row>
    <row r="6" spans="1:25" ht="27" x14ac:dyDescent="0.25">
      <c r="A6" s="96">
        <v>1</v>
      </c>
      <c r="B6" s="83">
        <v>43497</v>
      </c>
      <c r="C6" s="23" t="s">
        <v>369</v>
      </c>
      <c r="D6" s="23" t="s">
        <v>370</v>
      </c>
      <c r="E6" s="23" t="s">
        <v>371</v>
      </c>
      <c r="F6" s="23" t="s">
        <v>372</v>
      </c>
      <c r="G6" s="22">
        <v>100</v>
      </c>
      <c r="H6" s="22">
        <v>285</v>
      </c>
      <c r="I6" s="14">
        <f>G6+H6</f>
        <v>385</v>
      </c>
      <c r="J6" s="14">
        <f>I6*13%</f>
        <v>50.050000000000004</v>
      </c>
      <c r="K6" s="14">
        <f>I6-J6</f>
        <v>334.95</v>
      </c>
      <c r="L6" s="22">
        <v>20</v>
      </c>
      <c r="M6" s="22"/>
      <c r="N6" s="14">
        <f>L6+M6</f>
        <v>20</v>
      </c>
      <c r="O6" s="22">
        <f>G6-L6</f>
        <v>80</v>
      </c>
      <c r="P6" s="22">
        <f>H6-M6</f>
        <v>285</v>
      </c>
      <c r="Q6" s="14">
        <f>O6+P6</f>
        <v>365</v>
      </c>
      <c r="R6" s="14">
        <f>N6+Q6</f>
        <v>385</v>
      </c>
      <c r="S6" s="22">
        <v>100</v>
      </c>
      <c r="T6" s="23">
        <v>1019</v>
      </c>
      <c r="U6" s="22"/>
      <c r="V6" s="84"/>
      <c r="W6" s="85"/>
      <c r="X6" s="24">
        <f>S6+U6</f>
        <v>100</v>
      </c>
      <c r="Y6" s="86">
        <f>R6-X6</f>
        <v>285</v>
      </c>
    </row>
    <row r="7" spans="1:25" x14ac:dyDescent="0.25">
      <c r="A7" s="96">
        <v>2</v>
      </c>
      <c r="B7" s="83">
        <v>43498</v>
      </c>
      <c r="C7" s="23" t="s">
        <v>373</v>
      </c>
      <c r="D7" s="23" t="s">
        <v>384</v>
      </c>
      <c r="E7" s="23"/>
      <c r="F7" s="23" t="s">
        <v>385</v>
      </c>
      <c r="G7" s="22"/>
      <c r="H7" s="22">
        <v>35</v>
      </c>
      <c r="I7" s="14">
        <f t="shared" ref="I7:I70" si="0">G7+H7</f>
        <v>35</v>
      </c>
      <c r="J7" s="14">
        <f>I7*13%</f>
        <v>4.55</v>
      </c>
      <c r="K7" s="14">
        <f>I7-J7</f>
        <v>30.45</v>
      </c>
      <c r="L7" s="22"/>
      <c r="M7" s="22"/>
      <c r="N7" s="14">
        <f>L7+M7</f>
        <v>0</v>
      </c>
      <c r="O7" s="22">
        <f>G7-L7</f>
        <v>0</v>
      </c>
      <c r="P7" s="22">
        <f>H7-M7</f>
        <v>35</v>
      </c>
      <c r="Q7" s="14">
        <f>O7+P7</f>
        <v>35</v>
      </c>
      <c r="R7" s="14">
        <f>N7+Q7</f>
        <v>35</v>
      </c>
      <c r="S7" s="22">
        <v>20</v>
      </c>
      <c r="T7" s="23">
        <v>1021</v>
      </c>
      <c r="U7" s="22"/>
      <c r="V7" s="84"/>
      <c r="W7" s="85"/>
      <c r="X7" s="24">
        <f>S7+U7</f>
        <v>20</v>
      </c>
      <c r="Y7" s="86">
        <f>R7-X7</f>
        <v>15</v>
      </c>
    </row>
    <row r="8" spans="1:25" ht="27" x14ac:dyDescent="0.25">
      <c r="A8" s="96">
        <v>3</v>
      </c>
      <c r="B8" s="83">
        <v>43498</v>
      </c>
      <c r="C8" s="23" t="s">
        <v>374</v>
      </c>
      <c r="D8" s="23" t="s">
        <v>386</v>
      </c>
      <c r="E8" s="23" t="s">
        <v>387</v>
      </c>
      <c r="F8" s="23" t="s">
        <v>341</v>
      </c>
      <c r="G8" s="22">
        <v>15</v>
      </c>
      <c r="H8" s="22">
        <v>70</v>
      </c>
      <c r="I8" s="14">
        <f t="shared" si="0"/>
        <v>85</v>
      </c>
      <c r="J8" s="14">
        <f t="shared" ref="J8:J71" si="1">I8*13%</f>
        <v>11.05</v>
      </c>
      <c r="K8" s="14">
        <f t="shared" ref="K8:K71" si="2">I8-J8</f>
        <v>73.95</v>
      </c>
      <c r="L8" s="22"/>
      <c r="M8" s="22"/>
      <c r="N8" s="14">
        <f t="shared" ref="N8:N71" si="3">L8+M8</f>
        <v>0</v>
      </c>
      <c r="O8" s="22">
        <f t="shared" ref="O8:P23" si="4">G8-L8</f>
        <v>15</v>
      </c>
      <c r="P8" s="22">
        <f t="shared" si="4"/>
        <v>70</v>
      </c>
      <c r="Q8" s="14">
        <f t="shared" ref="Q8:Q71" si="5">O8+P8</f>
        <v>85</v>
      </c>
      <c r="R8" s="14">
        <f t="shared" ref="R8:R71" si="6">N8+Q8</f>
        <v>85</v>
      </c>
      <c r="S8" s="22">
        <v>15</v>
      </c>
      <c r="T8" s="23">
        <v>1022</v>
      </c>
      <c r="U8" s="22"/>
      <c r="V8" s="84"/>
      <c r="W8" s="85"/>
      <c r="X8" s="24">
        <f t="shared" ref="X8:X71" si="7">S8+U8</f>
        <v>15</v>
      </c>
      <c r="Y8" s="86">
        <f t="shared" ref="Y8:Y71" si="8">R8-X8</f>
        <v>70</v>
      </c>
    </row>
    <row r="9" spans="1:25" ht="27" x14ac:dyDescent="0.25">
      <c r="A9" s="96">
        <v>4</v>
      </c>
      <c r="B9" s="83">
        <v>43498</v>
      </c>
      <c r="C9" s="23" t="s">
        <v>375</v>
      </c>
      <c r="D9" s="35" t="s">
        <v>388</v>
      </c>
      <c r="E9" s="35"/>
      <c r="F9" s="35" t="s">
        <v>341</v>
      </c>
      <c r="G9" s="34"/>
      <c r="H9" s="34">
        <v>80</v>
      </c>
      <c r="I9" s="14">
        <f t="shared" si="0"/>
        <v>80</v>
      </c>
      <c r="J9" s="14">
        <f t="shared" si="1"/>
        <v>10.4</v>
      </c>
      <c r="K9" s="14">
        <f t="shared" si="2"/>
        <v>69.599999999999994</v>
      </c>
      <c r="L9" s="34"/>
      <c r="M9" s="34"/>
      <c r="N9" s="14">
        <f t="shared" si="3"/>
        <v>0</v>
      </c>
      <c r="O9" s="22">
        <f t="shared" si="4"/>
        <v>0</v>
      </c>
      <c r="P9" s="22">
        <f t="shared" si="4"/>
        <v>80</v>
      </c>
      <c r="Q9" s="14">
        <f t="shared" si="5"/>
        <v>80</v>
      </c>
      <c r="R9" s="14">
        <f t="shared" si="6"/>
        <v>80</v>
      </c>
      <c r="S9" s="34">
        <v>20</v>
      </c>
      <c r="T9" s="35" t="s">
        <v>392</v>
      </c>
      <c r="U9" s="36">
        <v>20</v>
      </c>
      <c r="V9" s="37">
        <v>1023</v>
      </c>
      <c r="W9" s="37"/>
      <c r="X9" s="24">
        <f t="shared" si="7"/>
        <v>40</v>
      </c>
      <c r="Y9" s="24">
        <f t="shared" si="8"/>
        <v>40</v>
      </c>
    </row>
    <row r="10" spans="1:25" ht="27" x14ac:dyDescent="0.25">
      <c r="A10" s="96">
        <v>5</v>
      </c>
      <c r="B10" s="83">
        <v>43498</v>
      </c>
      <c r="C10" s="23" t="s">
        <v>376</v>
      </c>
      <c r="D10" s="35" t="s">
        <v>388</v>
      </c>
      <c r="E10" s="35" t="s">
        <v>389</v>
      </c>
      <c r="F10" s="35" t="s">
        <v>390</v>
      </c>
      <c r="G10" s="34">
        <v>20</v>
      </c>
      <c r="H10" s="34">
        <v>70</v>
      </c>
      <c r="I10" s="14">
        <f t="shared" si="0"/>
        <v>90</v>
      </c>
      <c r="J10" s="14">
        <f t="shared" si="1"/>
        <v>11.700000000000001</v>
      </c>
      <c r="K10" s="14">
        <f t="shared" si="2"/>
        <v>78.3</v>
      </c>
      <c r="L10" s="34"/>
      <c r="M10" s="34"/>
      <c r="N10" s="14">
        <f t="shared" si="3"/>
        <v>0</v>
      </c>
      <c r="O10" s="22">
        <f t="shared" si="4"/>
        <v>20</v>
      </c>
      <c r="P10" s="22">
        <f t="shared" si="4"/>
        <v>70</v>
      </c>
      <c r="Q10" s="14">
        <f t="shared" si="5"/>
        <v>90</v>
      </c>
      <c r="R10" s="14">
        <f t="shared" si="6"/>
        <v>90</v>
      </c>
      <c r="S10" s="34">
        <v>10</v>
      </c>
      <c r="T10" s="35">
        <v>1024</v>
      </c>
      <c r="U10" s="36"/>
      <c r="V10" s="37"/>
      <c r="W10" s="37"/>
      <c r="X10" s="24">
        <f t="shared" si="7"/>
        <v>10</v>
      </c>
      <c r="Y10" s="24">
        <f t="shared" si="8"/>
        <v>80</v>
      </c>
    </row>
    <row r="11" spans="1:25" ht="27" x14ac:dyDescent="0.25">
      <c r="A11" s="96">
        <v>6</v>
      </c>
      <c r="B11" s="83">
        <v>43498</v>
      </c>
      <c r="C11" s="23" t="s">
        <v>377</v>
      </c>
      <c r="D11" s="35" t="s">
        <v>391</v>
      </c>
      <c r="E11" s="35" t="s">
        <v>387</v>
      </c>
      <c r="F11" s="35" t="s">
        <v>341</v>
      </c>
      <c r="G11" s="34">
        <v>25</v>
      </c>
      <c r="H11" s="34">
        <v>75</v>
      </c>
      <c r="I11" s="14">
        <f t="shared" si="0"/>
        <v>100</v>
      </c>
      <c r="J11" s="14">
        <f t="shared" si="1"/>
        <v>13</v>
      </c>
      <c r="K11" s="14">
        <f t="shared" si="2"/>
        <v>87</v>
      </c>
      <c r="L11" s="34"/>
      <c r="M11" s="34"/>
      <c r="N11" s="14">
        <f t="shared" si="3"/>
        <v>0</v>
      </c>
      <c r="O11" s="22">
        <f t="shared" si="4"/>
        <v>25</v>
      </c>
      <c r="P11" s="22">
        <f t="shared" si="4"/>
        <v>75</v>
      </c>
      <c r="Q11" s="14">
        <f t="shared" si="5"/>
        <v>100</v>
      </c>
      <c r="R11" s="14">
        <f t="shared" si="6"/>
        <v>100</v>
      </c>
      <c r="S11" s="34">
        <v>100</v>
      </c>
      <c r="T11" s="35">
        <v>1025</v>
      </c>
      <c r="U11" s="36"/>
      <c r="V11" s="37"/>
      <c r="W11" s="37"/>
      <c r="X11" s="24">
        <f t="shared" si="7"/>
        <v>100</v>
      </c>
      <c r="Y11" s="24">
        <f t="shared" si="8"/>
        <v>0</v>
      </c>
    </row>
    <row r="12" spans="1:25" ht="27" x14ac:dyDescent="0.25">
      <c r="A12" s="96">
        <v>7</v>
      </c>
      <c r="B12" s="83">
        <v>43498</v>
      </c>
      <c r="C12" s="23" t="s">
        <v>378</v>
      </c>
      <c r="D12" s="35" t="s">
        <v>393</v>
      </c>
      <c r="E12" s="35" t="s">
        <v>394</v>
      </c>
      <c r="F12" s="35" t="s">
        <v>395</v>
      </c>
      <c r="G12" s="34">
        <v>100</v>
      </c>
      <c r="H12" s="34">
        <f>150+140</f>
        <v>290</v>
      </c>
      <c r="I12" s="14">
        <f t="shared" si="0"/>
        <v>390</v>
      </c>
      <c r="J12" s="14">
        <f t="shared" si="1"/>
        <v>50.7</v>
      </c>
      <c r="K12" s="14">
        <f t="shared" si="2"/>
        <v>339.3</v>
      </c>
      <c r="L12" s="34"/>
      <c r="M12" s="34"/>
      <c r="N12" s="14">
        <f t="shared" si="3"/>
        <v>0</v>
      </c>
      <c r="O12" s="22">
        <f t="shared" si="4"/>
        <v>100</v>
      </c>
      <c r="P12" s="22">
        <f t="shared" si="4"/>
        <v>290</v>
      </c>
      <c r="Q12" s="14">
        <f t="shared" si="5"/>
        <v>390</v>
      </c>
      <c r="R12" s="14">
        <f t="shared" si="6"/>
        <v>390</v>
      </c>
      <c r="S12" s="34">
        <v>70</v>
      </c>
      <c r="T12" s="35">
        <v>1026</v>
      </c>
      <c r="U12" s="36"/>
      <c r="V12" s="37"/>
      <c r="W12" s="37"/>
      <c r="X12" s="24">
        <f t="shared" si="7"/>
        <v>70</v>
      </c>
      <c r="Y12" s="24">
        <f t="shared" si="8"/>
        <v>320</v>
      </c>
    </row>
    <row r="13" spans="1:25" ht="27" x14ac:dyDescent="0.25">
      <c r="A13" s="96">
        <v>8</v>
      </c>
      <c r="B13" s="83">
        <v>43498</v>
      </c>
      <c r="C13" s="23" t="s">
        <v>379</v>
      </c>
      <c r="D13" s="35" t="s">
        <v>396</v>
      </c>
      <c r="E13" s="35" t="s">
        <v>397</v>
      </c>
      <c r="F13" s="35" t="s">
        <v>398</v>
      </c>
      <c r="G13" s="34">
        <v>25</v>
      </c>
      <c r="H13" s="34">
        <v>75</v>
      </c>
      <c r="I13" s="14">
        <f t="shared" si="0"/>
        <v>100</v>
      </c>
      <c r="J13" s="14">
        <f t="shared" si="1"/>
        <v>13</v>
      </c>
      <c r="K13" s="14">
        <f t="shared" si="2"/>
        <v>87</v>
      </c>
      <c r="L13" s="34"/>
      <c r="M13" s="34"/>
      <c r="N13" s="14">
        <f t="shared" si="3"/>
        <v>0</v>
      </c>
      <c r="O13" s="22">
        <f t="shared" si="4"/>
        <v>25</v>
      </c>
      <c r="P13" s="22">
        <f t="shared" si="4"/>
        <v>75</v>
      </c>
      <c r="Q13" s="14">
        <f t="shared" si="5"/>
        <v>100</v>
      </c>
      <c r="R13" s="14">
        <f t="shared" si="6"/>
        <v>100</v>
      </c>
      <c r="S13" s="34">
        <v>67</v>
      </c>
      <c r="T13" s="35">
        <v>1027</v>
      </c>
      <c r="U13" s="36"/>
      <c r="V13" s="37"/>
      <c r="W13" s="37"/>
      <c r="X13" s="24">
        <f t="shared" si="7"/>
        <v>67</v>
      </c>
      <c r="Y13" s="24">
        <f t="shared" si="8"/>
        <v>33</v>
      </c>
    </row>
    <row r="14" spans="1:25" x14ac:dyDescent="0.25">
      <c r="A14" s="96">
        <v>9</v>
      </c>
      <c r="B14" s="83">
        <v>43498</v>
      </c>
      <c r="C14" s="23" t="s">
        <v>380</v>
      </c>
      <c r="D14" s="35"/>
      <c r="E14" s="35" t="s">
        <v>399</v>
      </c>
      <c r="F14" s="35"/>
      <c r="G14" s="34">
        <v>3</v>
      </c>
      <c r="H14" s="34"/>
      <c r="I14" s="14">
        <f t="shared" si="0"/>
        <v>3</v>
      </c>
      <c r="J14" s="14">
        <f t="shared" si="1"/>
        <v>0.39</v>
      </c>
      <c r="K14" s="14">
        <f t="shared" si="2"/>
        <v>2.61</v>
      </c>
      <c r="L14" s="34"/>
      <c r="M14" s="34"/>
      <c r="N14" s="14">
        <f t="shared" si="3"/>
        <v>0</v>
      </c>
      <c r="O14" s="22">
        <f t="shared" si="4"/>
        <v>3</v>
      </c>
      <c r="P14" s="22">
        <f t="shared" si="4"/>
        <v>0</v>
      </c>
      <c r="Q14" s="14">
        <f t="shared" si="5"/>
        <v>3</v>
      </c>
      <c r="R14" s="14">
        <f t="shared" si="6"/>
        <v>3</v>
      </c>
      <c r="S14" s="34">
        <v>3</v>
      </c>
      <c r="T14" s="35">
        <v>1028</v>
      </c>
      <c r="U14" s="36"/>
      <c r="V14" s="37"/>
      <c r="W14" s="37"/>
      <c r="X14" s="24">
        <f t="shared" si="7"/>
        <v>3</v>
      </c>
      <c r="Y14" s="24">
        <f t="shared" si="8"/>
        <v>0</v>
      </c>
    </row>
    <row r="15" spans="1:25" x14ac:dyDescent="0.25">
      <c r="A15" s="96">
        <v>10</v>
      </c>
      <c r="B15" s="83">
        <v>43498</v>
      </c>
      <c r="C15" s="23" t="s">
        <v>381</v>
      </c>
      <c r="D15" s="35" t="s">
        <v>400</v>
      </c>
      <c r="E15" s="35" t="s">
        <v>401</v>
      </c>
      <c r="F15" s="35" t="s">
        <v>341</v>
      </c>
      <c r="G15" s="34">
        <v>25</v>
      </c>
      <c r="H15" s="34">
        <v>100</v>
      </c>
      <c r="I15" s="14">
        <f t="shared" si="0"/>
        <v>125</v>
      </c>
      <c r="J15" s="14">
        <f t="shared" si="1"/>
        <v>16.25</v>
      </c>
      <c r="K15" s="14">
        <f t="shared" si="2"/>
        <v>108.75</v>
      </c>
      <c r="L15" s="34"/>
      <c r="M15" s="34"/>
      <c r="N15" s="14">
        <f t="shared" si="3"/>
        <v>0</v>
      </c>
      <c r="O15" s="22">
        <f t="shared" si="4"/>
        <v>25</v>
      </c>
      <c r="P15" s="22">
        <f t="shared" si="4"/>
        <v>100</v>
      </c>
      <c r="Q15" s="14">
        <f t="shared" si="5"/>
        <v>125</v>
      </c>
      <c r="R15" s="14">
        <f t="shared" si="6"/>
        <v>125</v>
      </c>
      <c r="S15" s="34">
        <v>50</v>
      </c>
      <c r="T15" s="35">
        <v>1029</v>
      </c>
      <c r="U15" s="36"/>
      <c r="V15" s="37"/>
      <c r="W15" s="37"/>
      <c r="X15" s="24">
        <f t="shared" si="7"/>
        <v>50</v>
      </c>
      <c r="Y15" s="24">
        <f t="shared" si="8"/>
        <v>75</v>
      </c>
    </row>
    <row r="16" spans="1:25" x14ac:dyDescent="0.25">
      <c r="A16" s="96">
        <v>11</v>
      </c>
      <c r="B16" s="83">
        <v>43498</v>
      </c>
      <c r="C16" s="23" t="s">
        <v>382</v>
      </c>
      <c r="D16" s="35"/>
      <c r="E16" s="35"/>
      <c r="F16" s="35" t="s">
        <v>383</v>
      </c>
      <c r="G16" s="34"/>
      <c r="H16" s="34">
        <v>20</v>
      </c>
      <c r="I16" s="14">
        <f t="shared" si="0"/>
        <v>20</v>
      </c>
      <c r="J16" s="14">
        <f t="shared" si="1"/>
        <v>2.6</v>
      </c>
      <c r="K16" s="14">
        <f t="shared" si="2"/>
        <v>17.399999999999999</v>
      </c>
      <c r="L16" s="34"/>
      <c r="M16" s="34"/>
      <c r="N16" s="14">
        <f t="shared" si="3"/>
        <v>0</v>
      </c>
      <c r="O16" s="22">
        <f t="shared" si="4"/>
        <v>0</v>
      </c>
      <c r="P16" s="22">
        <f t="shared" si="4"/>
        <v>20</v>
      </c>
      <c r="Q16" s="14">
        <f t="shared" si="5"/>
        <v>20</v>
      </c>
      <c r="R16" s="14">
        <f t="shared" si="6"/>
        <v>20</v>
      </c>
      <c r="S16" s="34">
        <v>20</v>
      </c>
      <c r="T16" s="35">
        <v>1075</v>
      </c>
      <c r="U16" s="36"/>
      <c r="V16" s="37"/>
      <c r="W16" s="37"/>
      <c r="X16" s="24">
        <f t="shared" si="7"/>
        <v>20</v>
      </c>
      <c r="Y16" s="24">
        <f t="shared" si="8"/>
        <v>0</v>
      </c>
    </row>
    <row r="17" spans="1:25" x14ac:dyDescent="0.25">
      <c r="A17" s="96">
        <v>12</v>
      </c>
      <c r="B17" s="87">
        <v>43499</v>
      </c>
      <c r="C17" s="23" t="s">
        <v>402</v>
      </c>
      <c r="D17" s="35"/>
      <c r="E17" s="35" t="s">
        <v>403</v>
      </c>
      <c r="F17" s="35"/>
      <c r="G17" s="34">
        <v>3</v>
      </c>
      <c r="H17" s="34"/>
      <c r="I17" s="14">
        <f t="shared" si="0"/>
        <v>3</v>
      </c>
      <c r="J17" s="14">
        <f t="shared" si="1"/>
        <v>0.39</v>
      </c>
      <c r="K17" s="14">
        <f t="shared" si="2"/>
        <v>2.61</v>
      </c>
      <c r="L17" s="34"/>
      <c r="M17" s="34"/>
      <c r="N17" s="14">
        <f t="shared" si="3"/>
        <v>0</v>
      </c>
      <c r="O17" s="22">
        <f t="shared" si="4"/>
        <v>3</v>
      </c>
      <c r="P17" s="22">
        <f t="shared" si="4"/>
        <v>0</v>
      </c>
      <c r="Q17" s="14">
        <f t="shared" si="5"/>
        <v>3</v>
      </c>
      <c r="R17" s="14">
        <f t="shared" si="6"/>
        <v>3</v>
      </c>
      <c r="S17" s="34">
        <v>3</v>
      </c>
      <c r="T17" s="35">
        <v>1030</v>
      </c>
      <c r="U17" s="36"/>
      <c r="V17" s="37"/>
      <c r="W17" s="37"/>
      <c r="X17" s="24">
        <f t="shared" si="7"/>
        <v>3</v>
      </c>
      <c r="Y17" s="24">
        <f t="shared" si="8"/>
        <v>0</v>
      </c>
    </row>
    <row r="18" spans="1:25" ht="27" x14ac:dyDescent="0.25">
      <c r="A18" s="96">
        <v>13</v>
      </c>
      <c r="B18" s="87">
        <v>43499</v>
      </c>
      <c r="C18" s="23" t="s">
        <v>404</v>
      </c>
      <c r="D18" s="35" t="s">
        <v>405</v>
      </c>
      <c r="E18" s="35" t="s">
        <v>202</v>
      </c>
      <c r="F18" s="35" t="s">
        <v>406</v>
      </c>
      <c r="G18" s="34">
        <v>5</v>
      </c>
      <c r="H18" s="34">
        <v>7</v>
      </c>
      <c r="I18" s="14">
        <f t="shared" si="0"/>
        <v>12</v>
      </c>
      <c r="J18" s="14">
        <f t="shared" si="1"/>
        <v>1.56</v>
      </c>
      <c r="K18" s="14">
        <f t="shared" si="2"/>
        <v>10.44</v>
      </c>
      <c r="L18" s="34"/>
      <c r="M18" s="34"/>
      <c r="N18" s="14">
        <f t="shared" si="3"/>
        <v>0</v>
      </c>
      <c r="O18" s="22">
        <f t="shared" si="4"/>
        <v>5</v>
      </c>
      <c r="P18" s="22">
        <f t="shared" si="4"/>
        <v>7</v>
      </c>
      <c r="Q18" s="14">
        <f t="shared" si="5"/>
        <v>12</v>
      </c>
      <c r="R18" s="14">
        <f t="shared" si="6"/>
        <v>12</v>
      </c>
      <c r="S18" s="34">
        <v>12</v>
      </c>
      <c r="T18" s="35">
        <v>1031</v>
      </c>
      <c r="U18" s="36"/>
      <c r="V18" s="37"/>
      <c r="W18" s="37"/>
      <c r="X18" s="24">
        <f t="shared" si="7"/>
        <v>12</v>
      </c>
      <c r="Y18" s="24">
        <f t="shared" si="8"/>
        <v>0</v>
      </c>
    </row>
    <row r="19" spans="1:25" ht="27" x14ac:dyDescent="0.25">
      <c r="A19" s="96">
        <v>14</v>
      </c>
      <c r="B19" s="87">
        <v>43500</v>
      </c>
      <c r="C19" s="23" t="s">
        <v>407</v>
      </c>
      <c r="D19" s="35" t="s">
        <v>410</v>
      </c>
      <c r="E19" s="35" t="s">
        <v>411</v>
      </c>
      <c r="F19" s="35" t="s">
        <v>412</v>
      </c>
      <c r="G19" s="34">
        <f>200+200</f>
        <v>400</v>
      </c>
      <c r="H19" s="34">
        <f>135+140</f>
        <v>275</v>
      </c>
      <c r="I19" s="14">
        <f t="shared" si="0"/>
        <v>675</v>
      </c>
      <c r="J19" s="14">
        <f t="shared" si="1"/>
        <v>87.75</v>
      </c>
      <c r="K19" s="14">
        <f t="shared" si="2"/>
        <v>587.25</v>
      </c>
      <c r="L19" s="34"/>
      <c r="M19" s="34"/>
      <c r="N19" s="14">
        <f t="shared" si="3"/>
        <v>0</v>
      </c>
      <c r="O19" s="22">
        <f t="shared" si="4"/>
        <v>400</v>
      </c>
      <c r="P19" s="22">
        <f t="shared" si="4"/>
        <v>275</v>
      </c>
      <c r="Q19" s="14">
        <f t="shared" si="5"/>
        <v>675</v>
      </c>
      <c r="R19" s="14">
        <f t="shared" si="6"/>
        <v>675</v>
      </c>
      <c r="S19" s="34">
        <v>300</v>
      </c>
      <c r="T19" s="35">
        <v>1032</v>
      </c>
      <c r="U19" s="36"/>
      <c r="V19" s="37"/>
      <c r="W19" s="37"/>
      <c r="X19" s="24">
        <f t="shared" si="7"/>
        <v>300</v>
      </c>
      <c r="Y19" s="24">
        <f t="shared" si="8"/>
        <v>375</v>
      </c>
    </row>
    <row r="20" spans="1:25" x14ac:dyDescent="0.25">
      <c r="A20" s="96">
        <v>15</v>
      </c>
      <c r="B20" s="87">
        <v>43500</v>
      </c>
      <c r="C20" s="23" t="s">
        <v>408</v>
      </c>
      <c r="D20" s="35"/>
      <c r="E20" s="35" t="s">
        <v>414</v>
      </c>
      <c r="F20" s="35" t="s">
        <v>413</v>
      </c>
      <c r="G20" s="34">
        <v>60</v>
      </c>
      <c r="H20" s="34">
        <v>75</v>
      </c>
      <c r="I20" s="14">
        <f t="shared" si="0"/>
        <v>135</v>
      </c>
      <c r="J20" s="14">
        <f t="shared" si="1"/>
        <v>17.55</v>
      </c>
      <c r="K20" s="14">
        <f t="shared" si="2"/>
        <v>117.45</v>
      </c>
      <c r="L20" s="34"/>
      <c r="M20" s="34"/>
      <c r="N20" s="14">
        <f t="shared" si="3"/>
        <v>0</v>
      </c>
      <c r="O20" s="22">
        <f t="shared" si="4"/>
        <v>60</v>
      </c>
      <c r="P20" s="22">
        <f t="shared" si="4"/>
        <v>75</v>
      </c>
      <c r="Q20" s="14">
        <f t="shared" si="5"/>
        <v>135</v>
      </c>
      <c r="R20" s="14">
        <f t="shared" si="6"/>
        <v>135</v>
      </c>
      <c r="S20" s="34">
        <v>50</v>
      </c>
      <c r="T20" s="35">
        <v>1034</v>
      </c>
      <c r="U20" s="36"/>
      <c r="V20" s="37"/>
      <c r="W20" s="37"/>
      <c r="X20" s="24">
        <f t="shared" si="7"/>
        <v>50</v>
      </c>
      <c r="Y20" s="24">
        <f t="shared" si="8"/>
        <v>85</v>
      </c>
    </row>
    <row r="21" spans="1:25" ht="27" x14ac:dyDescent="0.25">
      <c r="A21" s="96">
        <v>16</v>
      </c>
      <c r="B21" s="87">
        <v>43500</v>
      </c>
      <c r="C21" s="23" t="s">
        <v>409</v>
      </c>
      <c r="D21" s="35" t="s">
        <v>415</v>
      </c>
      <c r="E21" s="35" t="s">
        <v>416</v>
      </c>
      <c r="F21" s="35" t="s">
        <v>341</v>
      </c>
      <c r="G21" s="34">
        <v>180</v>
      </c>
      <c r="H21" s="34">
        <v>75</v>
      </c>
      <c r="I21" s="14">
        <f t="shared" si="0"/>
        <v>255</v>
      </c>
      <c r="J21" s="14">
        <f t="shared" si="1"/>
        <v>33.15</v>
      </c>
      <c r="K21" s="14">
        <f t="shared" si="2"/>
        <v>221.85</v>
      </c>
      <c r="L21" s="34"/>
      <c r="M21" s="34"/>
      <c r="N21" s="14">
        <f t="shared" si="3"/>
        <v>0</v>
      </c>
      <c r="O21" s="22">
        <f t="shared" si="4"/>
        <v>180</v>
      </c>
      <c r="P21" s="22">
        <f t="shared" si="4"/>
        <v>75</v>
      </c>
      <c r="Q21" s="14">
        <f t="shared" si="5"/>
        <v>255</v>
      </c>
      <c r="R21" s="14">
        <f t="shared" si="6"/>
        <v>255</v>
      </c>
      <c r="S21" s="34">
        <v>5</v>
      </c>
      <c r="T21" s="35">
        <v>1035</v>
      </c>
      <c r="U21" s="36"/>
      <c r="V21" s="37"/>
      <c r="W21" s="37"/>
      <c r="X21" s="24">
        <f t="shared" si="7"/>
        <v>5</v>
      </c>
      <c r="Y21" s="24">
        <f t="shared" si="8"/>
        <v>250</v>
      </c>
    </row>
    <row r="22" spans="1:25" ht="27" x14ac:dyDescent="0.25">
      <c r="A22" s="96">
        <v>17</v>
      </c>
      <c r="B22" s="87">
        <v>43501</v>
      </c>
      <c r="C22" s="23" t="s">
        <v>417</v>
      </c>
      <c r="D22" s="35" t="s">
        <v>419</v>
      </c>
      <c r="E22" s="35" t="s">
        <v>420</v>
      </c>
      <c r="F22" s="35" t="s">
        <v>421</v>
      </c>
      <c r="G22" s="34">
        <v>30</v>
      </c>
      <c r="H22" s="34">
        <v>100</v>
      </c>
      <c r="I22" s="14">
        <f t="shared" si="0"/>
        <v>130</v>
      </c>
      <c r="J22" s="14">
        <f t="shared" si="1"/>
        <v>16.900000000000002</v>
      </c>
      <c r="K22" s="14">
        <f t="shared" si="2"/>
        <v>113.1</v>
      </c>
      <c r="L22" s="34"/>
      <c r="M22" s="34"/>
      <c r="N22" s="14">
        <f t="shared" si="3"/>
        <v>0</v>
      </c>
      <c r="O22" s="22">
        <f t="shared" si="4"/>
        <v>30</v>
      </c>
      <c r="P22" s="22">
        <f t="shared" si="4"/>
        <v>100</v>
      </c>
      <c r="Q22" s="14">
        <f t="shared" si="5"/>
        <v>130</v>
      </c>
      <c r="R22" s="14">
        <f t="shared" si="6"/>
        <v>130</v>
      </c>
      <c r="S22" s="34">
        <v>65</v>
      </c>
      <c r="T22" s="35">
        <v>1037</v>
      </c>
      <c r="U22" s="36"/>
      <c r="V22" s="37"/>
      <c r="W22" s="37"/>
      <c r="X22" s="24">
        <f t="shared" si="7"/>
        <v>65</v>
      </c>
      <c r="Y22" s="24">
        <f t="shared" si="8"/>
        <v>65</v>
      </c>
    </row>
    <row r="23" spans="1:25" ht="27" x14ac:dyDescent="0.25">
      <c r="A23" s="96">
        <v>18</v>
      </c>
      <c r="B23" s="87">
        <v>43501</v>
      </c>
      <c r="C23" s="23" t="s">
        <v>418</v>
      </c>
      <c r="D23" s="35" t="s">
        <v>422</v>
      </c>
      <c r="E23" s="35" t="s">
        <v>423</v>
      </c>
      <c r="F23" s="35" t="s">
        <v>337</v>
      </c>
      <c r="G23" s="34">
        <v>180</v>
      </c>
      <c r="H23" s="34">
        <f>205+75</f>
        <v>280</v>
      </c>
      <c r="I23" s="14">
        <f t="shared" si="0"/>
        <v>460</v>
      </c>
      <c r="J23" s="14">
        <f t="shared" si="1"/>
        <v>59.800000000000004</v>
      </c>
      <c r="K23" s="14">
        <f t="shared" si="2"/>
        <v>400.2</v>
      </c>
      <c r="L23" s="34"/>
      <c r="M23" s="34"/>
      <c r="N23" s="14">
        <f t="shared" si="3"/>
        <v>0</v>
      </c>
      <c r="O23" s="22">
        <f t="shared" si="4"/>
        <v>180</v>
      </c>
      <c r="P23" s="22">
        <f t="shared" si="4"/>
        <v>280</v>
      </c>
      <c r="Q23" s="14">
        <f t="shared" si="5"/>
        <v>460</v>
      </c>
      <c r="R23" s="14">
        <f t="shared" si="6"/>
        <v>460</v>
      </c>
      <c r="S23" s="34">
        <v>230</v>
      </c>
      <c r="T23" s="35">
        <v>1039</v>
      </c>
      <c r="U23" s="36"/>
      <c r="V23" s="37"/>
      <c r="W23" s="37"/>
      <c r="X23" s="24">
        <f t="shared" si="7"/>
        <v>230</v>
      </c>
      <c r="Y23" s="24">
        <f t="shared" si="8"/>
        <v>230</v>
      </c>
    </row>
    <row r="24" spans="1:25" x14ac:dyDescent="0.25">
      <c r="A24" s="96">
        <v>19</v>
      </c>
      <c r="B24" s="87">
        <v>43502</v>
      </c>
      <c r="C24" s="23" t="s">
        <v>424</v>
      </c>
      <c r="D24" s="35" t="s">
        <v>426</v>
      </c>
      <c r="E24" s="35" t="s">
        <v>427</v>
      </c>
      <c r="F24" s="35" t="s">
        <v>341</v>
      </c>
      <c r="G24" s="34">
        <v>25</v>
      </c>
      <c r="H24" s="34">
        <v>75</v>
      </c>
      <c r="I24" s="14">
        <f t="shared" si="0"/>
        <v>100</v>
      </c>
      <c r="J24" s="14">
        <f t="shared" si="1"/>
        <v>13</v>
      </c>
      <c r="K24" s="14">
        <f t="shared" si="2"/>
        <v>87</v>
      </c>
      <c r="L24" s="34"/>
      <c r="M24" s="34"/>
      <c r="N24" s="14">
        <f t="shared" si="3"/>
        <v>0</v>
      </c>
      <c r="O24" s="22">
        <f t="shared" ref="O24:P39" si="9">G24-L24</f>
        <v>25</v>
      </c>
      <c r="P24" s="22">
        <f t="shared" si="9"/>
        <v>75</v>
      </c>
      <c r="Q24" s="14">
        <f t="shared" si="5"/>
        <v>100</v>
      </c>
      <c r="R24" s="14">
        <f t="shared" si="6"/>
        <v>100</v>
      </c>
      <c r="S24" s="34">
        <v>50</v>
      </c>
      <c r="T24" s="35">
        <v>1042</v>
      </c>
      <c r="U24" s="36"/>
      <c r="V24" s="37"/>
      <c r="W24" s="37"/>
      <c r="X24" s="24">
        <f t="shared" si="7"/>
        <v>50</v>
      </c>
      <c r="Y24" s="24">
        <f t="shared" si="8"/>
        <v>50</v>
      </c>
    </row>
    <row r="25" spans="1:25" x14ac:dyDescent="0.25">
      <c r="A25" s="96">
        <v>20</v>
      </c>
      <c r="B25" s="87">
        <v>43502</v>
      </c>
      <c r="C25" s="23" t="s">
        <v>425</v>
      </c>
      <c r="D25" s="35" t="s">
        <v>428</v>
      </c>
      <c r="E25" s="35" t="s">
        <v>429</v>
      </c>
      <c r="F25" s="35" t="s">
        <v>341</v>
      </c>
      <c r="G25" s="34">
        <v>25</v>
      </c>
      <c r="H25" s="34">
        <v>75</v>
      </c>
      <c r="I25" s="14">
        <f t="shared" si="0"/>
        <v>100</v>
      </c>
      <c r="J25" s="14">
        <f t="shared" si="1"/>
        <v>13</v>
      </c>
      <c r="K25" s="14">
        <f t="shared" si="2"/>
        <v>87</v>
      </c>
      <c r="L25" s="34"/>
      <c r="M25" s="34"/>
      <c r="N25" s="14">
        <f t="shared" si="3"/>
        <v>0</v>
      </c>
      <c r="O25" s="22">
        <f t="shared" si="9"/>
        <v>25</v>
      </c>
      <c r="P25" s="22">
        <f t="shared" si="9"/>
        <v>75</v>
      </c>
      <c r="Q25" s="14">
        <f t="shared" si="5"/>
        <v>100</v>
      </c>
      <c r="R25" s="14">
        <f t="shared" si="6"/>
        <v>100</v>
      </c>
      <c r="S25" s="34">
        <v>50</v>
      </c>
      <c r="T25" s="35">
        <v>1151</v>
      </c>
      <c r="U25" s="36"/>
      <c r="V25" s="37"/>
      <c r="W25" s="37"/>
      <c r="X25" s="24">
        <f t="shared" si="7"/>
        <v>50</v>
      </c>
      <c r="Y25" s="24">
        <f t="shared" si="8"/>
        <v>50</v>
      </c>
    </row>
    <row r="26" spans="1:25" ht="27" x14ac:dyDescent="0.25">
      <c r="A26" s="96">
        <v>21</v>
      </c>
      <c r="B26" s="87">
        <v>43503</v>
      </c>
      <c r="C26" s="23" t="s">
        <v>432</v>
      </c>
      <c r="D26" s="35" t="s">
        <v>433</v>
      </c>
      <c r="E26" s="35"/>
      <c r="F26" s="35" t="s">
        <v>434</v>
      </c>
      <c r="G26" s="34"/>
      <c r="H26" s="34">
        <v>150</v>
      </c>
      <c r="I26" s="14">
        <f t="shared" si="0"/>
        <v>150</v>
      </c>
      <c r="J26" s="14">
        <f t="shared" si="1"/>
        <v>19.5</v>
      </c>
      <c r="K26" s="14">
        <f t="shared" si="2"/>
        <v>130.5</v>
      </c>
      <c r="L26" s="34"/>
      <c r="M26" s="34"/>
      <c r="N26" s="14">
        <f t="shared" si="3"/>
        <v>0</v>
      </c>
      <c r="O26" s="22">
        <f t="shared" si="9"/>
        <v>0</v>
      </c>
      <c r="P26" s="22">
        <f t="shared" si="9"/>
        <v>150</v>
      </c>
      <c r="Q26" s="14">
        <f t="shared" si="5"/>
        <v>150</v>
      </c>
      <c r="R26" s="14">
        <f t="shared" si="6"/>
        <v>150</v>
      </c>
      <c r="S26" s="34">
        <v>150</v>
      </c>
      <c r="T26" s="35" t="s">
        <v>453</v>
      </c>
      <c r="U26" s="36"/>
      <c r="V26" s="37"/>
      <c r="W26" s="37"/>
      <c r="X26" s="24">
        <f t="shared" si="7"/>
        <v>150</v>
      </c>
      <c r="Y26" s="24">
        <f t="shared" si="8"/>
        <v>0</v>
      </c>
    </row>
    <row r="27" spans="1:25" x14ac:dyDescent="0.25">
      <c r="A27" s="36">
        <v>22</v>
      </c>
      <c r="B27" s="87">
        <v>43504</v>
      </c>
      <c r="C27" s="23" t="s">
        <v>435</v>
      </c>
      <c r="D27" s="35" t="s">
        <v>441</v>
      </c>
      <c r="E27" s="35" t="s">
        <v>442</v>
      </c>
      <c r="F27" s="35" t="s">
        <v>341</v>
      </c>
      <c r="G27" s="34">
        <v>60</v>
      </c>
      <c r="H27" s="34">
        <v>115</v>
      </c>
      <c r="I27" s="14">
        <f t="shared" si="0"/>
        <v>175</v>
      </c>
      <c r="J27" s="14">
        <f t="shared" si="1"/>
        <v>22.75</v>
      </c>
      <c r="K27" s="14">
        <f t="shared" si="2"/>
        <v>152.25</v>
      </c>
      <c r="L27" s="34"/>
      <c r="M27" s="34"/>
      <c r="N27" s="14">
        <f t="shared" si="3"/>
        <v>0</v>
      </c>
      <c r="O27" s="22">
        <f t="shared" si="9"/>
        <v>60</v>
      </c>
      <c r="P27" s="22">
        <f t="shared" si="9"/>
        <v>115</v>
      </c>
      <c r="Q27" s="14">
        <f t="shared" si="5"/>
        <v>175</v>
      </c>
      <c r="R27" s="14">
        <f t="shared" si="6"/>
        <v>175</v>
      </c>
      <c r="S27" s="34">
        <v>175</v>
      </c>
      <c r="T27" s="35">
        <v>1156</v>
      </c>
      <c r="U27" s="36"/>
      <c r="V27" s="37"/>
      <c r="W27" s="37"/>
      <c r="X27" s="24">
        <f t="shared" si="7"/>
        <v>175</v>
      </c>
      <c r="Y27" s="24">
        <f t="shared" si="8"/>
        <v>0</v>
      </c>
    </row>
    <row r="28" spans="1:25" ht="27" x14ac:dyDescent="0.25">
      <c r="A28" s="36">
        <v>23</v>
      </c>
      <c r="B28" s="87">
        <v>43504</v>
      </c>
      <c r="C28" s="23" t="s">
        <v>436</v>
      </c>
      <c r="D28" s="35" t="s">
        <v>443</v>
      </c>
      <c r="E28" s="35" t="s">
        <v>444</v>
      </c>
      <c r="F28" s="35" t="s">
        <v>390</v>
      </c>
      <c r="G28" s="34">
        <v>25</v>
      </c>
      <c r="H28" s="34">
        <v>75</v>
      </c>
      <c r="I28" s="14">
        <f t="shared" si="0"/>
        <v>100</v>
      </c>
      <c r="J28" s="14">
        <f t="shared" si="1"/>
        <v>13</v>
      </c>
      <c r="K28" s="14">
        <f t="shared" si="2"/>
        <v>87</v>
      </c>
      <c r="L28" s="34"/>
      <c r="M28" s="34"/>
      <c r="N28" s="14">
        <f t="shared" si="3"/>
        <v>0</v>
      </c>
      <c r="O28" s="22">
        <f t="shared" si="9"/>
        <v>25</v>
      </c>
      <c r="P28" s="22">
        <f t="shared" si="9"/>
        <v>75</v>
      </c>
      <c r="Q28" s="14">
        <f t="shared" si="5"/>
        <v>100</v>
      </c>
      <c r="R28" s="14">
        <f t="shared" si="6"/>
        <v>100</v>
      </c>
      <c r="S28" s="34">
        <v>50</v>
      </c>
      <c r="T28" s="35">
        <v>1157</v>
      </c>
      <c r="U28" s="36"/>
      <c r="V28" s="37"/>
      <c r="W28" s="37"/>
      <c r="X28" s="24">
        <f t="shared" si="7"/>
        <v>50</v>
      </c>
      <c r="Y28" s="24">
        <f t="shared" si="8"/>
        <v>50</v>
      </c>
    </row>
    <row r="29" spans="1:25" ht="27" x14ac:dyDescent="0.25">
      <c r="A29" s="36">
        <v>24</v>
      </c>
      <c r="B29" s="87">
        <v>43504</v>
      </c>
      <c r="C29" s="23" t="s">
        <v>437</v>
      </c>
      <c r="D29" s="35" t="s">
        <v>445</v>
      </c>
      <c r="E29" s="35" t="s">
        <v>446</v>
      </c>
      <c r="F29" s="35" t="s">
        <v>300</v>
      </c>
      <c r="G29" s="34">
        <v>50</v>
      </c>
      <c r="H29" s="34">
        <v>75</v>
      </c>
      <c r="I29" s="14">
        <f t="shared" si="0"/>
        <v>125</v>
      </c>
      <c r="J29" s="14">
        <f t="shared" si="1"/>
        <v>16.25</v>
      </c>
      <c r="K29" s="14">
        <f t="shared" si="2"/>
        <v>108.75</v>
      </c>
      <c r="L29" s="34"/>
      <c r="M29" s="34"/>
      <c r="N29" s="14">
        <f t="shared" si="3"/>
        <v>0</v>
      </c>
      <c r="O29" s="22">
        <f t="shared" si="9"/>
        <v>50</v>
      </c>
      <c r="P29" s="22">
        <f t="shared" si="9"/>
        <v>75</v>
      </c>
      <c r="Q29" s="14">
        <f t="shared" si="5"/>
        <v>125</v>
      </c>
      <c r="R29" s="14">
        <f t="shared" si="6"/>
        <v>125</v>
      </c>
      <c r="S29" s="34">
        <v>50</v>
      </c>
      <c r="T29" s="35">
        <v>1158</v>
      </c>
      <c r="U29" s="36"/>
      <c r="V29" s="37"/>
      <c r="W29" s="37"/>
      <c r="X29" s="24">
        <f t="shared" si="7"/>
        <v>50</v>
      </c>
      <c r="Y29" s="24">
        <f t="shared" si="8"/>
        <v>75</v>
      </c>
    </row>
    <row r="30" spans="1:25" x14ac:dyDescent="0.25">
      <c r="A30" s="36">
        <v>25</v>
      </c>
      <c r="B30" s="87">
        <v>43504</v>
      </c>
      <c r="C30" s="23" t="s">
        <v>438</v>
      </c>
      <c r="D30" s="35" t="s">
        <v>445</v>
      </c>
      <c r="E30" s="35" t="s">
        <v>447</v>
      </c>
      <c r="F30" s="35" t="s">
        <v>448</v>
      </c>
      <c r="G30" s="34">
        <v>20</v>
      </c>
      <c r="H30" s="34">
        <v>70</v>
      </c>
      <c r="I30" s="14">
        <f t="shared" si="0"/>
        <v>90</v>
      </c>
      <c r="J30" s="14">
        <f t="shared" si="1"/>
        <v>11.700000000000001</v>
      </c>
      <c r="K30" s="14">
        <f t="shared" si="2"/>
        <v>78.3</v>
      </c>
      <c r="L30" s="34"/>
      <c r="M30" s="34"/>
      <c r="N30" s="14">
        <f t="shared" si="3"/>
        <v>0</v>
      </c>
      <c r="O30" s="22">
        <f t="shared" si="9"/>
        <v>20</v>
      </c>
      <c r="P30" s="22">
        <f t="shared" si="9"/>
        <v>70</v>
      </c>
      <c r="Q30" s="14">
        <f t="shared" si="5"/>
        <v>90</v>
      </c>
      <c r="R30" s="14">
        <f t="shared" si="6"/>
        <v>90</v>
      </c>
      <c r="S30" s="34">
        <v>50</v>
      </c>
      <c r="T30" s="35">
        <v>1159</v>
      </c>
      <c r="U30" s="36"/>
      <c r="V30" s="37"/>
      <c r="W30" s="37"/>
      <c r="X30" s="24">
        <f t="shared" si="7"/>
        <v>50</v>
      </c>
      <c r="Y30" s="24">
        <f t="shared" si="8"/>
        <v>40</v>
      </c>
    </row>
    <row r="31" spans="1:25" ht="27" x14ac:dyDescent="0.25">
      <c r="A31" s="36">
        <v>26</v>
      </c>
      <c r="B31" s="87">
        <v>43504</v>
      </c>
      <c r="C31" s="23" t="s">
        <v>439</v>
      </c>
      <c r="D31" s="35" t="s">
        <v>449</v>
      </c>
      <c r="E31" s="35" t="s">
        <v>450</v>
      </c>
      <c r="F31" s="35" t="s">
        <v>451</v>
      </c>
      <c r="G31" s="34">
        <v>25</v>
      </c>
      <c r="H31" s="34">
        <v>200</v>
      </c>
      <c r="I31" s="14">
        <f t="shared" si="0"/>
        <v>225</v>
      </c>
      <c r="J31" s="14">
        <f t="shared" si="1"/>
        <v>29.25</v>
      </c>
      <c r="K31" s="14">
        <f t="shared" si="2"/>
        <v>195.75</v>
      </c>
      <c r="L31" s="34"/>
      <c r="M31" s="34"/>
      <c r="N31" s="14">
        <f t="shared" si="3"/>
        <v>0</v>
      </c>
      <c r="O31" s="22">
        <f t="shared" si="9"/>
        <v>25</v>
      </c>
      <c r="P31" s="22">
        <f t="shared" si="9"/>
        <v>200</v>
      </c>
      <c r="Q31" s="14">
        <f t="shared" si="5"/>
        <v>225</v>
      </c>
      <c r="R31" s="14">
        <f t="shared" si="6"/>
        <v>225</v>
      </c>
      <c r="S31" s="34">
        <v>30</v>
      </c>
      <c r="T31" s="35">
        <v>1160</v>
      </c>
      <c r="U31" s="36"/>
      <c r="V31" s="37"/>
      <c r="W31" s="37"/>
      <c r="X31" s="24">
        <f t="shared" si="7"/>
        <v>30</v>
      </c>
      <c r="Y31" s="24">
        <f t="shared" si="8"/>
        <v>195</v>
      </c>
    </row>
    <row r="32" spans="1:25" ht="27" x14ac:dyDescent="0.25">
      <c r="A32" s="36">
        <v>27</v>
      </c>
      <c r="B32" s="87">
        <v>43504</v>
      </c>
      <c r="C32" s="23" t="s">
        <v>440</v>
      </c>
      <c r="D32" s="35"/>
      <c r="E32" s="35" t="s">
        <v>452</v>
      </c>
      <c r="F32" s="35"/>
      <c r="G32" s="34">
        <v>5</v>
      </c>
      <c r="H32" s="34"/>
      <c r="I32" s="14">
        <f t="shared" si="0"/>
        <v>5</v>
      </c>
      <c r="J32" s="14">
        <f t="shared" si="1"/>
        <v>0.65</v>
      </c>
      <c r="K32" s="14">
        <f t="shared" si="2"/>
        <v>4.3499999999999996</v>
      </c>
      <c r="L32" s="34"/>
      <c r="M32" s="34"/>
      <c r="N32" s="14">
        <f t="shared" si="3"/>
        <v>0</v>
      </c>
      <c r="O32" s="22">
        <f t="shared" si="9"/>
        <v>5</v>
      </c>
      <c r="P32" s="22">
        <f t="shared" si="9"/>
        <v>0</v>
      </c>
      <c r="Q32" s="14">
        <f t="shared" si="5"/>
        <v>5</v>
      </c>
      <c r="R32" s="14">
        <f t="shared" si="6"/>
        <v>5</v>
      </c>
      <c r="S32" s="34">
        <v>5</v>
      </c>
      <c r="T32" s="35">
        <v>1162</v>
      </c>
      <c r="U32" s="36"/>
      <c r="V32" s="37"/>
      <c r="W32" s="37"/>
      <c r="X32" s="24">
        <f t="shared" si="7"/>
        <v>5</v>
      </c>
      <c r="Y32" s="24">
        <f t="shared" si="8"/>
        <v>0</v>
      </c>
    </row>
    <row r="33" spans="1:25" ht="27" x14ac:dyDescent="0.25">
      <c r="A33" s="36">
        <v>28</v>
      </c>
      <c r="B33" s="87">
        <v>43505</v>
      </c>
      <c r="C33" s="23" t="s">
        <v>454</v>
      </c>
      <c r="D33" s="35" t="s">
        <v>457</v>
      </c>
      <c r="E33" s="35" t="s">
        <v>458</v>
      </c>
      <c r="F33" s="35" t="s">
        <v>459</v>
      </c>
      <c r="G33" s="34">
        <v>20</v>
      </c>
      <c r="H33" s="34">
        <v>75</v>
      </c>
      <c r="I33" s="14">
        <f t="shared" si="0"/>
        <v>95</v>
      </c>
      <c r="J33" s="14">
        <f t="shared" si="1"/>
        <v>12.35</v>
      </c>
      <c r="K33" s="14">
        <f t="shared" si="2"/>
        <v>82.65</v>
      </c>
      <c r="L33" s="34"/>
      <c r="M33" s="34"/>
      <c r="N33" s="14">
        <f t="shared" si="3"/>
        <v>0</v>
      </c>
      <c r="O33" s="22">
        <f t="shared" si="9"/>
        <v>20</v>
      </c>
      <c r="P33" s="22">
        <f t="shared" si="9"/>
        <v>75</v>
      </c>
      <c r="Q33" s="14">
        <f t="shared" si="5"/>
        <v>95</v>
      </c>
      <c r="R33" s="14">
        <f t="shared" si="6"/>
        <v>95</v>
      </c>
      <c r="S33" s="34">
        <v>50</v>
      </c>
      <c r="T33" s="35">
        <v>1164</v>
      </c>
      <c r="U33" s="36"/>
      <c r="V33" s="37"/>
      <c r="W33" s="37"/>
      <c r="X33" s="24">
        <f t="shared" si="7"/>
        <v>50</v>
      </c>
      <c r="Y33" s="24">
        <f t="shared" si="8"/>
        <v>45</v>
      </c>
    </row>
    <row r="34" spans="1:25" ht="27" x14ac:dyDescent="0.25">
      <c r="A34" s="36">
        <v>29</v>
      </c>
      <c r="B34" s="87">
        <v>43505</v>
      </c>
      <c r="C34" s="23" t="s">
        <v>455</v>
      </c>
      <c r="D34" s="35" t="s">
        <v>460</v>
      </c>
      <c r="E34" s="23"/>
      <c r="F34" s="35" t="s">
        <v>461</v>
      </c>
      <c r="G34" s="34"/>
      <c r="H34" s="34">
        <v>35</v>
      </c>
      <c r="I34" s="14">
        <f t="shared" si="0"/>
        <v>35</v>
      </c>
      <c r="J34" s="14">
        <f t="shared" si="1"/>
        <v>4.55</v>
      </c>
      <c r="K34" s="14">
        <f t="shared" si="2"/>
        <v>30.45</v>
      </c>
      <c r="L34" s="34"/>
      <c r="M34" s="34"/>
      <c r="N34" s="14">
        <f t="shared" si="3"/>
        <v>0</v>
      </c>
      <c r="O34" s="22">
        <f t="shared" si="9"/>
        <v>0</v>
      </c>
      <c r="P34" s="22">
        <f t="shared" si="9"/>
        <v>35</v>
      </c>
      <c r="Q34" s="14">
        <f t="shared" si="5"/>
        <v>35</v>
      </c>
      <c r="R34" s="14">
        <f t="shared" si="6"/>
        <v>35</v>
      </c>
      <c r="S34" s="34">
        <v>20</v>
      </c>
      <c r="T34" s="35">
        <v>1165</v>
      </c>
      <c r="U34" s="36"/>
      <c r="V34" s="37"/>
      <c r="W34" s="37"/>
      <c r="X34" s="24">
        <f t="shared" si="7"/>
        <v>20</v>
      </c>
      <c r="Y34" s="24">
        <f t="shared" si="8"/>
        <v>15</v>
      </c>
    </row>
    <row r="35" spans="1:25" ht="28.5" customHeight="1" x14ac:dyDescent="0.25">
      <c r="A35" s="36">
        <v>30</v>
      </c>
      <c r="B35" s="87">
        <v>43505</v>
      </c>
      <c r="C35" s="23" t="s">
        <v>456</v>
      </c>
      <c r="D35" s="35"/>
      <c r="E35" s="35" t="s">
        <v>462</v>
      </c>
      <c r="F35" s="35"/>
      <c r="G35" s="34">
        <v>4</v>
      </c>
      <c r="H35" s="34"/>
      <c r="I35" s="14">
        <f t="shared" si="0"/>
        <v>4</v>
      </c>
      <c r="J35" s="14">
        <f t="shared" si="1"/>
        <v>0.52</v>
      </c>
      <c r="K35" s="14">
        <f t="shared" si="2"/>
        <v>3.48</v>
      </c>
      <c r="L35" s="34"/>
      <c r="M35" s="34"/>
      <c r="N35" s="14">
        <f t="shared" si="3"/>
        <v>0</v>
      </c>
      <c r="O35" s="22">
        <f t="shared" si="9"/>
        <v>4</v>
      </c>
      <c r="P35" s="22">
        <f t="shared" si="9"/>
        <v>0</v>
      </c>
      <c r="Q35" s="14">
        <f t="shared" si="5"/>
        <v>4</v>
      </c>
      <c r="R35" s="14">
        <f t="shared" si="6"/>
        <v>4</v>
      </c>
      <c r="S35" s="34">
        <v>4</v>
      </c>
      <c r="T35" s="35">
        <v>1167</v>
      </c>
      <c r="U35" s="36"/>
      <c r="V35" s="37"/>
      <c r="W35" s="37"/>
      <c r="X35" s="24">
        <f t="shared" si="7"/>
        <v>4</v>
      </c>
      <c r="Y35" s="24">
        <f t="shared" si="8"/>
        <v>0</v>
      </c>
    </row>
    <row r="36" spans="1:25" ht="27" x14ac:dyDescent="0.25">
      <c r="A36" s="36">
        <v>31</v>
      </c>
      <c r="B36" s="87">
        <v>43506</v>
      </c>
      <c r="C36" s="23" t="s">
        <v>463</v>
      </c>
      <c r="D36" s="35" t="s">
        <v>465</v>
      </c>
      <c r="E36" s="35" t="s">
        <v>466</v>
      </c>
      <c r="F36" s="35" t="s">
        <v>300</v>
      </c>
      <c r="G36" s="34">
        <v>50</v>
      </c>
      <c r="H36" s="34">
        <v>100</v>
      </c>
      <c r="I36" s="14">
        <f t="shared" si="0"/>
        <v>150</v>
      </c>
      <c r="J36" s="14">
        <f t="shared" si="1"/>
        <v>19.5</v>
      </c>
      <c r="K36" s="14">
        <f t="shared" si="2"/>
        <v>130.5</v>
      </c>
      <c r="L36" s="34"/>
      <c r="M36" s="34"/>
      <c r="N36" s="14">
        <f t="shared" si="3"/>
        <v>0</v>
      </c>
      <c r="O36" s="22">
        <f t="shared" si="9"/>
        <v>50</v>
      </c>
      <c r="P36" s="22">
        <f t="shared" si="9"/>
        <v>100</v>
      </c>
      <c r="Q36" s="14">
        <f t="shared" si="5"/>
        <v>150</v>
      </c>
      <c r="R36" s="14">
        <f t="shared" si="6"/>
        <v>150</v>
      </c>
      <c r="S36" s="34">
        <v>75</v>
      </c>
      <c r="T36" s="35">
        <v>1169</v>
      </c>
      <c r="U36" s="36"/>
      <c r="V36" s="37"/>
      <c r="W36" s="37"/>
      <c r="X36" s="24">
        <f t="shared" si="7"/>
        <v>75</v>
      </c>
      <c r="Y36" s="24">
        <f t="shared" si="8"/>
        <v>75</v>
      </c>
    </row>
    <row r="37" spans="1:25" ht="27" x14ac:dyDescent="0.25">
      <c r="A37" s="36">
        <v>32</v>
      </c>
      <c r="B37" s="87">
        <v>43506</v>
      </c>
      <c r="C37" s="23" t="s">
        <v>464</v>
      </c>
      <c r="D37" s="35" t="s">
        <v>467</v>
      </c>
      <c r="E37" s="35" t="s">
        <v>468</v>
      </c>
      <c r="F37" s="35" t="s">
        <v>300</v>
      </c>
      <c r="G37" s="34">
        <v>160</v>
      </c>
      <c r="H37" s="34">
        <v>70</v>
      </c>
      <c r="I37" s="14">
        <f t="shared" si="0"/>
        <v>230</v>
      </c>
      <c r="J37" s="14">
        <f t="shared" si="1"/>
        <v>29.900000000000002</v>
      </c>
      <c r="K37" s="14">
        <f t="shared" si="2"/>
        <v>200.1</v>
      </c>
      <c r="L37" s="34"/>
      <c r="M37" s="34"/>
      <c r="N37" s="14">
        <f t="shared" si="3"/>
        <v>0</v>
      </c>
      <c r="O37" s="22">
        <f t="shared" si="9"/>
        <v>160</v>
      </c>
      <c r="P37" s="22">
        <f t="shared" si="9"/>
        <v>70</v>
      </c>
      <c r="Q37" s="14">
        <f t="shared" si="5"/>
        <v>230</v>
      </c>
      <c r="R37" s="14">
        <f t="shared" si="6"/>
        <v>230</v>
      </c>
      <c r="S37" s="34">
        <v>77</v>
      </c>
      <c r="T37" s="35">
        <v>1170</v>
      </c>
      <c r="U37" s="36"/>
      <c r="V37" s="37"/>
      <c r="W37" s="37"/>
      <c r="X37" s="24">
        <f t="shared" si="7"/>
        <v>77</v>
      </c>
      <c r="Y37" s="24">
        <f t="shared" si="8"/>
        <v>153</v>
      </c>
    </row>
    <row r="38" spans="1:25" ht="27" x14ac:dyDescent="0.25">
      <c r="A38" s="36">
        <v>33</v>
      </c>
      <c r="B38" s="87">
        <v>43507</v>
      </c>
      <c r="C38" s="23" t="s">
        <v>469</v>
      </c>
      <c r="D38" s="35" t="s">
        <v>474</v>
      </c>
      <c r="E38" s="35" t="s">
        <v>475</v>
      </c>
      <c r="F38" s="35" t="s">
        <v>476</v>
      </c>
      <c r="G38" s="34">
        <v>35</v>
      </c>
      <c r="H38" s="34">
        <v>150</v>
      </c>
      <c r="I38" s="14">
        <f t="shared" si="0"/>
        <v>185</v>
      </c>
      <c r="J38" s="14">
        <f t="shared" si="1"/>
        <v>24.05</v>
      </c>
      <c r="K38" s="14">
        <f t="shared" si="2"/>
        <v>160.94999999999999</v>
      </c>
      <c r="L38" s="34"/>
      <c r="M38" s="34"/>
      <c r="N38" s="14">
        <f t="shared" si="3"/>
        <v>0</v>
      </c>
      <c r="O38" s="22">
        <f t="shared" si="9"/>
        <v>35</v>
      </c>
      <c r="P38" s="22">
        <f t="shared" si="9"/>
        <v>150</v>
      </c>
      <c r="Q38" s="14">
        <f t="shared" si="5"/>
        <v>185</v>
      </c>
      <c r="R38" s="14">
        <f t="shared" si="6"/>
        <v>185</v>
      </c>
      <c r="S38" s="34">
        <v>60</v>
      </c>
      <c r="T38" s="35">
        <v>1171</v>
      </c>
      <c r="U38" s="36"/>
      <c r="V38" s="37"/>
      <c r="W38" s="37"/>
      <c r="X38" s="24">
        <f t="shared" si="7"/>
        <v>60</v>
      </c>
      <c r="Y38" s="24">
        <f t="shared" si="8"/>
        <v>125</v>
      </c>
    </row>
    <row r="39" spans="1:25" x14ac:dyDescent="0.25">
      <c r="A39" s="36">
        <v>34</v>
      </c>
      <c r="B39" s="87">
        <v>43507</v>
      </c>
      <c r="C39" s="23" t="s">
        <v>470</v>
      </c>
      <c r="D39" s="35" t="s">
        <v>477</v>
      </c>
      <c r="E39" s="35" t="s">
        <v>478</v>
      </c>
      <c r="F39" s="35" t="s">
        <v>390</v>
      </c>
      <c r="G39" s="34">
        <v>50</v>
      </c>
      <c r="H39" s="34">
        <v>100</v>
      </c>
      <c r="I39" s="14">
        <f t="shared" si="0"/>
        <v>150</v>
      </c>
      <c r="J39" s="14">
        <f t="shared" si="1"/>
        <v>19.5</v>
      </c>
      <c r="K39" s="14">
        <f t="shared" si="2"/>
        <v>130.5</v>
      </c>
      <c r="L39" s="34"/>
      <c r="M39" s="34"/>
      <c r="N39" s="14">
        <f t="shared" si="3"/>
        <v>0</v>
      </c>
      <c r="O39" s="22">
        <f t="shared" si="9"/>
        <v>50</v>
      </c>
      <c r="P39" s="22">
        <f t="shared" si="9"/>
        <v>100</v>
      </c>
      <c r="Q39" s="14">
        <f t="shared" si="5"/>
        <v>150</v>
      </c>
      <c r="R39" s="14">
        <f t="shared" si="6"/>
        <v>150</v>
      </c>
      <c r="S39" s="34">
        <v>50</v>
      </c>
      <c r="T39" s="35">
        <v>1172</v>
      </c>
      <c r="U39" s="36"/>
      <c r="V39" s="37"/>
      <c r="W39" s="37"/>
      <c r="X39" s="24">
        <f t="shared" si="7"/>
        <v>50</v>
      </c>
      <c r="Y39" s="24">
        <f t="shared" si="8"/>
        <v>100</v>
      </c>
    </row>
    <row r="40" spans="1:25" ht="27" x14ac:dyDescent="0.25">
      <c r="A40" s="36">
        <v>35</v>
      </c>
      <c r="B40" s="87">
        <v>43507</v>
      </c>
      <c r="C40" s="23" t="s">
        <v>471</v>
      </c>
      <c r="D40" s="35" t="s">
        <v>479</v>
      </c>
      <c r="E40" s="35" t="s">
        <v>480</v>
      </c>
      <c r="F40" s="35" t="s">
        <v>481</v>
      </c>
      <c r="G40" s="34">
        <v>140</v>
      </c>
      <c r="H40" s="34">
        <v>140</v>
      </c>
      <c r="I40" s="14">
        <f t="shared" si="0"/>
        <v>280</v>
      </c>
      <c r="J40" s="14">
        <f t="shared" si="1"/>
        <v>36.4</v>
      </c>
      <c r="K40" s="14">
        <f t="shared" si="2"/>
        <v>243.6</v>
      </c>
      <c r="L40" s="34"/>
      <c r="M40" s="34"/>
      <c r="N40" s="14">
        <f t="shared" si="3"/>
        <v>0</v>
      </c>
      <c r="O40" s="22">
        <f t="shared" ref="O40:P75" si="10">G40-L40</f>
        <v>140</v>
      </c>
      <c r="P40" s="22">
        <f t="shared" si="10"/>
        <v>140</v>
      </c>
      <c r="Q40" s="14">
        <f t="shared" si="5"/>
        <v>280</v>
      </c>
      <c r="R40" s="14">
        <f t="shared" si="6"/>
        <v>280</v>
      </c>
      <c r="S40" s="34">
        <v>30</v>
      </c>
      <c r="T40" s="35">
        <v>1174</v>
      </c>
      <c r="U40" s="36"/>
      <c r="V40" s="37"/>
      <c r="W40" s="37"/>
      <c r="X40" s="24">
        <f t="shared" si="7"/>
        <v>30</v>
      </c>
      <c r="Y40" s="24">
        <f t="shared" si="8"/>
        <v>250</v>
      </c>
    </row>
    <row r="41" spans="1:25" ht="27" x14ac:dyDescent="0.25">
      <c r="A41" s="36">
        <v>36</v>
      </c>
      <c r="B41" s="87">
        <v>43507</v>
      </c>
      <c r="C41" s="23" t="s">
        <v>472</v>
      </c>
      <c r="D41" s="35" t="s">
        <v>482</v>
      </c>
      <c r="E41" s="35" t="s">
        <v>483</v>
      </c>
      <c r="F41" s="35" t="s">
        <v>300</v>
      </c>
      <c r="G41" s="34">
        <v>180</v>
      </c>
      <c r="H41" s="34">
        <v>100</v>
      </c>
      <c r="I41" s="14">
        <f t="shared" si="0"/>
        <v>280</v>
      </c>
      <c r="J41" s="14">
        <f t="shared" si="1"/>
        <v>36.4</v>
      </c>
      <c r="K41" s="14">
        <f t="shared" si="2"/>
        <v>243.6</v>
      </c>
      <c r="L41" s="34"/>
      <c r="M41" s="34"/>
      <c r="N41" s="14">
        <f t="shared" si="3"/>
        <v>0</v>
      </c>
      <c r="O41" s="22">
        <f t="shared" si="10"/>
        <v>180</v>
      </c>
      <c r="P41" s="22">
        <f t="shared" si="10"/>
        <v>100</v>
      </c>
      <c r="Q41" s="14">
        <f t="shared" si="5"/>
        <v>280</v>
      </c>
      <c r="R41" s="14">
        <f t="shared" si="6"/>
        <v>280</v>
      </c>
      <c r="S41" s="34">
        <v>280</v>
      </c>
      <c r="T41" s="35">
        <v>1175</v>
      </c>
      <c r="U41" s="36"/>
      <c r="V41" s="37"/>
      <c r="W41" s="37"/>
      <c r="X41" s="24">
        <f t="shared" si="7"/>
        <v>280</v>
      </c>
      <c r="Y41" s="24">
        <f t="shared" si="8"/>
        <v>0</v>
      </c>
    </row>
    <row r="42" spans="1:25" ht="27" x14ac:dyDescent="0.25">
      <c r="A42" s="36">
        <v>37</v>
      </c>
      <c r="B42" s="87">
        <v>43507</v>
      </c>
      <c r="C42" s="23" t="s">
        <v>473</v>
      </c>
      <c r="D42" s="35" t="s">
        <v>484</v>
      </c>
      <c r="E42" s="35" t="s">
        <v>485</v>
      </c>
      <c r="F42" s="35" t="s">
        <v>486</v>
      </c>
      <c r="G42" s="34">
        <v>25</v>
      </c>
      <c r="H42" s="34">
        <v>60</v>
      </c>
      <c r="I42" s="14">
        <f t="shared" si="0"/>
        <v>85</v>
      </c>
      <c r="J42" s="14">
        <f t="shared" si="1"/>
        <v>11.05</v>
      </c>
      <c r="K42" s="14">
        <f t="shared" si="2"/>
        <v>73.95</v>
      </c>
      <c r="L42" s="34"/>
      <c r="M42" s="34"/>
      <c r="N42" s="14">
        <f t="shared" si="3"/>
        <v>0</v>
      </c>
      <c r="O42" s="22">
        <f t="shared" si="10"/>
        <v>25</v>
      </c>
      <c r="P42" s="22">
        <f t="shared" si="10"/>
        <v>60</v>
      </c>
      <c r="Q42" s="14">
        <f t="shared" si="5"/>
        <v>85</v>
      </c>
      <c r="R42" s="14">
        <f t="shared" si="6"/>
        <v>85</v>
      </c>
      <c r="S42" s="34">
        <v>85</v>
      </c>
      <c r="T42" s="35">
        <v>1176</v>
      </c>
      <c r="U42" s="36"/>
      <c r="V42" s="37"/>
      <c r="W42" s="37"/>
      <c r="X42" s="24">
        <f t="shared" si="7"/>
        <v>85</v>
      </c>
      <c r="Y42" s="24">
        <f t="shared" si="8"/>
        <v>0</v>
      </c>
    </row>
    <row r="43" spans="1:25" ht="27" x14ac:dyDescent="0.25">
      <c r="A43" s="36">
        <v>38</v>
      </c>
      <c r="B43" s="87">
        <v>43508</v>
      </c>
      <c r="C43" s="23" t="s">
        <v>487</v>
      </c>
      <c r="D43" s="35" t="s">
        <v>489</v>
      </c>
      <c r="E43" s="35" t="s">
        <v>490</v>
      </c>
      <c r="F43" s="35" t="s">
        <v>491</v>
      </c>
      <c r="G43" s="34">
        <v>60</v>
      </c>
      <c r="H43" s="34">
        <f>135+125</f>
        <v>260</v>
      </c>
      <c r="I43" s="14">
        <f t="shared" si="0"/>
        <v>320</v>
      </c>
      <c r="J43" s="14">
        <f t="shared" si="1"/>
        <v>41.6</v>
      </c>
      <c r="K43" s="14">
        <f t="shared" si="2"/>
        <v>278.39999999999998</v>
      </c>
      <c r="L43" s="34"/>
      <c r="M43" s="34"/>
      <c r="N43" s="14">
        <f t="shared" si="3"/>
        <v>0</v>
      </c>
      <c r="O43" s="22">
        <f t="shared" si="10"/>
        <v>60</v>
      </c>
      <c r="P43" s="22">
        <f t="shared" si="10"/>
        <v>260</v>
      </c>
      <c r="Q43" s="14">
        <f t="shared" si="5"/>
        <v>320</v>
      </c>
      <c r="R43" s="14">
        <f t="shared" si="6"/>
        <v>320</v>
      </c>
      <c r="S43" s="34">
        <v>100</v>
      </c>
      <c r="T43" s="35">
        <v>1047</v>
      </c>
      <c r="U43" s="36"/>
      <c r="V43" s="37"/>
      <c r="W43" s="37"/>
      <c r="X43" s="24">
        <f t="shared" si="7"/>
        <v>100</v>
      </c>
      <c r="Y43" s="24">
        <f t="shared" si="8"/>
        <v>220</v>
      </c>
    </row>
    <row r="44" spans="1:25" ht="27" x14ac:dyDescent="0.25">
      <c r="A44" s="36">
        <v>39</v>
      </c>
      <c r="B44" s="87">
        <v>43508</v>
      </c>
      <c r="C44" s="23" t="s">
        <v>488</v>
      </c>
      <c r="D44" s="35"/>
      <c r="E44" s="35" t="s">
        <v>452</v>
      </c>
      <c r="F44" s="35"/>
      <c r="G44" s="34">
        <v>5</v>
      </c>
      <c r="H44" s="34"/>
      <c r="I44" s="14">
        <f t="shared" si="0"/>
        <v>5</v>
      </c>
      <c r="J44" s="14">
        <f t="shared" si="1"/>
        <v>0.65</v>
      </c>
      <c r="K44" s="14">
        <f t="shared" si="2"/>
        <v>4.3499999999999996</v>
      </c>
      <c r="L44" s="34"/>
      <c r="M44" s="34"/>
      <c r="N44" s="14">
        <f t="shared" si="3"/>
        <v>0</v>
      </c>
      <c r="O44" s="22">
        <f t="shared" si="10"/>
        <v>5</v>
      </c>
      <c r="P44" s="22">
        <f t="shared" si="10"/>
        <v>0</v>
      </c>
      <c r="Q44" s="14">
        <f t="shared" si="5"/>
        <v>5</v>
      </c>
      <c r="R44" s="14">
        <f t="shared" si="6"/>
        <v>5</v>
      </c>
      <c r="S44" s="34">
        <v>5</v>
      </c>
      <c r="T44" s="35">
        <v>1048</v>
      </c>
      <c r="U44" s="36"/>
      <c r="V44" s="37"/>
      <c r="W44" s="37"/>
      <c r="X44" s="24">
        <f t="shared" si="7"/>
        <v>5</v>
      </c>
      <c r="Y44" s="24">
        <f t="shared" si="8"/>
        <v>0</v>
      </c>
    </row>
    <row r="45" spans="1:25" ht="27" x14ac:dyDescent="0.25">
      <c r="A45" s="36">
        <v>40</v>
      </c>
      <c r="B45" s="87">
        <v>43509</v>
      </c>
      <c r="C45" s="23" t="s">
        <v>492</v>
      </c>
      <c r="D45" s="35" t="s">
        <v>494</v>
      </c>
      <c r="E45" s="35" t="s">
        <v>495</v>
      </c>
      <c r="F45" s="35" t="s">
        <v>300</v>
      </c>
      <c r="G45" s="34">
        <v>25</v>
      </c>
      <c r="H45" s="34">
        <v>75</v>
      </c>
      <c r="I45" s="14">
        <f t="shared" si="0"/>
        <v>100</v>
      </c>
      <c r="J45" s="14">
        <f t="shared" si="1"/>
        <v>13</v>
      </c>
      <c r="K45" s="14">
        <f t="shared" si="2"/>
        <v>87</v>
      </c>
      <c r="L45" s="34"/>
      <c r="M45" s="34"/>
      <c r="N45" s="14">
        <f t="shared" si="3"/>
        <v>0</v>
      </c>
      <c r="O45" s="22">
        <f t="shared" si="10"/>
        <v>25</v>
      </c>
      <c r="P45" s="22">
        <f t="shared" si="10"/>
        <v>75</v>
      </c>
      <c r="Q45" s="14">
        <f t="shared" si="5"/>
        <v>100</v>
      </c>
      <c r="R45" s="14">
        <f t="shared" si="6"/>
        <v>100</v>
      </c>
      <c r="S45" s="34">
        <v>80</v>
      </c>
      <c r="T45" s="35">
        <v>1177</v>
      </c>
      <c r="U45" s="36"/>
      <c r="V45" s="37"/>
      <c r="W45" s="37"/>
      <c r="X45" s="24">
        <f t="shared" si="7"/>
        <v>80</v>
      </c>
      <c r="Y45" s="24">
        <f t="shared" si="8"/>
        <v>20</v>
      </c>
    </row>
    <row r="46" spans="1:25" x14ac:dyDescent="0.25">
      <c r="A46" s="36">
        <v>41</v>
      </c>
      <c r="B46" s="87">
        <v>43509</v>
      </c>
      <c r="C46" s="23" t="s">
        <v>493</v>
      </c>
      <c r="D46" s="35" t="s">
        <v>496</v>
      </c>
      <c r="E46" s="35" t="s">
        <v>497</v>
      </c>
      <c r="F46" s="35"/>
      <c r="G46" s="34">
        <v>1</v>
      </c>
      <c r="H46" s="34"/>
      <c r="I46" s="14">
        <f t="shared" si="0"/>
        <v>1</v>
      </c>
      <c r="J46" s="14">
        <f t="shared" si="1"/>
        <v>0.13</v>
      </c>
      <c r="K46" s="14">
        <f t="shared" si="2"/>
        <v>0.87</v>
      </c>
      <c r="L46" s="34"/>
      <c r="M46" s="34"/>
      <c r="N46" s="14">
        <f t="shared" si="3"/>
        <v>0</v>
      </c>
      <c r="O46" s="22">
        <f t="shared" si="10"/>
        <v>1</v>
      </c>
      <c r="P46" s="22">
        <f t="shared" si="10"/>
        <v>0</v>
      </c>
      <c r="Q46" s="14">
        <f t="shared" si="5"/>
        <v>1</v>
      </c>
      <c r="R46" s="14">
        <f t="shared" si="6"/>
        <v>1</v>
      </c>
      <c r="S46" s="34">
        <v>1</v>
      </c>
      <c r="T46" s="35">
        <v>1178</v>
      </c>
      <c r="U46" s="36"/>
      <c r="V46" s="37"/>
      <c r="W46" s="37"/>
      <c r="X46" s="24">
        <f t="shared" si="7"/>
        <v>1</v>
      </c>
      <c r="Y46" s="24">
        <f t="shared" si="8"/>
        <v>0</v>
      </c>
    </row>
    <row r="47" spans="1:25" ht="27" x14ac:dyDescent="0.25">
      <c r="A47" s="36">
        <v>42</v>
      </c>
      <c r="B47" s="87">
        <v>43509</v>
      </c>
      <c r="C47" s="23" t="s">
        <v>498</v>
      </c>
      <c r="D47" s="35" t="s">
        <v>499</v>
      </c>
      <c r="E47" s="35" t="s">
        <v>387</v>
      </c>
      <c r="F47" s="35" t="s">
        <v>300</v>
      </c>
      <c r="G47" s="34">
        <v>60</v>
      </c>
      <c r="H47" s="34">
        <v>120</v>
      </c>
      <c r="I47" s="14">
        <f t="shared" si="0"/>
        <v>180</v>
      </c>
      <c r="J47" s="14">
        <f t="shared" si="1"/>
        <v>23.400000000000002</v>
      </c>
      <c r="K47" s="14">
        <f t="shared" si="2"/>
        <v>156.6</v>
      </c>
      <c r="L47" s="34"/>
      <c r="M47" s="34"/>
      <c r="N47" s="14">
        <f t="shared" si="3"/>
        <v>0</v>
      </c>
      <c r="O47" s="22">
        <f t="shared" si="10"/>
        <v>60</v>
      </c>
      <c r="P47" s="22">
        <f t="shared" si="10"/>
        <v>120</v>
      </c>
      <c r="Q47" s="14">
        <f t="shared" si="5"/>
        <v>180</v>
      </c>
      <c r="R47" s="14">
        <f t="shared" si="6"/>
        <v>180</v>
      </c>
      <c r="S47" s="34">
        <v>45</v>
      </c>
      <c r="T47" s="35">
        <v>1181</v>
      </c>
      <c r="U47" s="36"/>
      <c r="V47" s="37"/>
      <c r="W47" s="37"/>
      <c r="X47" s="24">
        <f t="shared" si="7"/>
        <v>45</v>
      </c>
      <c r="Y47" s="24">
        <f t="shared" si="8"/>
        <v>135</v>
      </c>
    </row>
    <row r="48" spans="1:25" x14ac:dyDescent="0.25">
      <c r="A48" s="36">
        <v>43</v>
      </c>
      <c r="B48" s="87">
        <v>43510</v>
      </c>
      <c r="C48" s="23" t="s">
        <v>500</v>
      </c>
      <c r="D48" s="35"/>
      <c r="E48" s="35"/>
      <c r="F48" s="35"/>
      <c r="G48" s="34"/>
      <c r="H48" s="34"/>
      <c r="I48" s="14">
        <f t="shared" si="0"/>
        <v>0</v>
      </c>
      <c r="J48" s="14">
        <f t="shared" si="1"/>
        <v>0</v>
      </c>
      <c r="K48" s="14">
        <f t="shared" si="2"/>
        <v>0</v>
      </c>
      <c r="L48" s="34"/>
      <c r="M48" s="34"/>
      <c r="N48" s="14">
        <f t="shared" si="3"/>
        <v>0</v>
      </c>
      <c r="O48" s="22">
        <f t="shared" si="10"/>
        <v>0</v>
      </c>
      <c r="P48" s="22">
        <f t="shared" si="10"/>
        <v>0</v>
      </c>
      <c r="Q48" s="14">
        <f t="shared" si="5"/>
        <v>0</v>
      </c>
      <c r="R48" s="14">
        <f t="shared" si="6"/>
        <v>0</v>
      </c>
      <c r="S48" s="34"/>
      <c r="T48" s="35"/>
      <c r="U48" s="36"/>
      <c r="V48" s="37"/>
      <c r="W48" s="37"/>
      <c r="X48" s="24">
        <f t="shared" si="7"/>
        <v>0</v>
      </c>
      <c r="Y48" s="24">
        <f t="shared" si="8"/>
        <v>0</v>
      </c>
    </row>
    <row r="49" spans="1:25" ht="27" x14ac:dyDescent="0.25">
      <c r="A49" s="36">
        <v>44</v>
      </c>
      <c r="B49" s="87">
        <v>43510</v>
      </c>
      <c r="C49" s="23" t="s">
        <v>501</v>
      </c>
      <c r="D49" s="35"/>
      <c r="E49" s="35" t="s">
        <v>504</v>
      </c>
      <c r="F49" s="35"/>
      <c r="G49" s="34">
        <v>3</v>
      </c>
      <c r="H49" s="34"/>
      <c r="I49" s="14">
        <f t="shared" si="0"/>
        <v>3</v>
      </c>
      <c r="J49" s="14">
        <f t="shared" si="1"/>
        <v>0.39</v>
      </c>
      <c r="K49" s="14">
        <f t="shared" si="2"/>
        <v>2.61</v>
      </c>
      <c r="L49" s="34"/>
      <c r="M49" s="34"/>
      <c r="N49" s="14">
        <f t="shared" si="3"/>
        <v>0</v>
      </c>
      <c r="O49" s="22">
        <f t="shared" si="10"/>
        <v>3</v>
      </c>
      <c r="P49" s="22">
        <f t="shared" si="10"/>
        <v>0</v>
      </c>
      <c r="Q49" s="14">
        <f t="shared" si="5"/>
        <v>3</v>
      </c>
      <c r="R49" s="14">
        <f t="shared" si="6"/>
        <v>3</v>
      </c>
      <c r="S49" s="34">
        <v>3</v>
      </c>
      <c r="T49" s="35">
        <v>1184</v>
      </c>
      <c r="U49" s="36"/>
      <c r="V49" s="37"/>
      <c r="W49" s="37"/>
      <c r="X49" s="24">
        <f t="shared" si="7"/>
        <v>3</v>
      </c>
      <c r="Y49" s="24">
        <f t="shared" si="8"/>
        <v>0</v>
      </c>
    </row>
    <row r="50" spans="1:25" x14ac:dyDescent="0.25">
      <c r="A50" s="36">
        <v>45</v>
      </c>
      <c r="B50" s="87">
        <v>43510</v>
      </c>
      <c r="C50" s="23" t="s">
        <v>505</v>
      </c>
      <c r="D50" s="35" t="s">
        <v>506</v>
      </c>
      <c r="E50" s="35" t="s">
        <v>507</v>
      </c>
      <c r="F50" s="35" t="s">
        <v>508</v>
      </c>
      <c r="G50" s="34">
        <v>25</v>
      </c>
      <c r="H50" s="34">
        <v>75</v>
      </c>
      <c r="I50" s="14">
        <f t="shared" si="0"/>
        <v>100</v>
      </c>
      <c r="J50" s="14">
        <f t="shared" si="1"/>
        <v>13</v>
      </c>
      <c r="K50" s="14">
        <f t="shared" si="2"/>
        <v>87</v>
      </c>
      <c r="L50" s="34"/>
      <c r="M50" s="34"/>
      <c r="N50" s="14">
        <f t="shared" si="3"/>
        <v>0</v>
      </c>
      <c r="O50" s="22">
        <f t="shared" si="10"/>
        <v>25</v>
      </c>
      <c r="P50" s="22">
        <f t="shared" si="10"/>
        <v>75</v>
      </c>
      <c r="Q50" s="14">
        <f t="shared" si="5"/>
        <v>100</v>
      </c>
      <c r="R50" s="14">
        <f t="shared" si="6"/>
        <v>100</v>
      </c>
      <c r="S50" s="34">
        <v>50</v>
      </c>
      <c r="T50" s="35">
        <v>1185</v>
      </c>
      <c r="U50" s="36"/>
      <c r="V50" s="37"/>
      <c r="W50" s="37"/>
      <c r="X50" s="24">
        <f t="shared" si="7"/>
        <v>50</v>
      </c>
      <c r="Y50" s="24">
        <f t="shared" si="8"/>
        <v>50</v>
      </c>
    </row>
    <row r="51" spans="1:25" ht="27" x14ac:dyDescent="0.25">
      <c r="A51" s="36">
        <v>46</v>
      </c>
      <c r="B51" s="87">
        <v>43510</v>
      </c>
      <c r="C51" s="23" t="s">
        <v>502</v>
      </c>
      <c r="D51" s="35"/>
      <c r="E51" s="35" t="s">
        <v>504</v>
      </c>
      <c r="F51" s="35"/>
      <c r="G51" s="34">
        <v>3</v>
      </c>
      <c r="H51" s="34"/>
      <c r="I51" s="14">
        <f t="shared" si="0"/>
        <v>3</v>
      </c>
      <c r="J51" s="14">
        <f t="shared" si="1"/>
        <v>0.39</v>
      </c>
      <c r="K51" s="14">
        <f t="shared" si="2"/>
        <v>2.61</v>
      </c>
      <c r="L51" s="34"/>
      <c r="M51" s="34"/>
      <c r="N51" s="14">
        <f t="shared" si="3"/>
        <v>0</v>
      </c>
      <c r="O51" s="22">
        <f t="shared" si="10"/>
        <v>3</v>
      </c>
      <c r="P51" s="22">
        <f t="shared" si="10"/>
        <v>0</v>
      </c>
      <c r="Q51" s="14">
        <f t="shared" si="5"/>
        <v>3</v>
      </c>
      <c r="R51" s="14">
        <f t="shared" si="6"/>
        <v>3</v>
      </c>
      <c r="S51" s="34">
        <v>3</v>
      </c>
      <c r="T51" s="35">
        <v>1186</v>
      </c>
      <c r="U51" s="36"/>
      <c r="V51" s="37"/>
      <c r="W51" s="37"/>
      <c r="X51" s="24">
        <f t="shared" si="7"/>
        <v>3</v>
      </c>
      <c r="Y51" s="24">
        <f t="shared" si="8"/>
        <v>0</v>
      </c>
    </row>
    <row r="52" spans="1:25" x14ac:dyDescent="0.25">
      <c r="A52" s="36">
        <v>47</v>
      </c>
      <c r="B52" s="87">
        <v>43510</v>
      </c>
      <c r="C52" s="23" t="s">
        <v>503</v>
      </c>
      <c r="D52" s="35"/>
      <c r="E52" s="35"/>
      <c r="F52" s="35"/>
      <c r="G52" s="34"/>
      <c r="H52" s="34"/>
      <c r="I52" s="14">
        <f t="shared" si="0"/>
        <v>0</v>
      </c>
      <c r="J52" s="14">
        <f t="shared" si="1"/>
        <v>0</v>
      </c>
      <c r="K52" s="14">
        <f t="shared" si="2"/>
        <v>0</v>
      </c>
      <c r="L52" s="34"/>
      <c r="M52" s="34"/>
      <c r="N52" s="14">
        <f t="shared" si="3"/>
        <v>0</v>
      </c>
      <c r="O52" s="22">
        <f t="shared" si="10"/>
        <v>0</v>
      </c>
      <c r="P52" s="22">
        <f t="shared" si="10"/>
        <v>0</v>
      </c>
      <c r="Q52" s="14">
        <f t="shared" si="5"/>
        <v>0</v>
      </c>
      <c r="R52" s="14">
        <f t="shared" si="6"/>
        <v>0</v>
      </c>
      <c r="S52" s="34"/>
      <c r="T52" s="35"/>
      <c r="U52" s="36"/>
      <c r="V52" s="37"/>
      <c r="W52" s="37"/>
      <c r="X52" s="24">
        <f t="shared" si="7"/>
        <v>0</v>
      </c>
      <c r="Y52" s="24">
        <f t="shared" si="8"/>
        <v>0</v>
      </c>
    </row>
    <row r="53" spans="1:25" ht="27" x14ac:dyDescent="0.25">
      <c r="A53" s="36">
        <v>48</v>
      </c>
      <c r="B53" s="87">
        <v>43510</v>
      </c>
      <c r="C53" s="23" t="s">
        <v>509</v>
      </c>
      <c r="D53" s="35" t="s">
        <v>510</v>
      </c>
      <c r="E53" s="35" t="s">
        <v>511</v>
      </c>
      <c r="F53" s="35" t="s">
        <v>300</v>
      </c>
      <c r="G53" s="34">
        <v>180</v>
      </c>
      <c r="H53" s="34">
        <v>75</v>
      </c>
      <c r="I53" s="14">
        <f t="shared" si="0"/>
        <v>255</v>
      </c>
      <c r="J53" s="14">
        <f t="shared" si="1"/>
        <v>33.15</v>
      </c>
      <c r="K53" s="14">
        <f t="shared" si="2"/>
        <v>221.85</v>
      </c>
      <c r="L53" s="34"/>
      <c r="M53" s="34"/>
      <c r="N53" s="14">
        <f t="shared" si="3"/>
        <v>0</v>
      </c>
      <c r="O53" s="22">
        <f t="shared" si="10"/>
        <v>180</v>
      </c>
      <c r="P53" s="22">
        <f t="shared" si="10"/>
        <v>75</v>
      </c>
      <c r="Q53" s="14">
        <f t="shared" si="5"/>
        <v>255</v>
      </c>
      <c r="R53" s="14">
        <f t="shared" si="6"/>
        <v>255</v>
      </c>
      <c r="S53" s="34">
        <v>40</v>
      </c>
      <c r="T53" s="35">
        <v>1189</v>
      </c>
      <c r="U53" s="36"/>
      <c r="V53" s="37"/>
      <c r="W53" s="37"/>
      <c r="X53" s="24">
        <f t="shared" si="7"/>
        <v>40</v>
      </c>
      <c r="Y53" s="24">
        <f t="shared" si="8"/>
        <v>215</v>
      </c>
    </row>
    <row r="54" spans="1:25" ht="27" x14ac:dyDescent="0.25">
      <c r="A54" s="36">
        <v>49</v>
      </c>
      <c r="B54" s="87">
        <v>43510</v>
      </c>
      <c r="C54" s="23" t="s">
        <v>512</v>
      </c>
      <c r="D54" s="35" t="s">
        <v>513</v>
      </c>
      <c r="E54" s="35" t="s">
        <v>514</v>
      </c>
      <c r="F54" s="35" t="s">
        <v>515</v>
      </c>
      <c r="G54" s="34">
        <v>60</v>
      </c>
      <c r="H54" s="34">
        <v>225</v>
      </c>
      <c r="I54" s="14">
        <f t="shared" si="0"/>
        <v>285</v>
      </c>
      <c r="J54" s="14">
        <f t="shared" si="1"/>
        <v>37.050000000000004</v>
      </c>
      <c r="K54" s="14">
        <f t="shared" si="2"/>
        <v>247.95</v>
      </c>
      <c r="L54" s="34"/>
      <c r="M54" s="34"/>
      <c r="N54" s="14">
        <f t="shared" si="3"/>
        <v>0</v>
      </c>
      <c r="O54" s="22">
        <f t="shared" si="10"/>
        <v>60</v>
      </c>
      <c r="P54" s="22">
        <f t="shared" si="10"/>
        <v>225</v>
      </c>
      <c r="Q54" s="14">
        <f t="shared" si="5"/>
        <v>285</v>
      </c>
      <c r="R54" s="14">
        <f t="shared" si="6"/>
        <v>285</v>
      </c>
      <c r="S54" s="34">
        <v>10</v>
      </c>
      <c r="T54" s="35">
        <v>1190</v>
      </c>
      <c r="U54" s="36"/>
      <c r="V54" s="37"/>
      <c r="W54" s="37"/>
      <c r="X54" s="24">
        <f t="shared" si="7"/>
        <v>10</v>
      </c>
      <c r="Y54" s="24">
        <f t="shared" si="8"/>
        <v>275</v>
      </c>
    </row>
    <row r="55" spans="1:25" x14ac:dyDescent="0.25">
      <c r="A55" s="36">
        <v>50</v>
      </c>
      <c r="B55" s="87">
        <v>43510</v>
      </c>
      <c r="C55" s="23" t="s">
        <v>503</v>
      </c>
      <c r="D55" s="35"/>
      <c r="E55" s="35" t="s">
        <v>75</v>
      </c>
      <c r="F55" s="35"/>
      <c r="G55" s="34">
        <v>18</v>
      </c>
      <c r="H55" s="34"/>
      <c r="I55" s="14">
        <f t="shared" si="0"/>
        <v>18</v>
      </c>
      <c r="J55" s="14">
        <f t="shared" si="1"/>
        <v>2.34</v>
      </c>
      <c r="K55" s="14">
        <f t="shared" si="2"/>
        <v>15.66</v>
      </c>
      <c r="L55" s="34"/>
      <c r="M55" s="34"/>
      <c r="N55" s="14">
        <f t="shared" si="3"/>
        <v>0</v>
      </c>
      <c r="O55" s="22">
        <f t="shared" si="10"/>
        <v>18</v>
      </c>
      <c r="P55" s="22">
        <f t="shared" si="10"/>
        <v>0</v>
      </c>
      <c r="Q55" s="14">
        <f t="shared" si="5"/>
        <v>18</v>
      </c>
      <c r="R55" s="14">
        <f t="shared" si="6"/>
        <v>18</v>
      </c>
      <c r="S55" s="34">
        <v>18</v>
      </c>
      <c r="T55" s="35" t="s">
        <v>516</v>
      </c>
      <c r="U55" s="36"/>
      <c r="V55" s="37"/>
      <c r="W55" s="37"/>
      <c r="X55" s="24">
        <f t="shared" si="7"/>
        <v>18</v>
      </c>
      <c r="Y55" s="24">
        <f t="shared" si="8"/>
        <v>0</v>
      </c>
    </row>
    <row r="56" spans="1:25" ht="27" x14ac:dyDescent="0.25">
      <c r="A56" s="36">
        <v>51</v>
      </c>
      <c r="B56" s="87">
        <v>43511</v>
      </c>
      <c r="C56" s="23" t="s">
        <v>517</v>
      </c>
      <c r="D56" s="35"/>
      <c r="E56" s="35" t="s">
        <v>518</v>
      </c>
      <c r="F56" s="35" t="s">
        <v>300</v>
      </c>
      <c r="G56" s="34">
        <v>25</v>
      </c>
      <c r="H56" s="34">
        <v>75</v>
      </c>
      <c r="I56" s="14">
        <f t="shared" si="0"/>
        <v>100</v>
      </c>
      <c r="J56" s="14">
        <f t="shared" si="1"/>
        <v>13</v>
      </c>
      <c r="K56" s="14">
        <f t="shared" si="2"/>
        <v>87</v>
      </c>
      <c r="L56" s="34"/>
      <c r="M56" s="34"/>
      <c r="N56" s="14">
        <f t="shared" si="3"/>
        <v>0</v>
      </c>
      <c r="O56" s="22">
        <f t="shared" si="10"/>
        <v>25</v>
      </c>
      <c r="P56" s="22">
        <f t="shared" si="10"/>
        <v>75</v>
      </c>
      <c r="Q56" s="14">
        <f t="shared" si="5"/>
        <v>100</v>
      </c>
      <c r="R56" s="14">
        <f t="shared" si="6"/>
        <v>100</v>
      </c>
      <c r="S56" s="34">
        <v>50</v>
      </c>
      <c r="T56" s="35">
        <v>1191</v>
      </c>
      <c r="U56" s="36"/>
      <c r="V56" s="37"/>
      <c r="W56" s="37"/>
      <c r="X56" s="24">
        <f t="shared" si="7"/>
        <v>50</v>
      </c>
      <c r="Y56" s="24">
        <f t="shared" si="8"/>
        <v>50</v>
      </c>
    </row>
    <row r="57" spans="1:25" x14ac:dyDescent="0.25">
      <c r="A57" s="36">
        <v>52</v>
      </c>
      <c r="B57" s="87">
        <v>43512</v>
      </c>
      <c r="C57" s="23" t="s">
        <v>519</v>
      </c>
      <c r="D57" s="35" t="s">
        <v>522</v>
      </c>
      <c r="E57" s="35"/>
      <c r="F57" s="35" t="s">
        <v>523</v>
      </c>
      <c r="G57" s="34">
        <v>25</v>
      </c>
      <c r="H57" s="34">
        <v>75</v>
      </c>
      <c r="I57" s="14">
        <f t="shared" si="0"/>
        <v>100</v>
      </c>
      <c r="J57" s="14">
        <f t="shared" si="1"/>
        <v>13</v>
      </c>
      <c r="K57" s="14">
        <f t="shared" si="2"/>
        <v>87</v>
      </c>
      <c r="L57" s="34"/>
      <c r="M57" s="34"/>
      <c r="N57" s="14">
        <f t="shared" si="3"/>
        <v>0</v>
      </c>
      <c r="O57" s="22">
        <f t="shared" si="10"/>
        <v>25</v>
      </c>
      <c r="P57" s="22">
        <f t="shared" si="10"/>
        <v>75</v>
      </c>
      <c r="Q57" s="14">
        <f t="shared" si="5"/>
        <v>100</v>
      </c>
      <c r="R57" s="14">
        <f t="shared" si="6"/>
        <v>100</v>
      </c>
      <c r="S57" s="34">
        <v>50</v>
      </c>
      <c r="T57" s="35">
        <v>1195</v>
      </c>
      <c r="U57" s="36"/>
      <c r="V57" s="37"/>
      <c r="W57" s="37"/>
      <c r="X57" s="24">
        <f t="shared" si="7"/>
        <v>50</v>
      </c>
      <c r="Y57" s="24">
        <f t="shared" si="8"/>
        <v>50</v>
      </c>
    </row>
    <row r="58" spans="1:25" ht="27" x14ac:dyDescent="0.25">
      <c r="A58" s="36">
        <v>53</v>
      </c>
      <c r="B58" s="87">
        <v>43512</v>
      </c>
      <c r="C58" s="23" t="s">
        <v>520</v>
      </c>
      <c r="D58" s="35" t="s">
        <v>524</v>
      </c>
      <c r="E58" s="35" t="s">
        <v>525</v>
      </c>
      <c r="F58" s="35" t="s">
        <v>300</v>
      </c>
      <c r="G58" s="34">
        <v>25</v>
      </c>
      <c r="H58" s="34">
        <v>75</v>
      </c>
      <c r="I58" s="14">
        <f t="shared" si="0"/>
        <v>100</v>
      </c>
      <c r="J58" s="14">
        <f t="shared" si="1"/>
        <v>13</v>
      </c>
      <c r="K58" s="14">
        <f t="shared" si="2"/>
        <v>87</v>
      </c>
      <c r="L58" s="34"/>
      <c r="M58" s="34"/>
      <c r="N58" s="14">
        <f t="shared" si="3"/>
        <v>0</v>
      </c>
      <c r="O58" s="22">
        <f t="shared" si="10"/>
        <v>25</v>
      </c>
      <c r="P58" s="22">
        <f t="shared" si="10"/>
        <v>75</v>
      </c>
      <c r="Q58" s="14">
        <f t="shared" si="5"/>
        <v>100</v>
      </c>
      <c r="R58" s="14">
        <f t="shared" si="6"/>
        <v>100</v>
      </c>
      <c r="S58" s="34">
        <v>10</v>
      </c>
      <c r="T58" s="35">
        <v>1196</v>
      </c>
      <c r="U58" s="36"/>
      <c r="V58" s="37"/>
      <c r="W58" s="37"/>
      <c r="X58" s="24">
        <f t="shared" si="7"/>
        <v>10</v>
      </c>
      <c r="Y58" s="24">
        <f t="shared" si="8"/>
        <v>90</v>
      </c>
    </row>
    <row r="59" spans="1:25" x14ac:dyDescent="0.25">
      <c r="A59" s="36">
        <v>54</v>
      </c>
      <c r="B59" s="87">
        <v>43512</v>
      </c>
      <c r="C59" s="23" t="s">
        <v>521</v>
      </c>
      <c r="D59" s="35"/>
      <c r="E59" s="35" t="s">
        <v>526</v>
      </c>
      <c r="F59" s="35"/>
      <c r="G59" s="34">
        <v>25</v>
      </c>
      <c r="H59" s="34"/>
      <c r="I59" s="14">
        <f t="shared" si="0"/>
        <v>25</v>
      </c>
      <c r="J59" s="14">
        <f t="shared" si="1"/>
        <v>3.25</v>
      </c>
      <c r="K59" s="14">
        <f t="shared" si="2"/>
        <v>21.75</v>
      </c>
      <c r="L59" s="34"/>
      <c r="M59" s="34"/>
      <c r="N59" s="14">
        <f t="shared" si="3"/>
        <v>0</v>
      </c>
      <c r="O59" s="22">
        <f t="shared" si="10"/>
        <v>25</v>
      </c>
      <c r="P59" s="22">
        <f t="shared" si="10"/>
        <v>0</v>
      </c>
      <c r="Q59" s="14">
        <f t="shared" si="5"/>
        <v>25</v>
      </c>
      <c r="R59" s="14">
        <f t="shared" si="6"/>
        <v>25</v>
      </c>
      <c r="S59" s="34">
        <v>25</v>
      </c>
      <c r="T59" s="35">
        <v>1197</v>
      </c>
      <c r="U59" s="36"/>
      <c r="V59" s="37"/>
      <c r="W59" s="37"/>
      <c r="X59" s="24">
        <f t="shared" si="7"/>
        <v>25</v>
      </c>
      <c r="Y59" s="24">
        <f t="shared" si="8"/>
        <v>0</v>
      </c>
    </row>
    <row r="60" spans="1:25" ht="27" x14ac:dyDescent="0.25">
      <c r="A60" s="36">
        <v>55</v>
      </c>
      <c r="B60" s="87">
        <v>43512</v>
      </c>
      <c r="C60" s="23" t="s">
        <v>527</v>
      </c>
      <c r="D60" s="35" t="s">
        <v>528</v>
      </c>
      <c r="E60" s="35" t="s">
        <v>529</v>
      </c>
      <c r="F60" s="35" t="s">
        <v>300</v>
      </c>
      <c r="G60" s="34">
        <v>200</v>
      </c>
      <c r="H60" s="34">
        <v>115</v>
      </c>
      <c r="I60" s="14">
        <f t="shared" si="0"/>
        <v>315</v>
      </c>
      <c r="J60" s="14">
        <f t="shared" si="1"/>
        <v>40.950000000000003</v>
      </c>
      <c r="K60" s="14">
        <f t="shared" si="2"/>
        <v>274.05</v>
      </c>
      <c r="L60" s="34"/>
      <c r="M60" s="34"/>
      <c r="N60" s="14">
        <f t="shared" si="3"/>
        <v>0</v>
      </c>
      <c r="O60" s="22">
        <f t="shared" si="10"/>
        <v>200</v>
      </c>
      <c r="P60" s="22">
        <f t="shared" si="10"/>
        <v>115</v>
      </c>
      <c r="Q60" s="14">
        <f t="shared" si="5"/>
        <v>315</v>
      </c>
      <c r="R60" s="14">
        <f t="shared" si="6"/>
        <v>315</v>
      </c>
      <c r="S60" s="34">
        <v>315</v>
      </c>
      <c r="T60" s="35">
        <v>1198</v>
      </c>
      <c r="U60" s="36"/>
      <c r="V60" s="37"/>
      <c r="W60" s="37"/>
      <c r="X60" s="24">
        <f t="shared" si="7"/>
        <v>315</v>
      </c>
      <c r="Y60" s="24">
        <f t="shared" si="8"/>
        <v>0</v>
      </c>
    </row>
    <row r="61" spans="1:25" x14ac:dyDescent="0.25">
      <c r="A61" s="36">
        <v>56</v>
      </c>
      <c r="B61" s="87">
        <v>43512</v>
      </c>
      <c r="C61" s="23" t="s">
        <v>530</v>
      </c>
      <c r="D61" s="35" t="s">
        <v>531</v>
      </c>
      <c r="E61" s="35" t="s">
        <v>532</v>
      </c>
      <c r="F61" s="35" t="s">
        <v>230</v>
      </c>
      <c r="G61" s="34">
        <v>225</v>
      </c>
      <c r="H61" s="34">
        <v>100</v>
      </c>
      <c r="I61" s="14">
        <f t="shared" si="0"/>
        <v>325</v>
      </c>
      <c r="J61" s="14">
        <f t="shared" si="1"/>
        <v>42.25</v>
      </c>
      <c r="K61" s="14">
        <f t="shared" si="2"/>
        <v>282.75</v>
      </c>
      <c r="L61" s="34"/>
      <c r="M61" s="34"/>
      <c r="N61" s="14">
        <f t="shared" si="3"/>
        <v>0</v>
      </c>
      <c r="O61" s="22">
        <f t="shared" si="10"/>
        <v>225</v>
      </c>
      <c r="P61" s="22">
        <f t="shared" si="10"/>
        <v>100</v>
      </c>
      <c r="Q61" s="14">
        <f t="shared" si="5"/>
        <v>325</v>
      </c>
      <c r="R61" s="14">
        <f t="shared" si="6"/>
        <v>325</v>
      </c>
      <c r="S61" s="34">
        <v>325</v>
      </c>
      <c r="T61" s="35">
        <v>1199</v>
      </c>
      <c r="U61" s="36"/>
      <c r="V61" s="37"/>
      <c r="W61" s="37"/>
      <c r="X61" s="24">
        <f t="shared" si="7"/>
        <v>325</v>
      </c>
      <c r="Y61" s="24">
        <f t="shared" si="8"/>
        <v>0</v>
      </c>
    </row>
    <row r="62" spans="1:25" x14ac:dyDescent="0.25">
      <c r="A62" s="36">
        <v>57</v>
      </c>
      <c r="B62" s="87">
        <v>43513</v>
      </c>
      <c r="C62" s="23" t="s">
        <v>533</v>
      </c>
      <c r="D62" s="35"/>
      <c r="E62" s="35" t="s">
        <v>537</v>
      </c>
      <c r="F62" s="35"/>
      <c r="G62" s="34">
        <v>2</v>
      </c>
      <c r="H62" s="34"/>
      <c r="I62" s="14">
        <f t="shared" si="0"/>
        <v>2</v>
      </c>
      <c r="J62" s="14">
        <f t="shared" si="1"/>
        <v>0.26</v>
      </c>
      <c r="K62" s="14">
        <f t="shared" si="2"/>
        <v>1.74</v>
      </c>
      <c r="L62" s="34"/>
      <c r="M62" s="34"/>
      <c r="N62" s="14">
        <f t="shared" si="3"/>
        <v>0</v>
      </c>
      <c r="O62" s="22">
        <f t="shared" si="10"/>
        <v>2</v>
      </c>
      <c r="P62" s="22">
        <f t="shared" si="10"/>
        <v>0</v>
      </c>
      <c r="Q62" s="14">
        <f t="shared" si="5"/>
        <v>2</v>
      </c>
      <c r="R62" s="14">
        <f t="shared" si="6"/>
        <v>2</v>
      </c>
      <c r="S62" s="34">
        <v>2</v>
      </c>
      <c r="T62" s="35">
        <v>1200</v>
      </c>
      <c r="U62" s="36"/>
      <c r="V62" s="37"/>
      <c r="W62" s="37"/>
      <c r="X62" s="24">
        <f t="shared" si="7"/>
        <v>2</v>
      </c>
      <c r="Y62" s="24">
        <f t="shared" si="8"/>
        <v>0</v>
      </c>
    </row>
    <row r="63" spans="1:25" ht="27" x14ac:dyDescent="0.25">
      <c r="A63" s="36">
        <v>58</v>
      </c>
      <c r="B63" s="87">
        <v>43513</v>
      </c>
      <c r="C63" s="23" t="s">
        <v>534</v>
      </c>
      <c r="D63" s="35"/>
      <c r="E63" s="35" t="s">
        <v>536</v>
      </c>
      <c r="F63" s="35" t="s">
        <v>300</v>
      </c>
      <c r="G63" s="34">
        <v>25</v>
      </c>
      <c r="H63" s="34">
        <v>75</v>
      </c>
      <c r="I63" s="14">
        <f t="shared" si="0"/>
        <v>100</v>
      </c>
      <c r="J63" s="14">
        <f t="shared" si="1"/>
        <v>13</v>
      </c>
      <c r="K63" s="14">
        <f t="shared" si="2"/>
        <v>87</v>
      </c>
      <c r="L63" s="34"/>
      <c r="M63" s="34"/>
      <c r="N63" s="14">
        <f t="shared" si="3"/>
        <v>0</v>
      </c>
      <c r="O63" s="22">
        <f t="shared" si="10"/>
        <v>25</v>
      </c>
      <c r="P63" s="22">
        <f t="shared" si="10"/>
        <v>75</v>
      </c>
      <c r="Q63" s="14">
        <f t="shared" si="5"/>
        <v>100</v>
      </c>
      <c r="R63" s="14">
        <f t="shared" si="6"/>
        <v>100</v>
      </c>
      <c r="S63" s="34">
        <v>50</v>
      </c>
      <c r="T63" s="35">
        <v>1253</v>
      </c>
      <c r="U63" s="36"/>
      <c r="V63" s="37"/>
      <c r="W63" s="37"/>
      <c r="X63" s="24">
        <f t="shared" si="7"/>
        <v>50</v>
      </c>
      <c r="Y63" s="24">
        <f t="shared" si="8"/>
        <v>50</v>
      </c>
    </row>
    <row r="64" spans="1:25" ht="27" x14ac:dyDescent="0.25">
      <c r="A64" s="36">
        <v>59</v>
      </c>
      <c r="B64" s="87">
        <v>43513</v>
      </c>
      <c r="C64" s="23" t="s">
        <v>535</v>
      </c>
      <c r="D64" s="35"/>
      <c r="E64" s="35" t="s">
        <v>538</v>
      </c>
      <c r="F64" s="35" t="s">
        <v>300</v>
      </c>
      <c r="G64" s="34">
        <v>25</v>
      </c>
      <c r="H64" s="34">
        <v>75</v>
      </c>
      <c r="I64" s="14">
        <f t="shared" si="0"/>
        <v>100</v>
      </c>
      <c r="J64" s="14">
        <f t="shared" si="1"/>
        <v>13</v>
      </c>
      <c r="K64" s="14">
        <f t="shared" si="2"/>
        <v>87</v>
      </c>
      <c r="L64" s="34"/>
      <c r="M64" s="34"/>
      <c r="N64" s="14">
        <f t="shared" si="3"/>
        <v>0</v>
      </c>
      <c r="O64" s="22">
        <f t="shared" si="10"/>
        <v>25</v>
      </c>
      <c r="P64" s="22">
        <f t="shared" si="10"/>
        <v>75</v>
      </c>
      <c r="Q64" s="14">
        <f t="shared" si="5"/>
        <v>100</v>
      </c>
      <c r="R64" s="14">
        <f t="shared" si="6"/>
        <v>100</v>
      </c>
      <c r="S64" s="34">
        <v>100</v>
      </c>
      <c r="T64" s="35" t="s">
        <v>539</v>
      </c>
      <c r="U64" s="36"/>
      <c r="V64" s="37"/>
      <c r="W64" s="37"/>
      <c r="X64" s="24">
        <f t="shared" si="7"/>
        <v>100</v>
      </c>
      <c r="Y64" s="24">
        <f t="shared" si="8"/>
        <v>0</v>
      </c>
    </row>
    <row r="65" spans="1:25" ht="27" x14ac:dyDescent="0.25">
      <c r="A65" s="36">
        <v>60</v>
      </c>
      <c r="B65" s="87">
        <v>43514</v>
      </c>
      <c r="C65" s="23" t="s">
        <v>540</v>
      </c>
      <c r="D65" s="35" t="s">
        <v>542</v>
      </c>
      <c r="E65" s="35" t="s">
        <v>543</v>
      </c>
      <c r="F65" s="35" t="s">
        <v>300</v>
      </c>
      <c r="G65" s="34">
        <v>25</v>
      </c>
      <c r="H65" s="34">
        <v>75</v>
      </c>
      <c r="I65" s="14">
        <f t="shared" si="0"/>
        <v>100</v>
      </c>
      <c r="J65" s="14">
        <f t="shared" si="1"/>
        <v>13</v>
      </c>
      <c r="K65" s="14">
        <f t="shared" si="2"/>
        <v>87</v>
      </c>
      <c r="L65" s="34"/>
      <c r="M65" s="34"/>
      <c r="N65" s="14">
        <f t="shared" si="3"/>
        <v>0</v>
      </c>
      <c r="O65" s="22">
        <f t="shared" si="10"/>
        <v>25</v>
      </c>
      <c r="P65" s="22">
        <f t="shared" si="10"/>
        <v>75</v>
      </c>
      <c r="Q65" s="14">
        <f t="shared" si="5"/>
        <v>100</v>
      </c>
      <c r="R65" s="14">
        <f t="shared" si="6"/>
        <v>100</v>
      </c>
      <c r="S65" s="34">
        <v>100</v>
      </c>
      <c r="T65" s="35">
        <v>1254</v>
      </c>
      <c r="U65" s="36"/>
      <c r="V65" s="37"/>
      <c r="W65" s="37"/>
      <c r="X65" s="24">
        <f t="shared" si="7"/>
        <v>100</v>
      </c>
      <c r="Y65" s="24">
        <f t="shared" si="8"/>
        <v>0</v>
      </c>
    </row>
    <row r="66" spans="1:25" ht="27" x14ac:dyDescent="0.25">
      <c r="A66" s="36">
        <v>61</v>
      </c>
      <c r="B66" s="87">
        <v>43514</v>
      </c>
      <c r="C66" s="23" t="s">
        <v>541</v>
      </c>
      <c r="D66" s="35" t="s">
        <v>544</v>
      </c>
      <c r="E66" s="35" t="s">
        <v>545</v>
      </c>
      <c r="F66" s="35" t="s">
        <v>546</v>
      </c>
      <c r="G66" s="34">
        <v>185</v>
      </c>
      <c r="H66" s="34">
        <v>200</v>
      </c>
      <c r="I66" s="14">
        <f t="shared" si="0"/>
        <v>385</v>
      </c>
      <c r="J66" s="14">
        <f t="shared" si="1"/>
        <v>50.050000000000004</v>
      </c>
      <c r="K66" s="14">
        <f t="shared" si="2"/>
        <v>334.95</v>
      </c>
      <c r="L66" s="34"/>
      <c r="M66" s="34"/>
      <c r="N66" s="14">
        <f t="shared" si="3"/>
        <v>0</v>
      </c>
      <c r="O66" s="22">
        <f t="shared" si="10"/>
        <v>185</v>
      </c>
      <c r="P66" s="22">
        <f t="shared" si="10"/>
        <v>200</v>
      </c>
      <c r="Q66" s="14">
        <f t="shared" si="5"/>
        <v>385</v>
      </c>
      <c r="R66" s="14">
        <f t="shared" si="6"/>
        <v>385</v>
      </c>
      <c r="S66" s="34">
        <v>100</v>
      </c>
      <c r="T66" s="35">
        <v>1255</v>
      </c>
      <c r="U66" s="36"/>
      <c r="V66" s="37"/>
      <c r="W66" s="37"/>
      <c r="X66" s="24">
        <f t="shared" si="7"/>
        <v>100</v>
      </c>
      <c r="Y66" s="24">
        <f t="shared" si="8"/>
        <v>285</v>
      </c>
    </row>
    <row r="67" spans="1:25" x14ac:dyDescent="0.25">
      <c r="A67" s="36">
        <v>62</v>
      </c>
      <c r="B67" s="87">
        <v>43515</v>
      </c>
      <c r="C67" s="23" t="s">
        <v>547</v>
      </c>
      <c r="D67" s="35"/>
      <c r="E67" s="35"/>
      <c r="F67" s="35" t="s">
        <v>260</v>
      </c>
      <c r="G67" s="34"/>
      <c r="H67" s="34"/>
      <c r="I67" s="14">
        <f t="shared" si="0"/>
        <v>0</v>
      </c>
      <c r="J67" s="14">
        <f t="shared" si="1"/>
        <v>0</v>
      </c>
      <c r="K67" s="14">
        <f t="shared" si="2"/>
        <v>0</v>
      </c>
      <c r="L67" s="34"/>
      <c r="M67" s="34"/>
      <c r="N67" s="14">
        <f t="shared" si="3"/>
        <v>0</v>
      </c>
      <c r="O67" s="22">
        <f t="shared" si="10"/>
        <v>0</v>
      </c>
      <c r="P67" s="22">
        <f t="shared" si="10"/>
        <v>0</v>
      </c>
      <c r="Q67" s="14">
        <f t="shared" si="5"/>
        <v>0</v>
      </c>
      <c r="R67" s="14">
        <f t="shared" si="6"/>
        <v>0</v>
      </c>
      <c r="S67" s="34">
        <v>5</v>
      </c>
      <c r="T67" s="35">
        <v>1256</v>
      </c>
      <c r="U67" s="36"/>
      <c r="V67" s="37"/>
      <c r="W67" s="37"/>
      <c r="X67" s="24">
        <f t="shared" si="7"/>
        <v>5</v>
      </c>
      <c r="Y67" s="24">
        <f t="shared" si="8"/>
        <v>-5</v>
      </c>
    </row>
    <row r="68" spans="1:25" ht="40.5" x14ac:dyDescent="0.25">
      <c r="A68" s="36">
        <v>63</v>
      </c>
      <c r="B68" s="87">
        <v>43515</v>
      </c>
      <c r="C68" s="23" t="s">
        <v>548</v>
      </c>
      <c r="D68" s="35" t="s">
        <v>550</v>
      </c>
      <c r="E68" s="35" t="s">
        <v>551</v>
      </c>
      <c r="F68" s="35" t="s">
        <v>552</v>
      </c>
      <c r="G68" s="34">
        <v>125</v>
      </c>
      <c r="H68" s="34">
        <f>175+60</f>
        <v>235</v>
      </c>
      <c r="I68" s="14">
        <f t="shared" si="0"/>
        <v>360</v>
      </c>
      <c r="J68" s="14">
        <f t="shared" si="1"/>
        <v>46.800000000000004</v>
      </c>
      <c r="K68" s="14">
        <f t="shared" si="2"/>
        <v>313.2</v>
      </c>
      <c r="L68" s="34"/>
      <c r="M68" s="34"/>
      <c r="N68" s="14">
        <f t="shared" si="3"/>
        <v>0</v>
      </c>
      <c r="O68" s="22">
        <f t="shared" si="10"/>
        <v>125</v>
      </c>
      <c r="P68" s="22">
        <f t="shared" si="10"/>
        <v>235</v>
      </c>
      <c r="Q68" s="14">
        <f t="shared" si="5"/>
        <v>360</v>
      </c>
      <c r="R68" s="14">
        <f t="shared" si="6"/>
        <v>360</v>
      </c>
      <c r="S68" s="34">
        <v>100</v>
      </c>
      <c r="T68" s="35">
        <v>1257</v>
      </c>
      <c r="U68" s="36"/>
      <c r="V68" s="37"/>
      <c r="W68" s="37"/>
      <c r="X68" s="24">
        <f t="shared" si="7"/>
        <v>100</v>
      </c>
      <c r="Y68" s="24">
        <f t="shared" si="8"/>
        <v>260</v>
      </c>
    </row>
    <row r="69" spans="1:25" x14ac:dyDescent="0.25">
      <c r="A69" s="36">
        <v>64</v>
      </c>
      <c r="B69" s="87">
        <v>43515</v>
      </c>
      <c r="C69" s="23" t="s">
        <v>549</v>
      </c>
      <c r="D69" s="35" t="s">
        <v>553</v>
      </c>
      <c r="E69" s="35" t="s">
        <v>554</v>
      </c>
      <c r="F69" s="35" t="s">
        <v>341</v>
      </c>
      <c r="G69" s="34">
        <v>180</v>
      </c>
      <c r="H69" s="34">
        <v>75</v>
      </c>
      <c r="I69" s="14">
        <f t="shared" si="0"/>
        <v>255</v>
      </c>
      <c r="J69" s="14">
        <f t="shared" si="1"/>
        <v>33.15</v>
      </c>
      <c r="K69" s="14">
        <f t="shared" si="2"/>
        <v>221.85</v>
      </c>
      <c r="L69" s="34"/>
      <c r="M69" s="34"/>
      <c r="N69" s="14">
        <f t="shared" si="3"/>
        <v>0</v>
      </c>
      <c r="O69" s="22">
        <f t="shared" si="10"/>
        <v>180</v>
      </c>
      <c r="P69" s="22">
        <f t="shared" si="10"/>
        <v>75</v>
      </c>
      <c r="Q69" s="14">
        <f t="shared" si="5"/>
        <v>255</v>
      </c>
      <c r="R69" s="14">
        <f t="shared" si="6"/>
        <v>255</v>
      </c>
      <c r="S69" s="34">
        <v>100</v>
      </c>
      <c r="T69" s="35">
        <v>1258</v>
      </c>
      <c r="U69" s="36"/>
      <c r="V69" s="37"/>
      <c r="W69" s="37"/>
      <c r="X69" s="24">
        <f t="shared" si="7"/>
        <v>100</v>
      </c>
      <c r="Y69" s="24">
        <f t="shared" si="8"/>
        <v>155</v>
      </c>
    </row>
    <row r="70" spans="1:25" ht="27" x14ac:dyDescent="0.25">
      <c r="A70" s="36">
        <v>65</v>
      </c>
      <c r="B70" s="87">
        <v>43516</v>
      </c>
      <c r="C70" s="23" t="s">
        <v>555</v>
      </c>
      <c r="D70" s="35" t="s">
        <v>556</v>
      </c>
      <c r="E70" s="35" t="s">
        <v>557</v>
      </c>
      <c r="F70" s="35" t="s">
        <v>300</v>
      </c>
      <c r="G70" s="34">
        <v>75</v>
      </c>
      <c r="H70" s="34">
        <v>125</v>
      </c>
      <c r="I70" s="14">
        <f t="shared" si="0"/>
        <v>200</v>
      </c>
      <c r="J70" s="14">
        <f t="shared" si="1"/>
        <v>26</v>
      </c>
      <c r="K70" s="14">
        <f t="shared" si="2"/>
        <v>174</v>
      </c>
      <c r="L70" s="34"/>
      <c r="M70" s="34"/>
      <c r="N70" s="14">
        <f t="shared" si="3"/>
        <v>0</v>
      </c>
      <c r="O70" s="22">
        <f t="shared" si="10"/>
        <v>75</v>
      </c>
      <c r="P70" s="22">
        <f t="shared" si="10"/>
        <v>125</v>
      </c>
      <c r="Q70" s="14">
        <f t="shared" si="5"/>
        <v>200</v>
      </c>
      <c r="R70" s="14">
        <f t="shared" si="6"/>
        <v>200</v>
      </c>
      <c r="S70" s="34">
        <v>200</v>
      </c>
      <c r="T70" s="35">
        <v>1261</v>
      </c>
      <c r="U70" s="36"/>
      <c r="V70" s="37"/>
      <c r="W70" s="37"/>
      <c r="X70" s="24">
        <f t="shared" si="7"/>
        <v>200</v>
      </c>
      <c r="Y70" s="24">
        <f t="shared" si="8"/>
        <v>0</v>
      </c>
    </row>
    <row r="71" spans="1:25" ht="27" x14ac:dyDescent="0.25">
      <c r="A71" s="36">
        <v>66</v>
      </c>
      <c r="B71" s="87">
        <v>43517</v>
      </c>
      <c r="C71" s="23" t="s">
        <v>558</v>
      </c>
      <c r="D71" s="35" t="s">
        <v>559</v>
      </c>
      <c r="E71" s="35" t="s">
        <v>560</v>
      </c>
      <c r="F71" s="35" t="s">
        <v>300</v>
      </c>
      <c r="G71" s="34">
        <v>25</v>
      </c>
      <c r="H71" s="34">
        <v>75</v>
      </c>
      <c r="I71" s="14">
        <f>G71+H71</f>
        <v>100</v>
      </c>
      <c r="J71" s="14">
        <f t="shared" si="1"/>
        <v>13</v>
      </c>
      <c r="K71" s="14">
        <f t="shared" si="2"/>
        <v>87</v>
      </c>
      <c r="L71" s="34"/>
      <c r="M71" s="34"/>
      <c r="N71" s="14">
        <f t="shared" si="3"/>
        <v>0</v>
      </c>
      <c r="O71" s="22">
        <f t="shared" si="10"/>
        <v>25</v>
      </c>
      <c r="P71" s="22">
        <f t="shared" si="10"/>
        <v>75</v>
      </c>
      <c r="Q71" s="14">
        <f t="shared" si="5"/>
        <v>100</v>
      </c>
      <c r="R71" s="14">
        <f t="shared" si="6"/>
        <v>100</v>
      </c>
      <c r="S71" s="34">
        <v>50</v>
      </c>
      <c r="T71" s="35">
        <v>1262</v>
      </c>
      <c r="U71" s="36"/>
      <c r="V71" s="37"/>
      <c r="W71" s="37"/>
      <c r="X71" s="24">
        <f t="shared" si="7"/>
        <v>50</v>
      </c>
      <c r="Y71" s="24">
        <f t="shared" si="8"/>
        <v>50</v>
      </c>
    </row>
    <row r="72" spans="1:25" ht="27" x14ac:dyDescent="0.25">
      <c r="A72" s="36">
        <v>67</v>
      </c>
      <c r="B72" s="87">
        <v>43518</v>
      </c>
      <c r="C72" s="23" t="s">
        <v>561</v>
      </c>
      <c r="D72" s="35" t="s">
        <v>563</v>
      </c>
      <c r="E72" s="35" t="s">
        <v>564</v>
      </c>
      <c r="F72" s="35" t="s">
        <v>565</v>
      </c>
      <c r="G72" s="34">
        <v>35</v>
      </c>
      <c r="H72" s="34">
        <f>125+150</f>
        <v>275</v>
      </c>
      <c r="I72" s="14">
        <f>G72+H72</f>
        <v>310</v>
      </c>
      <c r="J72" s="14">
        <f>I72*13%</f>
        <v>40.300000000000004</v>
      </c>
      <c r="K72" s="14">
        <f>I72-J72</f>
        <v>269.7</v>
      </c>
      <c r="L72" s="34"/>
      <c r="M72" s="34"/>
      <c r="N72" s="14">
        <f>L72+M72</f>
        <v>0</v>
      </c>
      <c r="O72" s="22">
        <f t="shared" si="10"/>
        <v>35</v>
      </c>
      <c r="P72" s="22">
        <f t="shared" si="10"/>
        <v>275</v>
      </c>
      <c r="Q72" s="14">
        <f>O72+P72</f>
        <v>310</v>
      </c>
      <c r="R72" s="14">
        <f>N72+Q72</f>
        <v>310</v>
      </c>
      <c r="S72" s="34">
        <v>310</v>
      </c>
      <c r="T72" s="35">
        <v>1263</v>
      </c>
      <c r="U72" s="36"/>
      <c r="V72" s="37"/>
      <c r="W72" s="37"/>
      <c r="X72" s="24">
        <f>S72+U72</f>
        <v>310</v>
      </c>
      <c r="Y72" s="24">
        <f>R72-X72</f>
        <v>0</v>
      </c>
    </row>
    <row r="73" spans="1:25" ht="27" x14ac:dyDescent="0.25">
      <c r="A73" s="36">
        <v>68</v>
      </c>
      <c r="B73" s="87">
        <v>43518</v>
      </c>
      <c r="C73" s="23" t="s">
        <v>562</v>
      </c>
      <c r="D73" s="35"/>
      <c r="E73" s="35" t="s">
        <v>566</v>
      </c>
      <c r="F73" s="35" t="s">
        <v>300</v>
      </c>
      <c r="G73" s="34">
        <v>75</v>
      </c>
      <c r="H73" s="34">
        <v>100</v>
      </c>
      <c r="I73" s="14">
        <f>G73+H73</f>
        <v>175</v>
      </c>
      <c r="J73" s="14">
        <f>I73*13%</f>
        <v>22.75</v>
      </c>
      <c r="K73" s="14">
        <f>I73-J73</f>
        <v>152.25</v>
      </c>
      <c r="L73" s="34"/>
      <c r="M73" s="34"/>
      <c r="N73" s="14">
        <f>L73+M73</f>
        <v>0</v>
      </c>
      <c r="O73" s="22">
        <f t="shared" si="10"/>
        <v>75</v>
      </c>
      <c r="P73" s="22">
        <f t="shared" si="10"/>
        <v>100</v>
      </c>
      <c r="Q73" s="14">
        <f>O73+P73</f>
        <v>175</v>
      </c>
      <c r="R73" s="14">
        <f>N73+Q73</f>
        <v>175</v>
      </c>
      <c r="S73" s="34">
        <v>175</v>
      </c>
      <c r="T73" s="35">
        <v>1266</v>
      </c>
      <c r="U73" s="36"/>
      <c r="V73" s="37"/>
      <c r="W73" s="37"/>
      <c r="X73" s="24">
        <f>S73+U73</f>
        <v>175</v>
      </c>
      <c r="Y73" s="24">
        <f>R73-X73</f>
        <v>0</v>
      </c>
    </row>
    <row r="74" spans="1:25" x14ac:dyDescent="0.25">
      <c r="A74" s="36">
        <v>69</v>
      </c>
      <c r="B74" s="87">
        <v>43519</v>
      </c>
      <c r="C74" s="23" t="s">
        <v>567</v>
      </c>
      <c r="D74" s="35"/>
      <c r="E74" s="35"/>
      <c r="F74" s="35" t="s">
        <v>260</v>
      </c>
      <c r="G74" s="34"/>
      <c r="H74" s="34">
        <v>5</v>
      </c>
      <c r="I74" s="14">
        <f>G74+H74</f>
        <v>5</v>
      </c>
      <c r="J74" s="14">
        <f>I74*13%</f>
        <v>0.65</v>
      </c>
      <c r="K74" s="14">
        <f>I74-J74</f>
        <v>4.3499999999999996</v>
      </c>
      <c r="L74" s="34"/>
      <c r="M74" s="34"/>
      <c r="N74" s="14">
        <f>L74+M74</f>
        <v>0</v>
      </c>
      <c r="O74" s="22">
        <f t="shared" si="10"/>
        <v>0</v>
      </c>
      <c r="P74" s="22">
        <f t="shared" si="10"/>
        <v>5</v>
      </c>
      <c r="Q74" s="14">
        <f>O74+P74</f>
        <v>5</v>
      </c>
      <c r="R74" s="14">
        <f>N74+Q74</f>
        <v>5</v>
      </c>
      <c r="S74" s="34">
        <v>5</v>
      </c>
      <c r="T74" s="35">
        <v>1268</v>
      </c>
      <c r="U74" s="36"/>
      <c r="V74" s="37"/>
      <c r="W74" s="37"/>
      <c r="X74" s="24">
        <f>S74+U74</f>
        <v>5</v>
      </c>
      <c r="Y74" s="24">
        <f>R74-X74</f>
        <v>0</v>
      </c>
    </row>
    <row r="75" spans="1:25" ht="27" x14ac:dyDescent="0.25">
      <c r="A75" s="36">
        <v>70</v>
      </c>
      <c r="B75" s="87">
        <v>43519</v>
      </c>
      <c r="C75" s="23" t="s">
        <v>568</v>
      </c>
      <c r="D75" s="35" t="s">
        <v>569</v>
      </c>
      <c r="E75" s="35" t="s">
        <v>570</v>
      </c>
      <c r="F75" s="35" t="s">
        <v>300</v>
      </c>
      <c r="G75" s="34">
        <v>25</v>
      </c>
      <c r="H75" s="34">
        <v>100</v>
      </c>
      <c r="I75" s="14">
        <f>G75+H75</f>
        <v>125</v>
      </c>
      <c r="J75" s="14">
        <f>I75*13%</f>
        <v>16.25</v>
      </c>
      <c r="K75" s="14">
        <f>I75-J75</f>
        <v>108.75</v>
      </c>
      <c r="L75" s="34"/>
      <c r="M75" s="34"/>
      <c r="N75" s="14">
        <f>L75+M75</f>
        <v>0</v>
      </c>
      <c r="O75" s="22">
        <f t="shared" si="10"/>
        <v>25</v>
      </c>
      <c r="P75" s="22">
        <f t="shared" si="10"/>
        <v>100</v>
      </c>
      <c r="Q75" s="14">
        <f>O75+P75</f>
        <v>125</v>
      </c>
      <c r="R75" s="14">
        <f>N75+Q75</f>
        <v>125</v>
      </c>
      <c r="S75" s="34">
        <v>60</v>
      </c>
      <c r="T75" s="35">
        <v>1269</v>
      </c>
      <c r="U75" s="36"/>
      <c r="V75" s="37"/>
      <c r="W75" s="37"/>
      <c r="X75" s="24">
        <f>S75+U75</f>
        <v>60</v>
      </c>
      <c r="Y75" s="24">
        <f>R75-X75</f>
        <v>65</v>
      </c>
    </row>
    <row r="76" spans="1:25" x14ac:dyDescent="0.25">
      <c r="A76" s="118"/>
      <c r="B76" s="66"/>
      <c r="C76" s="119"/>
      <c r="D76" s="119"/>
      <c r="E76" s="119"/>
      <c r="F76" s="119"/>
      <c r="G76" s="66">
        <f>SUM(G6:G75)</f>
        <v>3837</v>
      </c>
      <c r="H76" s="66">
        <f>SUM(H6:H75)</f>
        <v>6262</v>
      </c>
      <c r="I76" s="66">
        <f>SUM(I6:I75)</f>
        <v>10099</v>
      </c>
      <c r="J76" s="66">
        <f>I76*13%</f>
        <v>1312.8700000000001</v>
      </c>
      <c r="K76" s="66">
        <f>I76-J76</f>
        <v>8786.1299999999992</v>
      </c>
      <c r="L76" s="66">
        <f>SUM(L6:L75)</f>
        <v>20</v>
      </c>
      <c r="M76" s="66">
        <f>SUM(M6:M75)</f>
        <v>0</v>
      </c>
      <c r="N76" s="66">
        <f>SUM(N6:N75)</f>
        <v>20</v>
      </c>
      <c r="O76" s="66">
        <f>SUM(O6:O75)</f>
        <v>3817</v>
      </c>
      <c r="P76" s="66">
        <f>SUM(P6:P75)</f>
        <v>6262</v>
      </c>
      <c r="Q76" s="66">
        <f>O76+P76</f>
        <v>10079</v>
      </c>
      <c r="R76" s="66">
        <f>SUM(R6:R75)</f>
        <v>10099</v>
      </c>
      <c r="S76" s="66">
        <f>SUM(S6:S75)</f>
        <v>4968</v>
      </c>
      <c r="T76" s="119"/>
      <c r="U76" s="66"/>
      <c r="V76" s="118"/>
      <c r="W76" s="118"/>
      <c r="X76" s="118">
        <f>SUM(X6:X75)</f>
        <v>4988</v>
      </c>
      <c r="Y76" s="118">
        <f>R76-X76</f>
        <v>5111</v>
      </c>
    </row>
    <row r="77" spans="1:25" ht="18" x14ac:dyDescent="0.25">
      <c r="A77" s="191" t="s">
        <v>571</v>
      </c>
      <c r="B77" s="191"/>
      <c r="C77" s="191"/>
      <c r="D77" s="191"/>
      <c r="E77" s="191"/>
      <c r="F77" s="191"/>
      <c r="G77" s="191"/>
      <c r="H77" s="191"/>
      <c r="I77" s="191"/>
      <c r="J77" s="191"/>
      <c r="K77" s="191"/>
      <c r="L77" s="191"/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1"/>
      <c r="X77" s="191"/>
      <c r="Y77" s="191"/>
    </row>
    <row r="78" spans="1:25" x14ac:dyDescent="0.25">
      <c r="A78" s="193" t="s">
        <v>0</v>
      </c>
      <c r="B78" s="194"/>
      <c r="C78" s="194"/>
      <c r="D78" s="194"/>
      <c r="E78" s="195" t="s">
        <v>1</v>
      </c>
      <c r="F78" s="195"/>
      <c r="G78" s="194"/>
      <c r="H78" s="194"/>
      <c r="I78" s="194"/>
      <c r="J78" s="109"/>
      <c r="K78" s="109"/>
      <c r="L78" s="194" t="s">
        <v>2</v>
      </c>
      <c r="M78" s="194"/>
      <c r="N78" s="194"/>
      <c r="O78" s="194" t="s">
        <v>3</v>
      </c>
      <c r="P78" s="194"/>
      <c r="Q78" s="194"/>
      <c r="R78" s="195" t="s">
        <v>4</v>
      </c>
      <c r="S78" s="194"/>
      <c r="T78" s="194"/>
      <c r="U78" s="194"/>
      <c r="V78" s="109"/>
      <c r="W78" s="78"/>
      <c r="X78" s="78"/>
      <c r="Y78" s="78"/>
    </row>
    <row r="79" spans="1:25" ht="25.5" x14ac:dyDescent="0.25">
      <c r="A79" s="111" t="s">
        <v>5</v>
      </c>
      <c r="B79" s="80" t="s">
        <v>6</v>
      </c>
      <c r="C79" s="80" t="s">
        <v>7</v>
      </c>
      <c r="D79" s="80" t="s">
        <v>8</v>
      </c>
      <c r="E79" s="80" t="s">
        <v>9</v>
      </c>
      <c r="F79" s="80" t="s">
        <v>10</v>
      </c>
      <c r="G79" s="80" t="s">
        <v>29</v>
      </c>
      <c r="H79" s="80" t="s">
        <v>30</v>
      </c>
      <c r="I79" s="80" t="s">
        <v>11</v>
      </c>
      <c r="J79" s="80" t="s">
        <v>12</v>
      </c>
      <c r="K79" s="80" t="s">
        <v>13</v>
      </c>
      <c r="L79" s="80" t="s">
        <v>14</v>
      </c>
      <c r="M79" s="80" t="s">
        <v>15</v>
      </c>
      <c r="N79" s="80" t="s">
        <v>16</v>
      </c>
      <c r="O79" s="80" t="s">
        <v>17</v>
      </c>
      <c r="P79" s="80" t="s">
        <v>18</v>
      </c>
      <c r="Q79" s="80" t="s">
        <v>19</v>
      </c>
      <c r="R79" s="196"/>
      <c r="S79" s="80" t="s">
        <v>20</v>
      </c>
      <c r="T79" s="80" t="s">
        <v>21</v>
      </c>
      <c r="U79" s="81" t="s">
        <v>20</v>
      </c>
      <c r="V79" s="82" t="s">
        <v>21</v>
      </c>
      <c r="W79" s="80" t="s">
        <v>22</v>
      </c>
      <c r="X79" s="80" t="s">
        <v>23</v>
      </c>
      <c r="Y79" s="80" t="s">
        <v>24</v>
      </c>
    </row>
    <row r="80" spans="1:25" ht="27" x14ac:dyDescent="0.25">
      <c r="A80" s="36">
        <v>1</v>
      </c>
      <c r="B80" s="83">
        <v>43509</v>
      </c>
      <c r="C80" s="23" t="s">
        <v>585</v>
      </c>
      <c r="D80" s="23" t="s">
        <v>586</v>
      </c>
      <c r="E80" s="23" t="s">
        <v>587</v>
      </c>
      <c r="F80" s="23" t="s">
        <v>588</v>
      </c>
      <c r="G80" s="22">
        <f>60+200</f>
        <v>260</v>
      </c>
      <c r="H80" s="22">
        <f>100+90</f>
        <v>190</v>
      </c>
      <c r="I80" s="14">
        <f>G80+H80</f>
        <v>450</v>
      </c>
      <c r="J80" s="14">
        <f t="shared" ref="J80:J88" si="11">I80*13%</f>
        <v>58.5</v>
      </c>
      <c r="K80" s="14">
        <f t="shared" ref="K80:K88" si="12">I80-J80</f>
        <v>391.5</v>
      </c>
      <c r="L80" s="34"/>
      <c r="M80" s="34"/>
      <c r="N80" s="14">
        <f t="shared" ref="N80:N103" si="13">L80+M80</f>
        <v>0</v>
      </c>
      <c r="O80" s="22">
        <f t="shared" ref="O80:P95" si="14">G80-L80</f>
        <v>260</v>
      </c>
      <c r="P80" s="22">
        <f t="shared" si="14"/>
        <v>190</v>
      </c>
      <c r="Q80" s="14">
        <f t="shared" ref="Q80:Q104" si="15">O80+P80</f>
        <v>450</v>
      </c>
      <c r="R80" s="14">
        <f t="shared" ref="R80:R104" si="16">N80+Q80</f>
        <v>450</v>
      </c>
      <c r="S80" s="34"/>
      <c r="T80" s="35"/>
      <c r="U80" s="36"/>
      <c r="V80" s="37"/>
      <c r="W80" s="37"/>
      <c r="X80" s="24">
        <f t="shared" ref="X80:X104" si="17">S80+U80</f>
        <v>0</v>
      </c>
      <c r="Y80" s="24">
        <f t="shared" ref="Y80:Y104" si="18">R80-X80</f>
        <v>450</v>
      </c>
    </row>
    <row r="81" spans="1:25" ht="27" x14ac:dyDescent="0.25">
      <c r="A81" s="36">
        <v>2</v>
      </c>
      <c r="B81" s="87">
        <v>43502</v>
      </c>
      <c r="C81" s="35" t="s">
        <v>596</v>
      </c>
      <c r="D81" s="35" t="s">
        <v>597</v>
      </c>
      <c r="E81" s="35" t="s">
        <v>598</v>
      </c>
      <c r="F81" s="35" t="s">
        <v>523</v>
      </c>
      <c r="G81" s="34">
        <v>180</v>
      </c>
      <c r="H81" s="34">
        <v>75</v>
      </c>
      <c r="I81" s="14">
        <f t="shared" ref="I81:I87" si="19">G81+H81</f>
        <v>255</v>
      </c>
      <c r="J81" s="14">
        <f t="shared" si="11"/>
        <v>33.15</v>
      </c>
      <c r="K81" s="14">
        <f t="shared" si="12"/>
        <v>221.85</v>
      </c>
      <c r="L81" s="34"/>
      <c r="M81" s="34"/>
      <c r="N81" s="14">
        <f t="shared" si="13"/>
        <v>0</v>
      </c>
      <c r="O81" s="22">
        <f t="shared" si="14"/>
        <v>180</v>
      </c>
      <c r="P81" s="22">
        <f t="shared" si="14"/>
        <v>75</v>
      </c>
      <c r="Q81" s="14">
        <f t="shared" si="15"/>
        <v>255</v>
      </c>
      <c r="R81" s="14">
        <f t="shared" si="16"/>
        <v>255</v>
      </c>
      <c r="S81" s="34"/>
      <c r="T81" s="35"/>
      <c r="U81" s="36"/>
      <c r="V81" s="37"/>
      <c r="W81" s="37"/>
      <c r="X81" s="24">
        <f t="shared" si="17"/>
        <v>0</v>
      </c>
      <c r="Y81" s="24">
        <f t="shared" si="18"/>
        <v>255</v>
      </c>
    </row>
    <row r="82" spans="1:25" ht="27" x14ac:dyDescent="0.25">
      <c r="A82" s="36">
        <v>3</v>
      </c>
      <c r="B82" s="87">
        <v>43511</v>
      </c>
      <c r="C82" s="35" t="s">
        <v>599</v>
      </c>
      <c r="D82" s="35" t="s">
        <v>600</v>
      </c>
      <c r="E82" s="35" t="s">
        <v>601</v>
      </c>
      <c r="F82" s="35" t="s">
        <v>300</v>
      </c>
      <c r="G82" s="34">
        <v>180</v>
      </c>
      <c r="H82" s="34">
        <v>75</v>
      </c>
      <c r="I82" s="14">
        <f t="shared" si="19"/>
        <v>255</v>
      </c>
      <c r="J82" s="14">
        <f t="shared" si="11"/>
        <v>33.15</v>
      </c>
      <c r="K82" s="14">
        <f t="shared" si="12"/>
        <v>221.85</v>
      </c>
      <c r="L82" s="34"/>
      <c r="M82" s="34"/>
      <c r="N82" s="14">
        <f t="shared" si="13"/>
        <v>0</v>
      </c>
      <c r="O82" s="22">
        <f t="shared" si="14"/>
        <v>180</v>
      </c>
      <c r="P82" s="22">
        <f t="shared" si="14"/>
        <v>75</v>
      </c>
      <c r="Q82" s="14">
        <f t="shared" si="15"/>
        <v>255</v>
      </c>
      <c r="R82" s="14">
        <f t="shared" si="16"/>
        <v>255</v>
      </c>
      <c r="S82" s="34"/>
      <c r="T82" s="35"/>
      <c r="U82" s="36"/>
      <c r="V82" s="37"/>
      <c r="W82" s="37"/>
      <c r="X82" s="24">
        <f t="shared" si="17"/>
        <v>0</v>
      </c>
      <c r="Y82" s="24">
        <f t="shared" si="18"/>
        <v>255</v>
      </c>
    </row>
    <row r="83" spans="1:25" ht="27" x14ac:dyDescent="0.25">
      <c r="A83" s="36">
        <v>4</v>
      </c>
      <c r="B83" s="87">
        <v>43513</v>
      </c>
      <c r="C83" s="23" t="s">
        <v>602</v>
      </c>
      <c r="D83" s="35" t="s">
        <v>603</v>
      </c>
      <c r="E83" s="35" t="s">
        <v>604</v>
      </c>
      <c r="F83" s="35" t="s">
        <v>605</v>
      </c>
      <c r="G83" s="34">
        <v>25</v>
      </c>
      <c r="H83" s="34">
        <f>75+90</f>
        <v>165</v>
      </c>
      <c r="I83" s="14">
        <f t="shared" si="19"/>
        <v>190</v>
      </c>
      <c r="J83" s="14">
        <f t="shared" si="11"/>
        <v>24.7</v>
      </c>
      <c r="K83" s="14">
        <f t="shared" si="12"/>
        <v>165.3</v>
      </c>
      <c r="L83" s="34"/>
      <c r="M83" s="34"/>
      <c r="N83" s="14">
        <f t="shared" si="13"/>
        <v>0</v>
      </c>
      <c r="O83" s="22">
        <f t="shared" si="14"/>
        <v>25</v>
      </c>
      <c r="P83" s="22">
        <f t="shared" si="14"/>
        <v>165</v>
      </c>
      <c r="Q83" s="14">
        <f t="shared" si="15"/>
        <v>190</v>
      </c>
      <c r="R83" s="14">
        <f t="shared" si="16"/>
        <v>190</v>
      </c>
      <c r="S83" s="34"/>
      <c r="T83" s="35"/>
      <c r="U83" s="36"/>
      <c r="V83" s="37"/>
      <c r="W83" s="37"/>
      <c r="X83" s="24">
        <f t="shared" si="17"/>
        <v>0</v>
      </c>
      <c r="Y83" s="24">
        <f t="shared" si="18"/>
        <v>190</v>
      </c>
    </row>
    <row r="84" spans="1:25" ht="27" x14ac:dyDescent="0.25">
      <c r="A84" s="36">
        <v>5</v>
      </c>
      <c r="B84" s="87">
        <v>43508</v>
      </c>
      <c r="C84" s="35" t="s">
        <v>648</v>
      </c>
      <c r="D84" s="35" t="s">
        <v>606</v>
      </c>
      <c r="E84" s="35" t="s">
        <v>607</v>
      </c>
      <c r="F84" s="35" t="s">
        <v>605</v>
      </c>
      <c r="G84" s="34">
        <v>140</v>
      </c>
      <c r="H84" s="34">
        <f>90+70</f>
        <v>160</v>
      </c>
      <c r="I84" s="14">
        <f t="shared" si="19"/>
        <v>300</v>
      </c>
      <c r="J84" s="14">
        <f t="shared" si="11"/>
        <v>39</v>
      </c>
      <c r="K84" s="14">
        <f t="shared" si="12"/>
        <v>261</v>
      </c>
      <c r="L84" s="34"/>
      <c r="M84" s="34"/>
      <c r="N84" s="14">
        <f t="shared" si="13"/>
        <v>0</v>
      </c>
      <c r="O84" s="22">
        <f t="shared" si="14"/>
        <v>140</v>
      </c>
      <c r="P84" s="22">
        <f t="shared" si="14"/>
        <v>160</v>
      </c>
      <c r="Q84" s="14">
        <f t="shared" si="15"/>
        <v>300</v>
      </c>
      <c r="R84" s="14">
        <f t="shared" si="16"/>
        <v>300</v>
      </c>
      <c r="S84" s="34"/>
      <c r="T84" s="35"/>
      <c r="U84" s="36"/>
      <c r="V84" s="37"/>
      <c r="W84" s="37"/>
      <c r="X84" s="24">
        <f t="shared" si="17"/>
        <v>0</v>
      </c>
      <c r="Y84" s="24">
        <f t="shared" si="18"/>
        <v>300</v>
      </c>
    </row>
    <row r="85" spans="1:25" x14ac:dyDescent="0.25">
      <c r="A85" s="36">
        <v>6</v>
      </c>
      <c r="B85" s="87"/>
      <c r="C85" s="35"/>
      <c r="D85" s="35"/>
      <c r="E85" s="35"/>
      <c r="F85" s="35"/>
      <c r="G85" s="34"/>
      <c r="H85" s="34"/>
      <c r="I85" s="14">
        <f t="shared" si="19"/>
        <v>0</v>
      </c>
      <c r="J85" s="14">
        <f t="shared" si="11"/>
        <v>0</v>
      </c>
      <c r="K85" s="14">
        <f t="shared" si="12"/>
        <v>0</v>
      </c>
      <c r="L85" s="34"/>
      <c r="M85" s="34"/>
      <c r="N85" s="14">
        <f t="shared" si="13"/>
        <v>0</v>
      </c>
      <c r="O85" s="22">
        <f t="shared" si="14"/>
        <v>0</v>
      </c>
      <c r="P85" s="22">
        <f t="shared" si="14"/>
        <v>0</v>
      </c>
      <c r="Q85" s="14">
        <f t="shared" si="15"/>
        <v>0</v>
      </c>
      <c r="R85" s="14">
        <f t="shared" si="16"/>
        <v>0</v>
      </c>
      <c r="S85" s="34"/>
      <c r="T85" s="35"/>
      <c r="U85" s="36"/>
      <c r="V85" s="37"/>
      <c r="W85" s="37"/>
      <c r="X85" s="24">
        <f t="shared" si="17"/>
        <v>0</v>
      </c>
      <c r="Y85" s="24">
        <f t="shared" si="18"/>
        <v>0</v>
      </c>
    </row>
    <row r="86" spans="1:25" x14ac:dyDescent="0.25">
      <c r="A86" s="36">
        <v>7</v>
      </c>
      <c r="B86" s="87"/>
      <c r="C86" s="35"/>
      <c r="D86" s="35"/>
      <c r="E86" s="35"/>
      <c r="F86" s="35"/>
      <c r="G86" s="34"/>
      <c r="H86" s="34"/>
      <c r="I86" s="14">
        <f t="shared" si="19"/>
        <v>0</v>
      </c>
      <c r="J86" s="14">
        <f t="shared" si="11"/>
        <v>0</v>
      </c>
      <c r="K86" s="14">
        <f t="shared" si="12"/>
        <v>0</v>
      </c>
      <c r="L86" s="34"/>
      <c r="M86" s="34"/>
      <c r="N86" s="14">
        <f t="shared" si="13"/>
        <v>0</v>
      </c>
      <c r="O86" s="22">
        <f t="shared" si="14"/>
        <v>0</v>
      </c>
      <c r="P86" s="22">
        <f t="shared" si="14"/>
        <v>0</v>
      </c>
      <c r="Q86" s="14">
        <f t="shared" si="15"/>
        <v>0</v>
      </c>
      <c r="R86" s="14">
        <f t="shared" si="16"/>
        <v>0</v>
      </c>
      <c r="S86" s="34"/>
      <c r="T86" s="35"/>
      <c r="U86" s="36"/>
      <c r="V86" s="37"/>
      <c r="W86" s="37"/>
      <c r="X86" s="24">
        <f t="shared" si="17"/>
        <v>0</v>
      </c>
      <c r="Y86" s="24">
        <f t="shared" si="18"/>
        <v>0</v>
      </c>
    </row>
    <row r="87" spans="1:25" x14ac:dyDescent="0.25">
      <c r="A87" s="36">
        <v>8</v>
      </c>
      <c r="B87" s="87"/>
      <c r="C87" s="35"/>
      <c r="D87" s="35"/>
      <c r="E87" s="35"/>
      <c r="F87" s="35"/>
      <c r="G87" s="34"/>
      <c r="H87" s="34"/>
      <c r="I87" s="14">
        <f t="shared" si="19"/>
        <v>0</v>
      </c>
      <c r="J87" s="14">
        <f t="shared" si="11"/>
        <v>0</v>
      </c>
      <c r="K87" s="14">
        <f t="shared" si="12"/>
        <v>0</v>
      </c>
      <c r="L87" s="34"/>
      <c r="M87" s="34"/>
      <c r="N87" s="14">
        <f t="shared" si="13"/>
        <v>0</v>
      </c>
      <c r="O87" s="22">
        <f t="shared" si="14"/>
        <v>0</v>
      </c>
      <c r="P87" s="22">
        <f t="shared" si="14"/>
        <v>0</v>
      </c>
      <c r="Q87" s="14">
        <f t="shared" si="15"/>
        <v>0</v>
      </c>
      <c r="R87" s="14">
        <f t="shared" si="16"/>
        <v>0</v>
      </c>
      <c r="S87" s="34"/>
      <c r="T87" s="35"/>
      <c r="U87" s="36"/>
      <c r="V87" s="37"/>
      <c r="W87" s="37"/>
      <c r="X87" s="24">
        <f t="shared" si="17"/>
        <v>0</v>
      </c>
      <c r="Y87" s="24">
        <f t="shared" si="18"/>
        <v>0</v>
      </c>
    </row>
    <row r="88" spans="1:25" x14ac:dyDescent="0.25">
      <c r="A88" s="36">
        <v>9</v>
      </c>
      <c r="B88" s="87"/>
      <c r="C88" s="35"/>
      <c r="D88" s="35"/>
      <c r="E88" s="35"/>
      <c r="F88" s="35"/>
      <c r="G88" s="34"/>
      <c r="H88" s="34"/>
      <c r="I88" s="14"/>
      <c r="J88" s="14">
        <f t="shared" si="11"/>
        <v>0</v>
      </c>
      <c r="K88" s="14">
        <f t="shared" si="12"/>
        <v>0</v>
      </c>
      <c r="L88" s="34"/>
      <c r="M88" s="34"/>
      <c r="N88" s="14">
        <f t="shared" si="13"/>
        <v>0</v>
      </c>
      <c r="O88" s="22">
        <f t="shared" si="14"/>
        <v>0</v>
      </c>
      <c r="P88" s="22">
        <f t="shared" si="14"/>
        <v>0</v>
      </c>
      <c r="Q88" s="14">
        <f t="shared" si="15"/>
        <v>0</v>
      </c>
      <c r="R88" s="14">
        <f t="shared" si="16"/>
        <v>0</v>
      </c>
      <c r="S88" s="34"/>
      <c r="T88" s="35"/>
      <c r="U88" s="36"/>
      <c r="V88" s="37"/>
      <c r="W88" s="37"/>
      <c r="X88" s="24">
        <f t="shared" si="17"/>
        <v>0</v>
      </c>
      <c r="Y88" s="24">
        <f t="shared" si="18"/>
        <v>0</v>
      </c>
    </row>
    <row r="89" spans="1:25" x14ac:dyDescent="0.25">
      <c r="A89" s="50"/>
      <c r="B89" s="52"/>
      <c r="C89" s="49"/>
      <c r="D89" s="49"/>
      <c r="E89" s="49"/>
      <c r="F89" s="49"/>
      <c r="G89" s="48">
        <f t="shared" ref="G89:M89" si="20">SUM(G80:G88)</f>
        <v>785</v>
      </c>
      <c r="H89" s="48">
        <f t="shared" si="20"/>
        <v>665</v>
      </c>
      <c r="I89" s="48">
        <f t="shared" si="20"/>
        <v>1450</v>
      </c>
      <c r="J89" s="48">
        <f t="shared" si="20"/>
        <v>188.5</v>
      </c>
      <c r="K89" s="48">
        <f t="shared" si="20"/>
        <v>1261.5</v>
      </c>
      <c r="L89" s="48">
        <f t="shared" si="20"/>
        <v>0</v>
      </c>
      <c r="M89" s="48">
        <f t="shared" si="20"/>
        <v>0</v>
      </c>
      <c r="N89" s="48">
        <f t="shared" si="13"/>
        <v>0</v>
      </c>
      <c r="O89" s="48">
        <f t="shared" si="14"/>
        <v>785</v>
      </c>
      <c r="P89" s="48">
        <f t="shared" si="14"/>
        <v>665</v>
      </c>
      <c r="Q89" s="48">
        <f t="shared" si="15"/>
        <v>1450</v>
      </c>
      <c r="R89" s="48">
        <f t="shared" si="16"/>
        <v>1450</v>
      </c>
      <c r="S89" s="48"/>
      <c r="T89" s="49"/>
      <c r="U89" s="50"/>
      <c r="V89" s="50"/>
      <c r="W89" s="50"/>
      <c r="X89" s="51">
        <f t="shared" si="17"/>
        <v>0</v>
      </c>
      <c r="Y89" s="51">
        <f t="shared" si="18"/>
        <v>1450</v>
      </c>
    </row>
    <row r="90" spans="1:25" ht="18" x14ac:dyDescent="0.25">
      <c r="A90" s="191" t="s">
        <v>572</v>
      </c>
      <c r="B90" s="191"/>
      <c r="C90" s="191"/>
      <c r="D90" s="191"/>
      <c r="E90" s="191"/>
      <c r="F90" s="191"/>
      <c r="G90" s="191"/>
      <c r="H90" s="191"/>
      <c r="I90" s="191"/>
      <c r="J90" s="191"/>
      <c r="K90" s="191"/>
      <c r="L90" s="191"/>
      <c r="M90" s="191"/>
      <c r="N90" s="191"/>
      <c r="O90" s="191"/>
      <c r="P90" s="191"/>
      <c r="Q90" s="191"/>
      <c r="R90" s="191"/>
      <c r="S90" s="191"/>
      <c r="T90" s="191"/>
      <c r="U90" s="191"/>
      <c r="V90" s="191"/>
      <c r="W90" s="191"/>
      <c r="X90" s="191"/>
      <c r="Y90" s="191"/>
    </row>
    <row r="91" spans="1:25" x14ac:dyDescent="0.25">
      <c r="A91" s="193" t="s">
        <v>0</v>
      </c>
      <c r="B91" s="194"/>
      <c r="C91" s="194"/>
      <c r="D91" s="194"/>
      <c r="E91" s="195" t="s">
        <v>1</v>
      </c>
      <c r="F91" s="195"/>
      <c r="G91" s="194"/>
      <c r="H91" s="194"/>
      <c r="I91" s="194"/>
      <c r="J91" s="109"/>
      <c r="K91" s="109"/>
      <c r="L91" s="194" t="s">
        <v>2</v>
      </c>
      <c r="M91" s="194"/>
      <c r="N91" s="194"/>
      <c r="O91" s="194" t="s">
        <v>3</v>
      </c>
      <c r="P91" s="194"/>
      <c r="Q91" s="194"/>
      <c r="R91" s="195" t="s">
        <v>4</v>
      </c>
      <c r="S91" s="194"/>
      <c r="T91" s="194"/>
      <c r="U91" s="194"/>
      <c r="V91" s="109"/>
      <c r="W91" s="78"/>
      <c r="X91" s="78"/>
      <c r="Y91" s="78"/>
    </row>
    <row r="92" spans="1:25" ht="25.5" x14ac:dyDescent="0.25">
      <c r="A92" s="111" t="s">
        <v>5</v>
      </c>
      <c r="B92" s="80" t="s">
        <v>6</v>
      </c>
      <c r="C92" s="80" t="s">
        <v>7</v>
      </c>
      <c r="D92" s="80" t="s">
        <v>333</v>
      </c>
      <c r="E92" s="80" t="s">
        <v>575</v>
      </c>
      <c r="F92" s="80" t="s">
        <v>10</v>
      </c>
      <c r="G92" s="80" t="s">
        <v>29</v>
      </c>
      <c r="H92" s="80" t="s">
        <v>30</v>
      </c>
      <c r="I92" s="80" t="s">
        <v>11</v>
      </c>
      <c r="J92" s="80" t="s">
        <v>12</v>
      </c>
      <c r="K92" s="80" t="s">
        <v>13</v>
      </c>
      <c r="L92" s="80" t="s">
        <v>14</v>
      </c>
      <c r="M92" s="80" t="s">
        <v>15</v>
      </c>
      <c r="N92" s="80" t="s">
        <v>16</v>
      </c>
      <c r="O92" s="80" t="s">
        <v>17</v>
      </c>
      <c r="P92" s="80" t="s">
        <v>18</v>
      </c>
      <c r="Q92" s="80" t="s">
        <v>19</v>
      </c>
      <c r="R92" s="196"/>
      <c r="S92" s="80" t="s">
        <v>20</v>
      </c>
      <c r="T92" s="80" t="s">
        <v>21</v>
      </c>
      <c r="U92" s="81" t="s">
        <v>20</v>
      </c>
      <c r="V92" s="82" t="s">
        <v>21</v>
      </c>
      <c r="W92" s="80" t="s">
        <v>22</v>
      </c>
      <c r="X92" s="80" t="s">
        <v>23</v>
      </c>
      <c r="Y92" s="80" t="s">
        <v>24</v>
      </c>
    </row>
    <row r="93" spans="1:25" ht="27" x14ac:dyDescent="0.25">
      <c r="A93" s="96">
        <v>1</v>
      </c>
      <c r="B93" s="87">
        <v>43494</v>
      </c>
      <c r="C93" s="23" t="s">
        <v>578</v>
      </c>
      <c r="D93" s="35" t="s">
        <v>574</v>
      </c>
      <c r="E93" s="35" t="s">
        <v>576</v>
      </c>
      <c r="F93" s="35" t="s">
        <v>577</v>
      </c>
      <c r="G93" s="34">
        <v>55</v>
      </c>
      <c r="H93" s="34">
        <f>225+60+125</f>
        <v>410</v>
      </c>
      <c r="I93" s="14">
        <f>G93+H93</f>
        <v>465</v>
      </c>
      <c r="J93" s="14">
        <f>I93*13%</f>
        <v>60.45</v>
      </c>
      <c r="K93" s="14">
        <f>I93-J93</f>
        <v>404.55</v>
      </c>
      <c r="L93" s="22"/>
      <c r="M93" s="22"/>
      <c r="N93" s="14">
        <f>L93+M93</f>
        <v>0</v>
      </c>
      <c r="O93" s="22">
        <f>G93-L93</f>
        <v>55</v>
      </c>
      <c r="P93" s="22">
        <f>H93-M93</f>
        <v>410</v>
      </c>
      <c r="Q93" s="14">
        <f>O93+P93</f>
        <v>465</v>
      </c>
      <c r="R93" s="14">
        <f>N93+Q93</f>
        <v>465</v>
      </c>
      <c r="S93" s="22"/>
      <c r="T93" s="96"/>
      <c r="U93" s="22"/>
      <c r="V93" s="84"/>
      <c r="W93" s="85"/>
      <c r="X93" s="97">
        <f>S93+U93</f>
        <v>0</v>
      </c>
      <c r="Y93" s="98">
        <f>R93-X93</f>
        <v>465</v>
      </c>
    </row>
    <row r="94" spans="1:25" ht="27" x14ac:dyDescent="0.25">
      <c r="A94" s="96">
        <v>2</v>
      </c>
      <c r="B94" s="87">
        <v>43491</v>
      </c>
      <c r="C94" s="35" t="s">
        <v>579</v>
      </c>
      <c r="D94" s="35" t="s">
        <v>580</v>
      </c>
      <c r="E94" s="35" t="s">
        <v>581</v>
      </c>
      <c r="F94" s="35" t="s">
        <v>300</v>
      </c>
      <c r="G94" s="34">
        <v>15</v>
      </c>
      <c r="H94" s="34">
        <v>70</v>
      </c>
      <c r="I94" s="14">
        <f t="shared" ref="I94:I103" si="21">G94+H94</f>
        <v>85</v>
      </c>
      <c r="J94" s="14">
        <f>I94*13%</f>
        <v>11.05</v>
      </c>
      <c r="K94" s="14">
        <f>I94-J94</f>
        <v>73.95</v>
      </c>
      <c r="L94" s="34"/>
      <c r="M94" s="34"/>
      <c r="N94" s="14">
        <f t="shared" si="13"/>
        <v>0</v>
      </c>
      <c r="O94" s="22">
        <f t="shared" si="14"/>
        <v>15</v>
      </c>
      <c r="P94" s="22">
        <f t="shared" si="14"/>
        <v>70</v>
      </c>
      <c r="Q94" s="14">
        <f t="shared" si="15"/>
        <v>85</v>
      </c>
      <c r="R94" s="14">
        <f t="shared" si="16"/>
        <v>85</v>
      </c>
      <c r="S94" s="34"/>
      <c r="T94" s="35"/>
      <c r="U94" s="36"/>
      <c r="V94" s="37"/>
      <c r="W94" s="37"/>
      <c r="X94" s="24">
        <f t="shared" si="17"/>
        <v>0</v>
      </c>
      <c r="Y94" s="24">
        <f t="shared" si="18"/>
        <v>85</v>
      </c>
    </row>
    <row r="95" spans="1:25" ht="27" x14ac:dyDescent="0.25">
      <c r="A95" s="96">
        <v>3</v>
      </c>
      <c r="B95" s="83">
        <v>43509</v>
      </c>
      <c r="C95" s="23" t="s">
        <v>382</v>
      </c>
      <c r="D95" s="23" t="s">
        <v>582</v>
      </c>
      <c r="E95" s="96" t="s">
        <v>583</v>
      </c>
      <c r="F95" s="23" t="s">
        <v>584</v>
      </c>
      <c r="G95" s="22">
        <v>50</v>
      </c>
      <c r="H95" s="22">
        <f>225+125</f>
        <v>350</v>
      </c>
      <c r="I95" s="14">
        <f t="shared" si="21"/>
        <v>400</v>
      </c>
      <c r="J95" s="14">
        <f>I95*13%</f>
        <v>52</v>
      </c>
      <c r="K95" s="14">
        <f>I95-J95</f>
        <v>348</v>
      </c>
      <c r="L95" s="34"/>
      <c r="M95" s="34"/>
      <c r="N95" s="14">
        <f t="shared" si="13"/>
        <v>0</v>
      </c>
      <c r="O95" s="22">
        <f t="shared" si="14"/>
        <v>50</v>
      </c>
      <c r="P95" s="22">
        <f t="shared" si="14"/>
        <v>350</v>
      </c>
      <c r="Q95" s="14">
        <f t="shared" si="15"/>
        <v>400</v>
      </c>
      <c r="R95" s="14">
        <f t="shared" si="16"/>
        <v>400</v>
      </c>
      <c r="S95" s="34"/>
      <c r="T95" s="35"/>
      <c r="U95" s="36"/>
      <c r="V95" s="37"/>
      <c r="W95" s="37"/>
      <c r="X95" s="24">
        <f t="shared" si="17"/>
        <v>0</v>
      </c>
      <c r="Y95" s="24">
        <f t="shared" si="18"/>
        <v>400</v>
      </c>
    </row>
    <row r="96" spans="1:25" ht="40.5" x14ac:dyDescent="0.25">
      <c r="A96" s="96">
        <v>4</v>
      </c>
      <c r="B96" s="83">
        <v>43508</v>
      </c>
      <c r="C96" s="23" t="s">
        <v>589</v>
      </c>
      <c r="D96" s="23" t="s">
        <v>590</v>
      </c>
      <c r="E96" s="23" t="s">
        <v>591</v>
      </c>
      <c r="F96" s="23" t="s">
        <v>592</v>
      </c>
      <c r="G96" s="22">
        <v>210</v>
      </c>
      <c r="H96" s="22">
        <f>75+75</f>
        <v>150</v>
      </c>
      <c r="I96" s="14">
        <f t="shared" si="21"/>
        <v>360</v>
      </c>
      <c r="J96" s="14">
        <f>I96*13%</f>
        <v>46.800000000000004</v>
      </c>
      <c r="K96" s="14">
        <f>I96-J96</f>
        <v>313.2</v>
      </c>
      <c r="L96" s="34"/>
      <c r="M96" s="34"/>
      <c r="N96" s="14">
        <f t="shared" si="13"/>
        <v>0</v>
      </c>
      <c r="O96" s="22">
        <f t="shared" ref="O96:P103" si="22">G96-L96</f>
        <v>210</v>
      </c>
      <c r="P96" s="22">
        <f t="shared" si="22"/>
        <v>150</v>
      </c>
      <c r="Q96" s="14">
        <f t="shared" si="15"/>
        <v>360</v>
      </c>
      <c r="R96" s="14">
        <f t="shared" si="16"/>
        <v>360</v>
      </c>
      <c r="S96" s="34"/>
      <c r="T96" s="35"/>
      <c r="U96" s="36"/>
      <c r="V96" s="37"/>
      <c r="W96" s="37"/>
      <c r="X96" s="24">
        <f t="shared" si="17"/>
        <v>0</v>
      </c>
      <c r="Y96" s="24">
        <f t="shared" si="18"/>
        <v>360</v>
      </c>
    </row>
    <row r="97" spans="1:25" ht="27" x14ac:dyDescent="0.25">
      <c r="A97" s="96">
        <v>5</v>
      </c>
      <c r="B97" s="83">
        <v>43510</v>
      </c>
      <c r="C97" s="23" t="s">
        <v>593</v>
      </c>
      <c r="D97" s="23" t="s">
        <v>363</v>
      </c>
      <c r="E97" s="23" t="s">
        <v>595</v>
      </c>
      <c r="F97" s="23" t="s">
        <v>594</v>
      </c>
      <c r="G97" s="22">
        <v>70</v>
      </c>
      <c r="H97" s="22">
        <v>140</v>
      </c>
      <c r="I97" s="14">
        <f t="shared" si="21"/>
        <v>210</v>
      </c>
      <c r="J97" s="14">
        <f t="shared" ref="J97:J103" si="23">I97*13%</f>
        <v>27.3</v>
      </c>
      <c r="K97" s="14">
        <f t="shared" ref="K97:K104" si="24">I97-J97</f>
        <v>182.7</v>
      </c>
      <c r="L97" s="34"/>
      <c r="M97" s="34"/>
      <c r="N97" s="14">
        <f t="shared" si="13"/>
        <v>0</v>
      </c>
      <c r="O97" s="22">
        <f t="shared" si="22"/>
        <v>70</v>
      </c>
      <c r="P97" s="22">
        <f t="shared" si="22"/>
        <v>140</v>
      </c>
      <c r="Q97" s="14">
        <f t="shared" si="15"/>
        <v>210</v>
      </c>
      <c r="R97" s="14">
        <f t="shared" si="16"/>
        <v>210</v>
      </c>
      <c r="S97" s="34"/>
      <c r="T97" s="35"/>
      <c r="U97" s="36"/>
      <c r="V97" s="37"/>
      <c r="W97" s="37"/>
      <c r="X97" s="24">
        <f t="shared" si="17"/>
        <v>0</v>
      </c>
      <c r="Y97" s="24">
        <f t="shared" si="18"/>
        <v>210</v>
      </c>
    </row>
    <row r="98" spans="1:25" x14ac:dyDescent="0.25">
      <c r="A98" s="96">
        <v>6</v>
      </c>
      <c r="B98" s="83"/>
      <c r="C98" s="23"/>
      <c r="D98" s="23"/>
      <c r="E98" s="23"/>
      <c r="F98" s="23"/>
      <c r="G98" s="22"/>
      <c r="H98" s="22"/>
      <c r="I98" s="14">
        <f t="shared" si="21"/>
        <v>0</v>
      </c>
      <c r="J98" s="14">
        <f t="shared" si="23"/>
        <v>0</v>
      </c>
      <c r="K98" s="14">
        <f t="shared" si="24"/>
        <v>0</v>
      </c>
      <c r="L98" s="34"/>
      <c r="M98" s="34"/>
      <c r="N98" s="14">
        <f t="shared" si="13"/>
        <v>0</v>
      </c>
      <c r="O98" s="22">
        <f t="shared" si="22"/>
        <v>0</v>
      </c>
      <c r="P98" s="22">
        <f t="shared" si="22"/>
        <v>0</v>
      </c>
      <c r="Q98" s="14">
        <f t="shared" si="15"/>
        <v>0</v>
      </c>
      <c r="R98" s="14">
        <f t="shared" si="16"/>
        <v>0</v>
      </c>
      <c r="S98" s="34"/>
      <c r="T98" s="35"/>
      <c r="U98" s="36"/>
      <c r="V98" s="37"/>
      <c r="W98" s="37"/>
      <c r="X98" s="24">
        <f t="shared" si="17"/>
        <v>0</v>
      </c>
      <c r="Y98" s="24">
        <f t="shared" si="18"/>
        <v>0</v>
      </c>
    </row>
    <row r="99" spans="1:25" x14ac:dyDescent="0.25">
      <c r="A99" s="96">
        <v>7</v>
      </c>
      <c r="B99" s="83"/>
      <c r="C99" s="23"/>
      <c r="D99" s="23"/>
      <c r="E99" s="23"/>
      <c r="F99" s="23"/>
      <c r="G99" s="22"/>
      <c r="H99" s="22"/>
      <c r="I99" s="14">
        <f t="shared" si="21"/>
        <v>0</v>
      </c>
      <c r="J99" s="14">
        <f t="shared" si="23"/>
        <v>0</v>
      </c>
      <c r="K99" s="14">
        <f t="shared" si="24"/>
        <v>0</v>
      </c>
      <c r="L99" s="34"/>
      <c r="M99" s="34"/>
      <c r="N99" s="14">
        <f t="shared" si="13"/>
        <v>0</v>
      </c>
      <c r="O99" s="22">
        <f t="shared" si="22"/>
        <v>0</v>
      </c>
      <c r="P99" s="22">
        <f t="shared" si="22"/>
        <v>0</v>
      </c>
      <c r="Q99" s="14">
        <f t="shared" si="15"/>
        <v>0</v>
      </c>
      <c r="R99" s="14">
        <f t="shared" si="16"/>
        <v>0</v>
      </c>
      <c r="S99" s="34"/>
      <c r="T99" s="35"/>
      <c r="U99" s="36"/>
      <c r="V99" s="37"/>
      <c r="W99" s="37"/>
      <c r="X99" s="24">
        <f t="shared" si="17"/>
        <v>0</v>
      </c>
      <c r="Y99" s="24">
        <f t="shared" si="18"/>
        <v>0</v>
      </c>
    </row>
    <row r="100" spans="1:25" x14ac:dyDescent="0.25">
      <c r="A100" s="96">
        <v>8</v>
      </c>
      <c r="B100" s="83"/>
      <c r="C100" s="23"/>
      <c r="D100" s="23"/>
      <c r="E100" s="23"/>
      <c r="F100" s="23"/>
      <c r="G100" s="22"/>
      <c r="H100" s="22"/>
      <c r="I100" s="14">
        <f t="shared" si="21"/>
        <v>0</v>
      </c>
      <c r="J100" s="14">
        <f t="shared" si="23"/>
        <v>0</v>
      </c>
      <c r="K100" s="14">
        <f t="shared" si="24"/>
        <v>0</v>
      </c>
      <c r="L100" s="34"/>
      <c r="M100" s="34"/>
      <c r="N100" s="14">
        <f t="shared" si="13"/>
        <v>0</v>
      </c>
      <c r="O100" s="22">
        <f t="shared" si="22"/>
        <v>0</v>
      </c>
      <c r="P100" s="22">
        <f t="shared" si="22"/>
        <v>0</v>
      </c>
      <c r="Q100" s="14">
        <f t="shared" si="15"/>
        <v>0</v>
      </c>
      <c r="R100" s="14">
        <f t="shared" si="16"/>
        <v>0</v>
      </c>
      <c r="S100" s="34"/>
      <c r="T100" s="36"/>
      <c r="U100" s="36"/>
      <c r="V100" s="37"/>
      <c r="W100" s="37"/>
      <c r="X100" s="97">
        <f t="shared" si="17"/>
        <v>0</v>
      </c>
      <c r="Y100" s="97">
        <f t="shared" si="18"/>
        <v>0</v>
      </c>
    </row>
    <row r="101" spans="1:25" x14ac:dyDescent="0.25">
      <c r="A101" s="96">
        <v>9</v>
      </c>
      <c r="B101" s="83"/>
      <c r="C101" s="23"/>
      <c r="D101" s="23"/>
      <c r="E101" s="23"/>
      <c r="F101" s="23"/>
      <c r="G101" s="22"/>
      <c r="H101" s="22"/>
      <c r="I101" s="14">
        <f t="shared" si="21"/>
        <v>0</v>
      </c>
      <c r="J101" s="14">
        <f t="shared" si="23"/>
        <v>0</v>
      </c>
      <c r="K101" s="14">
        <f t="shared" si="24"/>
        <v>0</v>
      </c>
      <c r="L101" s="34"/>
      <c r="M101" s="34"/>
      <c r="N101" s="14">
        <f t="shared" si="13"/>
        <v>0</v>
      </c>
      <c r="O101" s="22">
        <f t="shared" si="22"/>
        <v>0</v>
      </c>
      <c r="P101" s="22">
        <f t="shared" si="22"/>
        <v>0</v>
      </c>
      <c r="Q101" s="14">
        <f t="shared" si="15"/>
        <v>0</v>
      </c>
      <c r="R101" s="14">
        <f t="shared" si="16"/>
        <v>0</v>
      </c>
      <c r="S101" s="34"/>
      <c r="T101" s="36"/>
      <c r="U101" s="36"/>
      <c r="V101" s="37"/>
      <c r="W101" s="37"/>
      <c r="X101" s="97">
        <f t="shared" si="17"/>
        <v>0</v>
      </c>
      <c r="Y101" s="97">
        <f t="shared" si="18"/>
        <v>0</v>
      </c>
    </row>
    <row r="102" spans="1:25" x14ac:dyDescent="0.25">
      <c r="A102" s="96">
        <v>10</v>
      </c>
      <c r="B102" s="83"/>
      <c r="C102" s="23"/>
      <c r="D102" s="23"/>
      <c r="E102" s="23"/>
      <c r="F102" s="23"/>
      <c r="G102" s="22"/>
      <c r="H102" s="22"/>
      <c r="I102" s="14">
        <f t="shared" si="21"/>
        <v>0</v>
      </c>
      <c r="J102" s="14">
        <f t="shared" si="23"/>
        <v>0</v>
      </c>
      <c r="K102" s="14">
        <f t="shared" si="24"/>
        <v>0</v>
      </c>
      <c r="L102" s="34"/>
      <c r="M102" s="34"/>
      <c r="N102" s="14">
        <f t="shared" si="13"/>
        <v>0</v>
      </c>
      <c r="O102" s="22">
        <f t="shared" si="22"/>
        <v>0</v>
      </c>
      <c r="P102" s="22">
        <f t="shared" si="22"/>
        <v>0</v>
      </c>
      <c r="Q102" s="14">
        <f t="shared" si="15"/>
        <v>0</v>
      </c>
      <c r="R102" s="14">
        <f t="shared" si="16"/>
        <v>0</v>
      </c>
      <c r="S102" s="34"/>
      <c r="T102" s="35"/>
      <c r="U102" s="36"/>
      <c r="V102" s="37"/>
      <c r="W102" s="37"/>
      <c r="X102" s="24">
        <f t="shared" si="17"/>
        <v>0</v>
      </c>
      <c r="Y102" s="24">
        <f t="shared" si="18"/>
        <v>0</v>
      </c>
    </row>
    <row r="103" spans="1:25" x14ac:dyDescent="0.25">
      <c r="A103" s="96">
        <v>11</v>
      </c>
      <c r="B103" s="83"/>
      <c r="C103" s="23"/>
      <c r="D103" s="23"/>
      <c r="E103" s="23"/>
      <c r="F103" s="23"/>
      <c r="G103" s="22"/>
      <c r="H103" s="22"/>
      <c r="I103" s="14">
        <f t="shared" si="21"/>
        <v>0</v>
      </c>
      <c r="J103" s="14">
        <f t="shared" si="23"/>
        <v>0</v>
      </c>
      <c r="K103" s="14">
        <f t="shared" si="24"/>
        <v>0</v>
      </c>
      <c r="L103" s="34"/>
      <c r="M103" s="34"/>
      <c r="N103" s="14">
        <f t="shared" si="13"/>
        <v>0</v>
      </c>
      <c r="O103" s="22">
        <f t="shared" si="22"/>
        <v>0</v>
      </c>
      <c r="P103" s="22">
        <f t="shared" si="22"/>
        <v>0</v>
      </c>
      <c r="Q103" s="14">
        <f t="shared" si="15"/>
        <v>0</v>
      </c>
      <c r="R103" s="14">
        <f t="shared" si="16"/>
        <v>0</v>
      </c>
      <c r="S103" s="34"/>
      <c r="T103" s="35"/>
      <c r="U103" s="36"/>
      <c r="V103" s="37"/>
      <c r="W103" s="37"/>
      <c r="X103" s="24">
        <f t="shared" si="17"/>
        <v>0</v>
      </c>
      <c r="Y103" s="24">
        <f t="shared" si="18"/>
        <v>0</v>
      </c>
    </row>
    <row r="104" spans="1:25" x14ac:dyDescent="0.25">
      <c r="A104" s="68"/>
      <c r="B104" s="113"/>
      <c r="C104" s="67"/>
      <c r="D104" s="67"/>
      <c r="E104" s="68"/>
      <c r="F104" s="68"/>
      <c r="G104" s="66">
        <f>SUM(G93:G103)</f>
        <v>400</v>
      </c>
      <c r="H104" s="66">
        <f>SUM(H93:H103)</f>
        <v>1120</v>
      </c>
      <c r="I104" s="66">
        <f>SUM(I93:I103)</f>
        <v>1520</v>
      </c>
      <c r="J104" s="66">
        <f>SUM(J93:J103)</f>
        <v>197.60000000000002</v>
      </c>
      <c r="K104" s="66">
        <f t="shared" si="24"/>
        <v>1322.4</v>
      </c>
      <c r="L104" s="66">
        <f>SUM(L93:L103)</f>
        <v>0</v>
      </c>
      <c r="M104" s="66">
        <f>SUM(M93:M103)</f>
        <v>0</v>
      </c>
      <c r="N104" s="66">
        <f>SUM(N93:N103)</f>
        <v>0</v>
      </c>
      <c r="O104" s="66">
        <f>SUM(O93:O103)</f>
        <v>400</v>
      </c>
      <c r="P104" s="66">
        <f>SUM(P94:P103)</f>
        <v>710</v>
      </c>
      <c r="Q104" s="66">
        <f t="shared" si="15"/>
        <v>1110</v>
      </c>
      <c r="R104" s="66">
        <f t="shared" si="16"/>
        <v>1110</v>
      </c>
      <c r="S104" s="66"/>
      <c r="T104" s="67"/>
      <c r="U104" s="68"/>
      <c r="V104" s="68"/>
      <c r="W104" s="68"/>
      <c r="X104" s="69">
        <f t="shared" si="17"/>
        <v>0</v>
      </c>
      <c r="Y104" s="69">
        <f t="shared" si="18"/>
        <v>1110</v>
      </c>
    </row>
    <row r="105" spans="1:25" x14ac:dyDescent="0.25">
      <c r="A105" s="114"/>
      <c r="B105" s="114"/>
      <c r="C105" s="120"/>
      <c r="D105" s="120"/>
      <c r="E105" s="120"/>
      <c r="F105" s="120"/>
      <c r="G105" s="121"/>
      <c r="H105" s="121"/>
      <c r="I105" s="114"/>
      <c r="J105" s="114"/>
      <c r="K105" s="114"/>
      <c r="L105" s="114"/>
      <c r="M105" s="114"/>
      <c r="N105" s="114"/>
      <c r="O105" s="114"/>
      <c r="P105" s="114"/>
      <c r="Q105" s="114"/>
      <c r="R105" s="114"/>
      <c r="S105" s="114"/>
      <c r="T105" s="120"/>
      <c r="U105" s="114"/>
      <c r="V105" s="122"/>
      <c r="W105" s="122"/>
      <c r="X105" s="122"/>
      <c r="Y105" s="122"/>
    </row>
    <row r="106" spans="1:25" ht="18" x14ac:dyDescent="0.25">
      <c r="A106" s="198" t="s">
        <v>364</v>
      </c>
      <c r="B106" s="198"/>
      <c r="C106" s="198"/>
      <c r="D106" s="198"/>
      <c r="E106" s="198"/>
      <c r="F106" s="198"/>
      <c r="G106" s="198"/>
      <c r="H106" s="198"/>
      <c r="I106" s="198"/>
      <c r="J106" s="198"/>
      <c r="K106" s="198"/>
      <c r="L106" s="198"/>
      <c r="M106" s="198"/>
      <c r="N106" s="198"/>
      <c r="O106" s="198"/>
      <c r="P106" s="198"/>
      <c r="Q106" s="198"/>
      <c r="R106" s="198"/>
      <c r="S106" s="198"/>
      <c r="T106" s="198"/>
      <c r="U106" s="198"/>
      <c r="V106" s="198"/>
      <c r="W106" s="198"/>
      <c r="X106" s="198"/>
      <c r="Y106" s="198"/>
    </row>
    <row r="107" spans="1:25" x14ac:dyDescent="0.25">
      <c r="A107" s="193" t="s">
        <v>0</v>
      </c>
      <c r="B107" s="194"/>
      <c r="C107" s="194"/>
      <c r="D107" s="194"/>
      <c r="E107" s="195" t="s">
        <v>1</v>
      </c>
      <c r="F107" s="195"/>
      <c r="G107" s="194"/>
      <c r="H107" s="194"/>
      <c r="I107" s="194"/>
      <c r="J107" s="109"/>
      <c r="K107" s="109"/>
      <c r="L107" s="194" t="s">
        <v>2</v>
      </c>
      <c r="M107" s="194"/>
      <c r="N107" s="194"/>
      <c r="O107" s="194" t="s">
        <v>3</v>
      </c>
      <c r="P107" s="194"/>
      <c r="Q107" s="194"/>
      <c r="R107" s="195" t="s">
        <v>4</v>
      </c>
      <c r="S107" s="194"/>
      <c r="T107" s="194"/>
      <c r="U107" s="194"/>
      <c r="V107" s="109"/>
      <c r="W107" s="78"/>
      <c r="X107" s="78"/>
      <c r="Y107" s="78"/>
    </row>
    <row r="108" spans="1:25" ht="25.5" x14ac:dyDescent="0.25">
      <c r="A108" s="111" t="s">
        <v>5</v>
      </c>
      <c r="B108" s="80" t="s">
        <v>6</v>
      </c>
      <c r="C108" s="80" t="s">
        <v>7</v>
      </c>
      <c r="D108" s="80" t="s">
        <v>8</v>
      </c>
      <c r="E108" s="80" t="s">
        <v>331</v>
      </c>
      <c r="F108" s="80" t="s">
        <v>332</v>
      </c>
      <c r="G108" s="80" t="s">
        <v>29</v>
      </c>
      <c r="H108" s="80" t="s">
        <v>30</v>
      </c>
      <c r="I108" s="80" t="s">
        <v>11</v>
      </c>
      <c r="J108" s="80" t="s">
        <v>12</v>
      </c>
      <c r="K108" s="80" t="s">
        <v>13</v>
      </c>
      <c r="L108" s="80" t="s">
        <v>14</v>
      </c>
      <c r="M108" s="80" t="s">
        <v>15</v>
      </c>
      <c r="N108" s="80" t="s">
        <v>16</v>
      </c>
      <c r="O108" s="80" t="s">
        <v>17</v>
      </c>
      <c r="P108" s="80" t="s">
        <v>18</v>
      </c>
      <c r="Q108" s="80" t="s">
        <v>19</v>
      </c>
      <c r="R108" s="196"/>
      <c r="S108" s="80" t="s">
        <v>20</v>
      </c>
      <c r="T108" s="80" t="s">
        <v>21</v>
      </c>
      <c r="U108" s="81" t="s">
        <v>20</v>
      </c>
      <c r="V108" s="82" t="s">
        <v>21</v>
      </c>
      <c r="W108" s="80" t="s">
        <v>22</v>
      </c>
      <c r="X108" s="80" t="s">
        <v>23</v>
      </c>
      <c r="Y108" s="80" t="s">
        <v>24</v>
      </c>
    </row>
    <row r="109" spans="1:25" x14ac:dyDescent="0.25">
      <c r="A109" s="108">
        <v>1</v>
      </c>
      <c r="B109" s="115"/>
      <c r="C109" s="123" t="s">
        <v>328</v>
      </c>
      <c r="D109" s="123"/>
      <c r="E109" s="104">
        <v>50</v>
      </c>
      <c r="F109" s="104"/>
      <c r="G109" s="14">
        <f>G76</f>
        <v>3837</v>
      </c>
      <c r="H109" s="14">
        <f t="shared" ref="H109:R109" si="25">H76</f>
        <v>6262</v>
      </c>
      <c r="I109" s="14">
        <f t="shared" si="25"/>
        <v>10099</v>
      </c>
      <c r="J109" s="14">
        <f t="shared" si="25"/>
        <v>1312.8700000000001</v>
      </c>
      <c r="K109" s="14">
        <f t="shared" si="25"/>
        <v>8786.1299999999992</v>
      </c>
      <c r="L109" s="14">
        <f t="shared" si="25"/>
        <v>20</v>
      </c>
      <c r="M109" s="14">
        <f t="shared" si="25"/>
        <v>0</v>
      </c>
      <c r="N109" s="14">
        <f t="shared" si="25"/>
        <v>20</v>
      </c>
      <c r="O109" s="14">
        <f t="shared" si="25"/>
        <v>3817</v>
      </c>
      <c r="P109" s="14">
        <f t="shared" si="25"/>
        <v>6262</v>
      </c>
      <c r="Q109" s="14">
        <f t="shared" si="25"/>
        <v>10079</v>
      </c>
      <c r="R109" s="14">
        <f t="shared" si="25"/>
        <v>10099</v>
      </c>
      <c r="S109" s="14"/>
      <c r="T109" s="123"/>
      <c r="U109" s="14"/>
      <c r="V109" s="124"/>
      <c r="W109" s="124"/>
      <c r="X109" s="124">
        <f>SUM(X35:X108)</f>
        <v>8136</v>
      </c>
      <c r="Y109" s="124">
        <f>R109-X109</f>
        <v>1963</v>
      </c>
    </row>
    <row r="110" spans="1:25" x14ac:dyDescent="0.25">
      <c r="A110" s="16">
        <v>2</v>
      </c>
      <c r="B110" s="115"/>
      <c r="C110" s="15" t="s">
        <v>619</v>
      </c>
      <c r="D110" s="15"/>
      <c r="E110" s="58"/>
      <c r="F110" s="104"/>
      <c r="G110" s="14">
        <f t="shared" ref="G110:R110" si="26">G89</f>
        <v>785</v>
      </c>
      <c r="H110" s="14">
        <f t="shared" si="26"/>
        <v>665</v>
      </c>
      <c r="I110" s="14">
        <f t="shared" si="26"/>
        <v>1450</v>
      </c>
      <c r="J110" s="14">
        <f t="shared" si="26"/>
        <v>188.5</v>
      </c>
      <c r="K110" s="14">
        <f t="shared" si="26"/>
        <v>1261.5</v>
      </c>
      <c r="L110" s="14">
        <f t="shared" si="26"/>
        <v>0</v>
      </c>
      <c r="M110" s="14">
        <f t="shared" si="26"/>
        <v>0</v>
      </c>
      <c r="N110" s="14">
        <f t="shared" si="26"/>
        <v>0</v>
      </c>
      <c r="O110" s="14">
        <f t="shared" si="26"/>
        <v>785</v>
      </c>
      <c r="P110" s="14">
        <f t="shared" si="26"/>
        <v>665</v>
      </c>
      <c r="Q110" s="14">
        <f t="shared" si="26"/>
        <v>1450</v>
      </c>
      <c r="R110" s="14">
        <f t="shared" si="26"/>
        <v>1450</v>
      </c>
      <c r="S110" s="14"/>
      <c r="T110" s="15"/>
      <c r="U110" s="16"/>
      <c r="V110" s="16"/>
      <c r="W110" s="16"/>
      <c r="X110" s="17">
        <f>S110+U110</f>
        <v>0</v>
      </c>
      <c r="Y110" s="17">
        <f>R110-X110</f>
        <v>1450</v>
      </c>
    </row>
    <row r="111" spans="1:25" x14ac:dyDescent="0.25">
      <c r="A111" s="44">
        <v>3</v>
      </c>
      <c r="B111" s="115"/>
      <c r="C111" s="43" t="s">
        <v>330</v>
      </c>
      <c r="D111" s="43"/>
      <c r="E111" s="103"/>
      <c r="F111" s="103"/>
      <c r="G111" s="42">
        <f>G104</f>
        <v>400</v>
      </c>
      <c r="H111" s="42">
        <f>H104</f>
        <v>1120</v>
      </c>
      <c r="I111" s="14">
        <f>G111+H111</f>
        <v>1520</v>
      </c>
      <c r="J111" s="14">
        <f>I111*13%</f>
        <v>197.6</v>
      </c>
      <c r="K111" s="14">
        <f>I111-J111</f>
        <v>1322.4</v>
      </c>
      <c r="L111" s="42">
        <f>L104</f>
        <v>0</v>
      </c>
      <c r="M111" s="42">
        <f>M104</f>
        <v>0</v>
      </c>
      <c r="N111" s="14">
        <f>L111+M111</f>
        <v>0</v>
      </c>
      <c r="O111" s="14">
        <f>O104</f>
        <v>400</v>
      </c>
      <c r="P111" s="14">
        <f>P104</f>
        <v>710</v>
      </c>
      <c r="Q111" s="14">
        <f>Q104</f>
        <v>1110</v>
      </c>
      <c r="R111" s="14">
        <f>R104</f>
        <v>1110</v>
      </c>
      <c r="S111" s="42"/>
      <c r="T111" s="43"/>
      <c r="U111" s="44"/>
      <c r="V111" s="45"/>
      <c r="W111" s="45"/>
      <c r="X111" s="17">
        <f>S111+U111</f>
        <v>0</v>
      </c>
      <c r="Y111" s="17">
        <f>R111-X111</f>
        <v>1110</v>
      </c>
    </row>
    <row r="112" spans="1:25" x14ac:dyDescent="0.25">
      <c r="A112" s="116"/>
      <c r="B112" s="116"/>
      <c r="C112" s="106"/>
      <c r="D112" s="106"/>
      <c r="E112" s="105">
        <f>SUM(E109:E111)</f>
        <v>50</v>
      </c>
      <c r="F112" s="106">
        <f>SUM(F109:F111)</f>
        <v>0</v>
      </c>
      <c r="G112" s="125">
        <f t="shared" ref="G112:R112" si="27">SUM(G109:G111)</f>
        <v>5022</v>
      </c>
      <c r="H112" s="125">
        <f t="shared" si="27"/>
        <v>8047</v>
      </c>
      <c r="I112" s="126">
        <f t="shared" si="27"/>
        <v>13069</v>
      </c>
      <c r="J112" s="126">
        <f t="shared" si="27"/>
        <v>1698.97</v>
      </c>
      <c r="K112" s="126">
        <f t="shared" si="27"/>
        <v>11370.029999999999</v>
      </c>
      <c r="L112" s="126">
        <f t="shared" si="27"/>
        <v>20</v>
      </c>
      <c r="M112" s="126">
        <f t="shared" si="27"/>
        <v>0</v>
      </c>
      <c r="N112" s="126">
        <f t="shared" si="27"/>
        <v>20</v>
      </c>
      <c r="O112" s="126">
        <f t="shared" si="27"/>
        <v>5002</v>
      </c>
      <c r="P112" s="126">
        <f t="shared" si="27"/>
        <v>7637</v>
      </c>
      <c r="Q112" s="126">
        <f t="shared" si="27"/>
        <v>12639</v>
      </c>
      <c r="R112" s="126">
        <f t="shared" si="27"/>
        <v>12659</v>
      </c>
      <c r="S112" s="116"/>
      <c r="T112" s="106"/>
      <c r="U112" s="116"/>
      <c r="V112" s="127"/>
      <c r="W112" s="127"/>
      <c r="X112" s="128">
        <f>SUM(X109:X111)</f>
        <v>8136</v>
      </c>
      <c r="Y112" s="128">
        <f>SUM(Y109:Y111)</f>
        <v>4523</v>
      </c>
    </row>
  </sheetData>
  <mergeCells count="33">
    <mergeCell ref="A2:Y2"/>
    <mergeCell ref="A3:Y3"/>
    <mergeCell ref="A4:D4"/>
    <mergeCell ref="E4:F4"/>
    <mergeCell ref="L4:N4"/>
    <mergeCell ref="O4:Q4"/>
    <mergeCell ref="R4:R5"/>
    <mergeCell ref="G4:K4"/>
    <mergeCell ref="S4:W4"/>
    <mergeCell ref="A77:Y77"/>
    <mergeCell ref="A78:D78"/>
    <mergeCell ref="E78:F78"/>
    <mergeCell ref="G78:I78"/>
    <mergeCell ref="L78:N78"/>
    <mergeCell ref="O78:Q78"/>
    <mergeCell ref="R78:R79"/>
    <mergeCell ref="S78:U78"/>
    <mergeCell ref="A90:Y90"/>
    <mergeCell ref="A91:D91"/>
    <mergeCell ref="E91:F91"/>
    <mergeCell ref="G91:I91"/>
    <mergeCell ref="L91:N91"/>
    <mergeCell ref="O91:Q91"/>
    <mergeCell ref="R91:R92"/>
    <mergeCell ref="S91:U91"/>
    <mergeCell ref="A106:Y106"/>
    <mergeCell ref="A107:D107"/>
    <mergeCell ref="E107:F107"/>
    <mergeCell ref="G107:I107"/>
    <mergeCell ref="L107:N107"/>
    <mergeCell ref="O107:Q107"/>
    <mergeCell ref="R107:R108"/>
    <mergeCell ref="S107:U107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7"/>
  <sheetViews>
    <sheetView topLeftCell="C231" workbookViewId="0">
      <selection activeCell="N242" sqref="N242"/>
    </sheetView>
  </sheetViews>
  <sheetFormatPr baseColWidth="10" defaultRowHeight="15" x14ac:dyDescent="0.25"/>
  <cols>
    <col min="1" max="1" width="4.5703125" customWidth="1"/>
    <col min="2" max="2" width="10.140625" customWidth="1"/>
    <col min="3" max="3" width="37.28515625" customWidth="1"/>
    <col min="4" max="4" width="9.85546875" customWidth="1"/>
    <col min="5" max="5" width="10.28515625" customWidth="1"/>
    <col min="7" max="8" width="17" customWidth="1"/>
    <col min="9" max="9" width="11.140625" customWidth="1"/>
    <col min="10" max="10" width="10.7109375" customWidth="1"/>
  </cols>
  <sheetData>
    <row r="1" spans="1:27" ht="18" x14ac:dyDescent="0.25">
      <c r="A1" s="192" t="s">
        <v>25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</row>
    <row r="2" spans="1:27" ht="18" x14ac:dyDescent="0.25">
      <c r="A2" s="191" t="s">
        <v>573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</row>
    <row r="3" spans="1:27" ht="29.25" customHeight="1" x14ac:dyDescent="0.25">
      <c r="A3" s="199" t="s">
        <v>0</v>
      </c>
      <c r="B3" s="200"/>
      <c r="C3" s="200"/>
      <c r="D3" s="201"/>
      <c r="E3" s="202" t="s">
        <v>1</v>
      </c>
      <c r="F3" s="203"/>
      <c r="G3" s="199" t="s">
        <v>430</v>
      </c>
      <c r="H3" s="200"/>
      <c r="I3" s="200"/>
      <c r="J3" s="200"/>
      <c r="K3" s="200"/>
      <c r="L3" s="200"/>
      <c r="M3" s="201"/>
      <c r="N3" s="199" t="s">
        <v>2</v>
      </c>
      <c r="O3" s="200"/>
      <c r="P3" s="201"/>
      <c r="Q3" s="199" t="s">
        <v>3</v>
      </c>
      <c r="R3" s="200"/>
      <c r="S3" s="201"/>
      <c r="T3" s="195" t="s">
        <v>4</v>
      </c>
      <c r="U3" s="199" t="s">
        <v>431</v>
      </c>
      <c r="V3" s="200"/>
      <c r="W3" s="200"/>
      <c r="X3" s="200"/>
      <c r="Y3" s="201"/>
      <c r="Z3" s="78"/>
      <c r="AA3" s="78"/>
    </row>
    <row r="4" spans="1:27" ht="25.5" x14ac:dyDescent="0.25">
      <c r="A4" s="111" t="s">
        <v>5</v>
      </c>
      <c r="B4" s="80" t="s">
        <v>6</v>
      </c>
      <c r="C4" s="80" t="s">
        <v>7</v>
      </c>
      <c r="D4" s="80" t="s">
        <v>658</v>
      </c>
      <c r="E4" s="80" t="s">
        <v>333</v>
      </c>
      <c r="F4" s="80" t="s">
        <v>719</v>
      </c>
      <c r="G4" s="80" t="s">
        <v>9</v>
      </c>
      <c r="H4" s="80" t="s">
        <v>10</v>
      </c>
      <c r="I4" s="80" t="s">
        <v>9</v>
      </c>
      <c r="J4" s="80" t="s">
        <v>10</v>
      </c>
      <c r="K4" s="80" t="s">
        <v>24</v>
      </c>
      <c r="L4" s="80" t="s">
        <v>12</v>
      </c>
      <c r="M4" s="80" t="s">
        <v>13</v>
      </c>
      <c r="N4" s="80" t="s">
        <v>14</v>
      </c>
      <c r="O4" s="80" t="s">
        <v>15</v>
      </c>
      <c r="P4" s="80" t="s">
        <v>16</v>
      </c>
      <c r="Q4" s="80" t="s">
        <v>17</v>
      </c>
      <c r="R4" s="80" t="s">
        <v>18</v>
      </c>
      <c r="S4" s="80" t="s">
        <v>19</v>
      </c>
      <c r="T4" s="204"/>
      <c r="U4" s="80" t="s">
        <v>20</v>
      </c>
      <c r="V4" s="80" t="s">
        <v>21</v>
      </c>
      <c r="W4" s="81" t="s">
        <v>20</v>
      </c>
      <c r="X4" s="82" t="s">
        <v>21</v>
      </c>
      <c r="Y4" s="80" t="s">
        <v>22</v>
      </c>
      <c r="Z4" s="80" t="s">
        <v>23</v>
      </c>
      <c r="AA4" s="80" t="s">
        <v>24</v>
      </c>
    </row>
    <row r="5" spans="1:27" ht="27" x14ac:dyDescent="0.25">
      <c r="A5" s="23">
        <v>3</v>
      </c>
      <c r="B5" s="112">
        <v>43525</v>
      </c>
      <c r="C5" s="176" t="s">
        <v>649</v>
      </c>
      <c r="D5" s="23" t="s">
        <v>650</v>
      </c>
      <c r="E5" s="23"/>
      <c r="F5" s="23" t="s">
        <v>651</v>
      </c>
      <c r="G5" s="23" t="s">
        <v>652</v>
      </c>
      <c r="H5" s="23" t="s">
        <v>653</v>
      </c>
      <c r="I5" s="165">
        <v>25</v>
      </c>
      <c r="J5" s="165">
        <v>200</v>
      </c>
      <c r="K5" s="123">
        <f>I5+J5</f>
        <v>225</v>
      </c>
      <c r="L5" s="123">
        <f t="shared" ref="L5:L68" si="0">K5*13%</f>
        <v>29.25</v>
      </c>
      <c r="M5" s="123">
        <f t="shared" ref="M5:M68" si="1">K5-L5</f>
        <v>195.75</v>
      </c>
      <c r="N5" s="165">
        <v>10</v>
      </c>
      <c r="O5" s="165"/>
      <c r="P5" s="123">
        <f t="shared" ref="P5:P68" si="2">N5+O5</f>
        <v>10</v>
      </c>
      <c r="Q5" s="165">
        <f>I5-N5</f>
        <v>15</v>
      </c>
      <c r="R5" s="165">
        <f>J5-O5</f>
        <v>200</v>
      </c>
      <c r="S5" s="123">
        <f t="shared" ref="S5:S68" si="3">Q5+R5</f>
        <v>215</v>
      </c>
      <c r="T5" s="123">
        <f t="shared" ref="T5:T68" si="4">P5+S5</f>
        <v>225</v>
      </c>
      <c r="U5" s="165"/>
      <c r="V5" s="23"/>
      <c r="W5" s="165"/>
      <c r="X5" s="174"/>
      <c r="Y5" s="23"/>
      <c r="Z5" s="170">
        <f t="shared" ref="Z5:Z68" si="5">U5+W5</f>
        <v>0</v>
      </c>
      <c r="AA5" s="170">
        <f t="shared" ref="AA5:AA68" si="6">T5-Z5</f>
        <v>225</v>
      </c>
    </row>
    <row r="6" spans="1:27" ht="27" x14ac:dyDescent="0.25">
      <c r="A6" s="23">
        <v>4</v>
      </c>
      <c r="B6" s="112">
        <v>43525</v>
      </c>
      <c r="C6" s="176" t="s">
        <v>654</v>
      </c>
      <c r="D6" s="23" t="s">
        <v>650</v>
      </c>
      <c r="E6" s="23"/>
      <c r="F6" s="23" t="s">
        <v>655</v>
      </c>
      <c r="G6" s="23" t="s">
        <v>656</v>
      </c>
      <c r="H6" s="23" t="s">
        <v>657</v>
      </c>
      <c r="I6" s="165">
        <v>50</v>
      </c>
      <c r="J6" s="165">
        <v>150</v>
      </c>
      <c r="K6" s="123">
        <f>I6+J6</f>
        <v>200</v>
      </c>
      <c r="L6" s="123">
        <f t="shared" si="0"/>
        <v>26</v>
      </c>
      <c r="M6" s="123">
        <f t="shared" si="1"/>
        <v>174</v>
      </c>
      <c r="N6" s="168">
        <v>10</v>
      </c>
      <c r="O6" s="168">
        <v>43.71</v>
      </c>
      <c r="P6" s="123">
        <f t="shared" si="2"/>
        <v>53.71</v>
      </c>
      <c r="Q6" s="165">
        <f t="shared" ref="Q6:Q69" si="7">I6-N6</f>
        <v>40</v>
      </c>
      <c r="R6" s="165">
        <f t="shared" ref="R6:R69" si="8">J6-O6</f>
        <v>106.28999999999999</v>
      </c>
      <c r="S6" s="123">
        <f t="shared" si="3"/>
        <v>146.29</v>
      </c>
      <c r="T6" s="123">
        <f t="shared" si="4"/>
        <v>200</v>
      </c>
      <c r="U6" s="168"/>
      <c r="V6" s="35"/>
      <c r="W6" s="35"/>
      <c r="X6" s="35"/>
      <c r="Y6" s="35"/>
      <c r="Z6" s="170">
        <f t="shared" si="5"/>
        <v>0</v>
      </c>
      <c r="AA6" s="170">
        <f t="shared" si="6"/>
        <v>200</v>
      </c>
    </row>
    <row r="7" spans="1:27" ht="27" x14ac:dyDescent="0.25">
      <c r="A7" s="23">
        <v>5</v>
      </c>
      <c r="B7" s="112">
        <v>43526</v>
      </c>
      <c r="C7" s="23" t="s">
        <v>720</v>
      </c>
      <c r="D7" s="23" t="s">
        <v>650</v>
      </c>
      <c r="E7" s="23"/>
      <c r="F7" s="23" t="s">
        <v>721</v>
      </c>
      <c r="G7" s="23" t="s">
        <v>722</v>
      </c>
      <c r="H7" s="23" t="s">
        <v>701</v>
      </c>
      <c r="I7" s="165">
        <v>60</v>
      </c>
      <c r="J7" s="165">
        <v>90</v>
      </c>
      <c r="K7" s="123">
        <f>I7+J7</f>
        <v>150</v>
      </c>
      <c r="L7" s="123">
        <f t="shared" si="0"/>
        <v>19.5</v>
      </c>
      <c r="M7" s="123">
        <f t="shared" si="1"/>
        <v>130.5</v>
      </c>
      <c r="N7" s="168">
        <v>15</v>
      </c>
      <c r="O7" s="168">
        <v>14</v>
      </c>
      <c r="P7" s="123">
        <f t="shared" si="2"/>
        <v>29</v>
      </c>
      <c r="Q7" s="165">
        <f t="shared" si="7"/>
        <v>45</v>
      </c>
      <c r="R7" s="165">
        <f t="shared" si="8"/>
        <v>76</v>
      </c>
      <c r="S7" s="123">
        <f t="shared" si="3"/>
        <v>121</v>
      </c>
      <c r="T7" s="123">
        <f t="shared" si="4"/>
        <v>150</v>
      </c>
      <c r="U7" s="168"/>
      <c r="V7" s="35"/>
      <c r="W7" s="35"/>
      <c r="X7" s="35"/>
      <c r="Y7" s="35"/>
      <c r="Z7" s="170">
        <f t="shared" si="5"/>
        <v>0</v>
      </c>
      <c r="AA7" s="170">
        <f t="shared" si="6"/>
        <v>150</v>
      </c>
    </row>
    <row r="8" spans="1:27" x14ac:dyDescent="0.25">
      <c r="A8" s="23">
        <v>6</v>
      </c>
      <c r="B8" s="112">
        <v>43526</v>
      </c>
      <c r="C8" s="23" t="s">
        <v>723</v>
      </c>
      <c r="D8" s="23" t="s">
        <v>650</v>
      </c>
      <c r="E8" s="23"/>
      <c r="F8" s="23"/>
      <c r="G8" s="23"/>
      <c r="H8" s="23" t="s">
        <v>724</v>
      </c>
      <c r="I8" s="165"/>
      <c r="J8" s="165">
        <v>5</v>
      </c>
      <c r="K8" s="123">
        <v>5</v>
      </c>
      <c r="L8" s="123">
        <f t="shared" si="0"/>
        <v>0.65</v>
      </c>
      <c r="M8" s="123">
        <f t="shared" si="1"/>
        <v>4.3499999999999996</v>
      </c>
      <c r="N8" s="168"/>
      <c r="O8" s="168"/>
      <c r="P8" s="123">
        <f t="shared" si="2"/>
        <v>0</v>
      </c>
      <c r="Q8" s="165">
        <f t="shared" si="7"/>
        <v>0</v>
      </c>
      <c r="R8" s="165">
        <f t="shared" si="8"/>
        <v>5</v>
      </c>
      <c r="S8" s="123">
        <f t="shared" si="3"/>
        <v>5</v>
      </c>
      <c r="T8" s="123">
        <f t="shared" si="4"/>
        <v>5</v>
      </c>
      <c r="U8" s="168"/>
      <c r="V8" s="35"/>
      <c r="W8" s="35"/>
      <c r="X8" s="35"/>
      <c r="Y8" s="35"/>
      <c r="Z8" s="170">
        <f t="shared" si="5"/>
        <v>0</v>
      </c>
      <c r="AA8" s="170">
        <f t="shared" si="6"/>
        <v>5</v>
      </c>
    </row>
    <row r="9" spans="1:27" x14ac:dyDescent="0.25">
      <c r="A9" s="23">
        <v>7</v>
      </c>
      <c r="B9" s="112">
        <v>43526</v>
      </c>
      <c r="C9" s="23" t="s">
        <v>725</v>
      </c>
      <c r="D9" s="23" t="s">
        <v>650</v>
      </c>
      <c r="E9" s="23"/>
      <c r="F9" s="23"/>
      <c r="G9" s="23"/>
      <c r="H9" s="23" t="s">
        <v>724</v>
      </c>
      <c r="I9" s="165"/>
      <c r="J9" s="165">
        <v>5</v>
      </c>
      <c r="K9" s="123">
        <f t="shared" ref="K9:K16" si="9">I9+J9</f>
        <v>5</v>
      </c>
      <c r="L9" s="123">
        <f t="shared" si="0"/>
        <v>0.65</v>
      </c>
      <c r="M9" s="123">
        <f t="shared" si="1"/>
        <v>4.3499999999999996</v>
      </c>
      <c r="N9" s="168"/>
      <c r="O9" s="168"/>
      <c r="P9" s="123">
        <f t="shared" si="2"/>
        <v>0</v>
      </c>
      <c r="Q9" s="165">
        <f t="shared" si="7"/>
        <v>0</v>
      </c>
      <c r="R9" s="165">
        <f t="shared" si="8"/>
        <v>5</v>
      </c>
      <c r="S9" s="123">
        <f t="shared" si="3"/>
        <v>5</v>
      </c>
      <c r="T9" s="123">
        <f t="shared" si="4"/>
        <v>5</v>
      </c>
      <c r="U9" s="168"/>
      <c r="V9" s="35"/>
      <c r="W9" s="35"/>
      <c r="X9" s="35"/>
      <c r="Y9" s="35"/>
      <c r="Z9" s="170">
        <f t="shared" si="5"/>
        <v>0</v>
      </c>
      <c r="AA9" s="170">
        <f t="shared" si="6"/>
        <v>5</v>
      </c>
    </row>
    <row r="10" spans="1:27" x14ac:dyDescent="0.25">
      <c r="A10" s="23">
        <v>8</v>
      </c>
      <c r="B10" s="112">
        <v>43526</v>
      </c>
      <c r="C10" s="23" t="s">
        <v>726</v>
      </c>
      <c r="D10" s="35" t="s">
        <v>650</v>
      </c>
      <c r="E10" s="35"/>
      <c r="F10" s="35"/>
      <c r="G10" s="35"/>
      <c r="H10" s="35" t="s">
        <v>724</v>
      </c>
      <c r="I10" s="168"/>
      <c r="J10" s="168">
        <v>15</v>
      </c>
      <c r="K10" s="123">
        <f t="shared" si="9"/>
        <v>15</v>
      </c>
      <c r="L10" s="123">
        <f t="shared" si="0"/>
        <v>1.9500000000000002</v>
      </c>
      <c r="M10" s="123">
        <f t="shared" si="1"/>
        <v>13.05</v>
      </c>
      <c r="N10" s="168"/>
      <c r="O10" s="168"/>
      <c r="P10" s="123">
        <f t="shared" si="2"/>
        <v>0</v>
      </c>
      <c r="Q10" s="165">
        <f t="shared" si="7"/>
        <v>0</v>
      </c>
      <c r="R10" s="165">
        <f t="shared" si="8"/>
        <v>15</v>
      </c>
      <c r="S10" s="123">
        <f t="shared" si="3"/>
        <v>15</v>
      </c>
      <c r="T10" s="123">
        <f t="shared" si="4"/>
        <v>15</v>
      </c>
      <c r="U10" s="168"/>
      <c r="V10" s="35"/>
      <c r="W10" s="35"/>
      <c r="X10" s="35"/>
      <c r="Y10" s="35"/>
      <c r="Z10" s="170">
        <f t="shared" si="5"/>
        <v>0</v>
      </c>
      <c r="AA10" s="170">
        <f t="shared" si="6"/>
        <v>15</v>
      </c>
    </row>
    <row r="11" spans="1:27" ht="27" x14ac:dyDescent="0.25">
      <c r="A11" s="23">
        <v>9</v>
      </c>
      <c r="B11" s="112">
        <v>43526</v>
      </c>
      <c r="C11" s="176" t="s">
        <v>727</v>
      </c>
      <c r="D11" s="35" t="s">
        <v>650</v>
      </c>
      <c r="E11" s="35"/>
      <c r="F11" s="35" t="s">
        <v>728</v>
      </c>
      <c r="G11" s="35" t="s">
        <v>729</v>
      </c>
      <c r="H11" s="35" t="s">
        <v>701</v>
      </c>
      <c r="I11" s="168">
        <v>60</v>
      </c>
      <c r="J11" s="168">
        <v>90</v>
      </c>
      <c r="K11" s="177">
        <f t="shared" si="9"/>
        <v>150</v>
      </c>
      <c r="L11" s="123">
        <f t="shared" si="0"/>
        <v>19.5</v>
      </c>
      <c r="M11" s="123">
        <f t="shared" si="1"/>
        <v>130.5</v>
      </c>
      <c r="N11" s="168">
        <v>15</v>
      </c>
      <c r="O11" s="168">
        <v>14</v>
      </c>
      <c r="P11" s="123">
        <f t="shared" si="2"/>
        <v>29</v>
      </c>
      <c r="Q11" s="165">
        <f t="shared" si="7"/>
        <v>45</v>
      </c>
      <c r="R11" s="165">
        <f t="shared" si="8"/>
        <v>76</v>
      </c>
      <c r="S11" s="123">
        <f t="shared" si="3"/>
        <v>121</v>
      </c>
      <c r="T11" s="123">
        <f t="shared" si="4"/>
        <v>150</v>
      </c>
      <c r="U11" s="168"/>
      <c r="V11" s="35"/>
      <c r="W11" s="35"/>
      <c r="X11" s="35"/>
      <c r="Y11" s="35"/>
      <c r="Z11" s="170">
        <f t="shared" si="5"/>
        <v>0</v>
      </c>
      <c r="AA11" s="170">
        <f t="shared" si="6"/>
        <v>150</v>
      </c>
    </row>
    <row r="12" spans="1:27" x14ac:dyDescent="0.25">
      <c r="A12" s="23">
        <v>10</v>
      </c>
      <c r="B12" s="112">
        <v>43527</v>
      </c>
      <c r="C12" s="23" t="s">
        <v>733</v>
      </c>
      <c r="D12" s="23" t="s">
        <v>650</v>
      </c>
      <c r="E12" s="23"/>
      <c r="F12" s="23"/>
      <c r="G12" s="23" t="s">
        <v>734</v>
      </c>
      <c r="H12" s="23"/>
      <c r="I12" s="165">
        <v>3</v>
      </c>
      <c r="J12" s="165"/>
      <c r="K12" s="123">
        <f t="shared" si="9"/>
        <v>3</v>
      </c>
      <c r="L12" s="123">
        <f t="shared" si="0"/>
        <v>0.39</v>
      </c>
      <c r="M12" s="123">
        <f t="shared" si="1"/>
        <v>2.61</v>
      </c>
      <c r="N12" s="168">
        <v>3.75</v>
      </c>
      <c r="O12" s="168"/>
      <c r="P12" s="123">
        <f t="shared" si="2"/>
        <v>3.75</v>
      </c>
      <c r="Q12" s="165">
        <f t="shared" si="7"/>
        <v>-0.75</v>
      </c>
      <c r="R12" s="165">
        <f t="shared" si="8"/>
        <v>0</v>
      </c>
      <c r="S12" s="123">
        <f t="shared" si="3"/>
        <v>-0.75</v>
      </c>
      <c r="T12" s="123">
        <f t="shared" si="4"/>
        <v>3</v>
      </c>
      <c r="U12" s="168"/>
      <c r="V12" s="35"/>
      <c r="W12" s="35"/>
      <c r="X12" s="35"/>
      <c r="Y12" s="35"/>
      <c r="Z12" s="170">
        <f t="shared" si="5"/>
        <v>0</v>
      </c>
      <c r="AA12" s="170">
        <f t="shared" si="6"/>
        <v>3</v>
      </c>
    </row>
    <row r="13" spans="1:27" x14ac:dyDescent="0.25">
      <c r="A13" s="23">
        <v>11</v>
      </c>
      <c r="B13" s="112">
        <v>43527</v>
      </c>
      <c r="C13" s="23" t="s">
        <v>735</v>
      </c>
      <c r="D13" s="23" t="s">
        <v>650</v>
      </c>
      <c r="E13" s="23"/>
      <c r="F13" s="23"/>
      <c r="G13" s="23" t="s">
        <v>736</v>
      </c>
      <c r="H13" s="23"/>
      <c r="I13" s="165">
        <v>1</v>
      </c>
      <c r="J13" s="165"/>
      <c r="K13" s="123">
        <f t="shared" si="9"/>
        <v>1</v>
      </c>
      <c r="L13" s="123">
        <f t="shared" si="0"/>
        <v>0.13</v>
      </c>
      <c r="M13" s="123">
        <f t="shared" si="1"/>
        <v>0.87</v>
      </c>
      <c r="N13" s="168"/>
      <c r="O13" s="168"/>
      <c r="P13" s="123">
        <f t="shared" si="2"/>
        <v>0</v>
      </c>
      <c r="Q13" s="165">
        <f t="shared" si="7"/>
        <v>1</v>
      </c>
      <c r="R13" s="165">
        <f t="shared" si="8"/>
        <v>0</v>
      </c>
      <c r="S13" s="123">
        <f t="shared" si="3"/>
        <v>1</v>
      </c>
      <c r="T13" s="123">
        <f t="shared" si="4"/>
        <v>1</v>
      </c>
      <c r="U13" s="168"/>
      <c r="V13" s="35"/>
      <c r="W13" s="35"/>
      <c r="X13" s="35"/>
      <c r="Y13" s="35"/>
      <c r="Z13" s="170">
        <f t="shared" si="5"/>
        <v>0</v>
      </c>
      <c r="AA13" s="170">
        <f t="shared" si="6"/>
        <v>1</v>
      </c>
    </row>
    <row r="14" spans="1:27" x14ac:dyDescent="0.25">
      <c r="A14" s="23">
        <v>12</v>
      </c>
      <c r="B14" s="112">
        <v>43527</v>
      </c>
      <c r="C14" s="23" t="s">
        <v>735</v>
      </c>
      <c r="D14" s="23" t="s">
        <v>650</v>
      </c>
      <c r="E14" s="23"/>
      <c r="F14" s="23"/>
      <c r="G14" s="23" t="s">
        <v>736</v>
      </c>
      <c r="H14" s="23"/>
      <c r="I14" s="165">
        <v>5</v>
      </c>
      <c r="J14" s="165"/>
      <c r="K14" s="123">
        <f t="shared" si="9"/>
        <v>5</v>
      </c>
      <c r="L14" s="123">
        <f t="shared" si="0"/>
        <v>0.65</v>
      </c>
      <c r="M14" s="123">
        <f t="shared" si="1"/>
        <v>4.3499999999999996</v>
      </c>
      <c r="N14" s="168"/>
      <c r="O14" s="168"/>
      <c r="P14" s="123">
        <f t="shared" si="2"/>
        <v>0</v>
      </c>
      <c r="Q14" s="165">
        <f t="shared" si="7"/>
        <v>5</v>
      </c>
      <c r="R14" s="165">
        <f t="shared" si="8"/>
        <v>0</v>
      </c>
      <c r="S14" s="123">
        <f t="shared" si="3"/>
        <v>5</v>
      </c>
      <c r="T14" s="123">
        <f t="shared" si="4"/>
        <v>5</v>
      </c>
      <c r="U14" s="168"/>
      <c r="V14" s="35"/>
      <c r="W14" s="35"/>
      <c r="X14" s="35"/>
      <c r="Y14" s="35"/>
      <c r="Z14" s="170">
        <f t="shared" si="5"/>
        <v>0</v>
      </c>
      <c r="AA14" s="170">
        <f t="shared" si="6"/>
        <v>5</v>
      </c>
    </row>
    <row r="15" spans="1:27" x14ac:dyDescent="0.25">
      <c r="A15" s="23">
        <v>13</v>
      </c>
      <c r="B15" s="112">
        <v>43527</v>
      </c>
      <c r="C15" s="23" t="s">
        <v>737</v>
      </c>
      <c r="D15" s="35" t="s">
        <v>650</v>
      </c>
      <c r="E15" s="35"/>
      <c r="F15" s="35"/>
      <c r="G15" s="35" t="s">
        <v>738</v>
      </c>
      <c r="H15" s="35"/>
      <c r="I15" s="168">
        <v>4</v>
      </c>
      <c r="J15" s="168"/>
      <c r="K15" s="123">
        <f t="shared" si="9"/>
        <v>4</v>
      </c>
      <c r="L15" s="123">
        <f t="shared" si="0"/>
        <v>0.52</v>
      </c>
      <c r="M15" s="123">
        <f t="shared" si="1"/>
        <v>3.48</v>
      </c>
      <c r="N15" s="168">
        <v>10</v>
      </c>
      <c r="O15" s="168"/>
      <c r="P15" s="123">
        <f t="shared" si="2"/>
        <v>10</v>
      </c>
      <c r="Q15" s="165">
        <f t="shared" si="7"/>
        <v>-6</v>
      </c>
      <c r="R15" s="165">
        <f t="shared" si="8"/>
        <v>0</v>
      </c>
      <c r="S15" s="123">
        <f t="shared" si="3"/>
        <v>-6</v>
      </c>
      <c r="T15" s="123">
        <f t="shared" si="4"/>
        <v>4</v>
      </c>
      <c r="U15" s="168"/>
      <c r="V15" s="35"/>
      <c r="W15" s="35"/>
      <c r="X15" s="35"/>
      <c r="Y15" s="35"/>
      <c r="Z15" s="170">
        <f t="shared" si="5"/>
        <v>0</v>
      </c>
      <c r="AA15" s="170">
        <f t="shared" si="6"/>
        <v>4</v>
      </c>
    </row>
    <row r="16" spans="1:27" ht="27" x14ac:dyDescent="0.25">
      <c r="A16" s="23">
        <v>14</v>
      </c>
      <c r="B16" s="112">
        <v>43527</v>
      </c>
      <c r="C16" s="23" t="s">
        <v>739</v>
      </c>
      <c r="D16" s="35" t="s">
        <v>650</v>
      </c>
      <c r="E16" s="35"/>
      <c r="F16" s="35"/>
      <c r="G16" s="35" t="s">
        <v>740</v>
      </c>
      <c r="H16" s="35" t="s">
        <v>741</v>
      </c>
      <c r="I16" s="168">
        <v>235</v>
      </c>
      <c r="J16" s="168">
        <v>75</v>
      </c>
      <c r="K16" s="123">
        <f t="shared" si="9"/>
        <v>310</v>
      </c>
      <c r="L16" s="123">
        <f t="shared" si="0"/>
        <v>40.300000000000004</v>
      </c>
      <c r="M16" s="123">
        <f t="shared" si="1"/>
        <v>269.7</v>
      </c>
      <c r="N16" s="168">
        <v>35</v>
      </c>
      <c r="O16" s="168">
        <v>14</v>
      </c>
      <c r="P16" s="123">
        <f t="shared" si="2"/>
        <v>49</v>
      </c>
      <c r="Q16" s="165">
        <f t="shared" si="7"/>
        <v>200</v>
      </c>
      <c r="R16" s="165">
        <f t="shared" si="8"/>
        <v>61</v>
      </c>
      <c r="S16" s="123">
        <f t="shared" si="3"/>
        <v>261</v>
      </c>
      <c r="T16" s="123">
        <f t="shared" si="4"/>
        <v>310</v>
      </c>
      <c r="U16" s="168"/>
      <c r="V16" s="35"/>
      <c r="W16" s="35"/>
      <c r="X16" s="35"/>
      <c r="Y16" s="35"/>
      <c r="Z16" s="170">
        <f t="shared" si="5"/>
        <v>0</v>
      </c>
      <c r="AA16" s="170">
        <f t="shared" si="6"/>
        <v>310</v>
      </c>
    </row>
    <row r="17" spans="1:27" ht="27" x14ac:dyDescent="0.25">
      <c r="A17" s="23">
        <v>15</v>
      </c>
      <c r="B17" s="172">
        <v>43527</v>
      </c>
      <c r="C17" s="169" t="s">
        <v>742</v>
      </c>
      <c r="D17" s="23" t="s">
        <v>650</v>
      </c>
      <c r="E17" s="169"/>
      <c r="F17" s="169"/>
      <c r="G17" s="23" t="s">
        <v>743</v>
      </c>
      <c r="H17" s="169" t="s">
        <v>744</v>
      </c>
      <c r="I17" s="171">
        <v>170</v>
      </c>
      <c r="J17" s="171">
        <v>135</v>
      </c>
      <c r="K17" s="171">
        <v>305</v>
      </c>
      <c r="L17" s="123">
        <f t="shared" si="0"/>
        <v>39.65</v>
      </c>
      <c r="M17" s="123">
        <f t="shared" si="1"/>
        <v>265.35000000000002</v>
      </c>
      <c r="N17" s="168">
        <v>35</v>
      </c>
      <c r="O17" s="168"/>
      <c r="P17" s="123">
        <f t="shared" si="2"/>
        <v>35</v>
      </c>
      <c r="Q17" s="165">
        <f t="shared" si="7"/>
        <v>135</v>
      </c>
      <c r="R17" s="165">
        <f t="shared" si="8"/>
        <v>135</v>
      </c>
      <c r="S17" s="123">
        <f t="shared" si="3"/>
        <v>270</v>
      </c>
      <c r="T17" s="123">
        <f t="shared" si="4"/>
        <v>305</v>
      </c>
      <c r="U17" s="168"/>
      <c r="V17" s="35"/>
      <c r="W17" s="35"/>
      <c r="X17" s="35"/>
      <c r="Y17" s="35"/>
      <c r="Z17" s="170">
        <f t="shared" si="5"/>
        <v>0</v>
      </c>
      <c r="AA17" s="170">
        <f t="shared" si="6"/>
        <v>305</v>
      </c>
    </row>
    <row r="18" spans="1:27" x14ac:dyDescent="0.25">
      <c r="A18" s="23">
        <v>16</v>
      </c>
      <c r="B18" s="112">
        <v>43528</v>
      </c>
      <c r="C18" s="23" t="s">
        <v>745</v>
      </c>
      <c r="D18" s="23" t="s">
        <v>650</v>
      </c>
      <c r="E18" s="23"/>
      <c r="F18" s="23"/>
      <c r="G18" s="23"/>
      <c r="H18" s="23" t="s">
        <v>746</v>
      </c>
      <c r="I18" s="165">
        <v>6</v>
      </c>
      <c r="J18" s="165"/>
      <c r="K18" s="123">
        <f t="shared" ref="K18:K23" si="10">I18+J18</f>
        <v>6</v>
      </c>
      <c r="L18" s="123">
        <f t="shared" si="0"/>
        <v>0.78</v>
      </c>
      <c r="M18" s="123">
        <f t="shared" si="1"/>
        <v>5.22</v>
      </c>
      <c r="N18" s="168"/>
      <c r="O18" s="168"/>
      <c r="P18" s="123">
        <f t="shared" si="2"/>
        <v>0</v>
      </c>
      <c r="Q18" s="165">
        <f t="shared" si="7"/>
        <v>6</v>
      </c>
      <c r="R18" s="165">
        <f t="shared" si="8"/>
        <v>0</v>
      </c>
      <c r="S18" s="123">
        <f t="shared" si="3"/>
        <v>6</v>
      </c>
      <c r="T18" s="123">
        <f t="shared" si="4"/>
        <v>6</v>
      </c>
      <c r="U18" s="168"/>
      <c r="V18" s="35"/>
      <c r="W18" s="35"/>
      <c r="X18" s="35"/>
      <c r="Y18" s="35"/>
      <c r="Z18" s="170">
        <f t="shared" si="5"/>
        <v>0</v>
      </c>
      <c r="AA18" s="170">
        <f t="shared" si="6"/>
        <v>6</v>
      </c>
    </row>
    <row r="19" spans="1:27" ht="27" x14ac:dyDescent="0.25">
      <c r="A19" s="23">
        <v>17</v>
      </c>
      <c r="B19" s="112">
        <v>43528</v>
      </c>
      <c r="C19" s="23" t="s">
        <v>747</v>
      </c>
      <c r="D19" s="23" t="s">
        <v>650</v>
      </c>
      <c r="E19" s="23"/>
      <c r="F19" s="23" t="s">
        <v>748</v>
      </c>
      <c r="G19" s="23" t="s">
        <v>729</v>
      </c>
      <c r="H19" s="23" t="s">
        <v>749</v>
      </c>
      <c r="I19" s="165">
        <v>50</v>
      </c>
      <c r="J19" s="165">
        <v>135</v>
      </c>
      <c r="K19" s="123">
        <f t="shared" si="10"/>
        <v>185</v>
      </c>
      <c r="L19" s="123">
        <f t="shared" si="0"/>
        <v>24.05</v>
      </c>
      <c r="M19" s="123">
        <f t="shared" si="1"/>
        <v>160.94999999999999</v>
      </c>
      <c r="N19" s="168">
        <v>15</v>
      </c>
      <c r="O19" s="168">
        <v>14</v>
      </c>
      <c r="P19" s="123">
        <f t="shared" si="2"/>
        <v>29</v>
      </c>
      <c r="Q19" s="165">
        <f t="shared" si="7"/>
        <v>35</v>
      </c>
      <c r="R19" s="165">
        <f t="shared" si="8"/>
        <v>121</v>
      </c>
      <c r="S19" s="123">
        <f t="shared" si="3"/>
        <v>156</v>
      </c>
      <c r="T19" s="123">
        <f t="shared" si="4"/>
        <v>185</v>
      </c>
      <c r="U19" s="168"/>
      <c r="V19" s="35"/>
      <c r="W19" s="35"/>
      <c r="X19" s="35"/>
      <c r="Y19" s="35"/>
      <c r="Z19" s="170">
        <f t="shared" si="5"/>
        <v>0</v>
      </c>
      <c r="AA19" s="170">
        <f t="shared" si="6"/>
        <v>185</v>
      </c>
    </row>
    <row r="20" spans="1:27" ht="27" x14ac:dyDescent="0.25">
      <c r="A20" s="23">
        <v>18</v>
      </c>
      <c r="B20" s="112">
        <v>43529</v>
      </c>
      <c r="C20" s="23" t="s">
        <v>757</v>
      </c>
      <c r="D20" s="23" t="s">
        <v>650</v>
      </c>
      <c r="E20" s="23"/>
      <c r="F20" s="23"/>
      <c r="G20" s="23"/>
      <c r="H20" s="23" t="s">
        <v>341</v>
      </c>
      <c r="I20" s="165"/>
      <c r="J20" s="165">
        <v>75</v>
      </c>
      <c r="K20" s="123">
        <f t="shared" si="10"/>
        <v>75</v>
      </c>
      <c r="L20" s="123">
        <f t="shared" si="0"/>
        <v>9.75</v>
      </c>
      <c r="M20" s="123">
        <f t="shared" si="1"/>
        <v>65.25</v>
      </c>
      <c r="N20" s="168"/>
      <c r="O20" s="168">
        <v>14</v>
      </c>
      <c r="P20" s="123">
        <f t="shared" si="2"/>
        <v>14</v>
      </c>
      <c r="Q20" s="165">
        <f t="shared" si="7"/>
        <v>0</v>
      </c>
      <c r="R20" s="165">
        <f t="shared" si="8"/>
        <v>61</v>
      </c>
      <c r="S20" s="123">
        <f t="shared" si="3"/>
        <v>61</v>
      </c>
      <c r="T20" s="123">
        <f t="shared" si="4"/>
        <v>75</v>
      </c>
      <c r="U20" s="168"/>
      <c r="V20" s="35"/>
      <c r="W20" s="35"/>
      <c r="X20" s="35"/>
      <c r="Y20" s="35"/>
      <c r="Z20" s="170">
        <f t="shared" si="5"/>
        <v>0</v>
      </c>
      <c r="AA20" s="170">
        <f t="shared" si="6"/>
        <v>75</v>
      </c>
    </row>
    <row r="21" spans="1:27" x14ac:dyDescent="0.25">
      <c r="A21" s="23">
        <v>19</v>
      </c>
      <c r="B21" s="112">
        <v>43530</v>
      </c>
      <c r="C21" s="23" t="s">
        <v>758</v>
      </c>
      <c r="D21" s="23" t="s">
        <v>650</v>
      </c>
      <c r="E21" s="23"/>
      <c r="F21" s="23" t="s">
        <v>759</v>
      </c>
      <c r="G21" s="23" t="s">
        <v>760</v>
      </c>
      <c r="H21" s="23" t="s">
        <v>71</v>
      </c>
      <c r="I21" s="165"/>
      <c r="J21" s="165">
        <v>100</v>
      </c>
      <c r="K21" s="123">
        <f t="shared" si="10"/>
        <v>100</v>
      </c>
      <c r="L21" s="123">
        <f t="shared" si="0"/>
        <v>13</v>
      </c>
      <c r="M21" s="123">
        <f t="shared" si="1"/>
        <v>87</v>
      </c>
      <c r="N21" s="168">
        <v>15</v>
      </c>
      <c r="O21" s="168">
        <v>19.5</v>
      </c>
      <c r="P21" s="123">
        <f t="shared" si="2"/>
        <v>34.5</v>
      </c>
      <c r="Q21" s="165">
        <f t="shared" si="7"/>
        <v>-15</v>
      </c>
      <c r="R21" s="165">
        <f t="shared" si="8"/>
        <v>80.5</v>
      </c>
      <c r="S21" s="123">
        <f t="shared" si="3"/>
        <v>65.5</v>
      </c>
      <c r="T21" s="123">
        <f t="shared" si="4"/>
        <v>100</v>
      </c>
      <c r="U21" s="168"/>
      <c r="V21" s="35"/>
      <c r="W21" s="35"/>
      <c r="X21" s="35"/>
      <c r="Y21" s="35"/>
      <c r="Z21" s="170">
        <f t="shared" si="5"/>
        <v>0</v>
      </c>
      <c r="AA21" s="170">
        <f t="shared" si="6"/>
        <v>100</v>
      </c>
    </row>
    <row r="22" spans="1:27" x14ac:dyDescent="0.25">
      <c r="A22" s="23">
        <v>20</v>
      </c>
      <c r="B22" s="112">
        <v>43530</v>
      </c>
      <c r="C22" s="23" t="s">
        <v>761</v>
      </c>
      <c r="D22" s="23" t="s">
        <v>650</v>
      </c>
      <c r="E22" s="23"/>
      <c r="F22" s="23" t="s">
        <v>762</v>
      </c>
      <c r="G22" s="23" t="s">
        <v>763</v>
      </c>
      <c r="H22" s="23" t="s">
        <v>71</v>
      </c>
      <c r="I22" s="165"/>
      <c r="J22" s="165">
        <v>100</v>
      </c>
      <c r="K22" s="123">
        <f t="shared" si="10"/>
        <v>100</v>
      </c>
      <c r="L22" s="123">
        <f t="shared" si="0"/>
        <v>13</v>
      </c>
      <c r="M22" s="123">
        <f t="shared" si="1"/>
        <v>87</v>
      </c>
      <c r="N22" s="168">
        <v>15</v>
      </c>
      <c r="O22" s="168">
        <v>19.5</v>
      </c>
      <c r="P22" s="123">
        <f t="shared" si="2"/>
        <v>34.5</v>
      </c>
      <c r="Q22" s="165">
        <f t="shared" si="7"/>
        <v>-15</v>
      </c>
      <c r="R22" s="165">
        <f t="shared" si="8"/>
        <v>80.5</v>
      </c>
      <c r="S22" s="123">
        <f t="shared" si="3"/>
        <v>65.5</v>
      </c>
      <c r="T22" s="123">
        <f t="shared" si="4"/>
        <v>100</v>
      </c>
      <c r="U22" s="168"/>
      <c r="V22" s="35"/>
      <c r="W22" s="35"/>
      <c r="X22" s="35"/>
      <c r="Y22" s="35"/>
      <c r="Z22" s="170">
        <f t="shared" si="5"/>
        <v>0</v>
      </c>
      <c r="AA22" s="170">
        <f t="shared" si="6"/>
        <v>100</v>
      </c>
    </row>
    <row r="23" spans="1:27" ht="27" x14ac:dyDescent="0.25">
      <c r="A23" s="23">
        <v>21</v>
      </c>
      <c r="B23" s="112">
        <v>43530</v>
      </c>
      <c r="C23" s="23" t="s">
        <v>764</v>
      </c>
      <c r="D23" s="23" t="s">
        <v>650</v>
      </c>
      <c r="E23" s="23"/>
      <c r="F23" s="23"/>
      <c r="G23" s="23" t="s">
        <v>765</v>
      </c>
      <c r="H23" s="23" t="s">
        <v>341</v>
      </c>
      <c r="I23" s="165">
        <v>200</v>
      </c>
      <c r="J23" s="165">
        <v>75</v>
      </c>
      <c r="K23" s="177">
        <f t="shared" si="10"/>
        <v>275</v>
      </c>
      <c r="L23" s="123">
        <f t="shared" si="0"/>
        <v>35.75</v>
      </c>
      <c r="M23" s="123">
        <f t="shared" si="1"/>
        <v>239.25</v>
      </c>
      <c r="N23" s="168">
        <v>45</v>
      </c>
      <c r="O23" s="168">
        <v>14</v>
      </c>
      <c r="P23" s="123">
        <f t="shared" si="2"/>
        <v>59</v>
      </c>
      <c r="Q23" s="165">
        <f t="shared" si="7"/>
        <v>155</v>
      </c>
      <c r="R23" s="165">
        <f t="shared" si="8"/>
        <v>61</v>
      </c>
      <c r="S23" s="123">
        <f t="shared" si="3"/>
        <v>216</v>
      </c>
      <c r="T23" s="123">
        <f t="shared" si="4"/>
        <v>275</v>
      </c>
      <c r="U23" s="168"/>
      <c r="V23" s="35"/>
      <c r="W23" s="35"/>
      <c r="X23" s="35"/>
      <c r="Y23" s="35"/>
      <c r="Z23" s="170">
        <f t="shared" si="5"/>
        <v>0</v>
      </c>
      <c r="AA23" s="170">
        <f t="shared" si="6"/>
        <v>275</v>
      </c>
    </row>
    <row r="24" spans="1:27" x14ac:dyDescent="0.25">
      <c r="A24" s="169"/>
      <c r="B24" s="169"/>
      <c r="C24" s="169"/>
      <c r="D24" s="169"/>
      <c r="E24" s="169"/>
      <c r="F24" s="169"/>
      <c r="G24" s="169"/>
      <c r="H24" s="169"/>
      <c r="I24" s="169"/>
      <c r="J24" s="169"/>
      <c r="K24" s="169"/>
      <c r="L24" s="123">
        <f t="shared" si="0"/>
        <v>0</v>
      </c>
      <c r="M24" s="123">
        <f t="shared" si="1"/>
        <v>0</v>
      </c>
      <c r="N24" s="169"/>
      <c r="O24" s="169"/>
      <c r="P24" s="169"/>
      <c r="Q24" s="165">
        <f t="shared" si="7"/>
        <v>0</v>
      </c>
      <c r="R24" s="165">
        <f t="shared" si="8"/>
        <v>0</v>
      </c>
      <c r="S24" s="169"/>
      <c r="T24" s="169"/>
      <c r="U24" s="169"/>
      <c r="V24" s="169"/>
      <c r="W24" s="169"/>
      <c r="X24" s="169"/>
      <c r="Y24" s="169"/>
      <c r="Z24" s="169"/>
      <c r="AA24" s="169"/>
    </row>
    <row r="25" spans="1:27" x14ac:dyDescent="0.25">
      <c r="A25" s="35">
        <v>23</v>
      </c>
      <c r="B25" s="112">
        <v>43531</v>
      </c>
      <c r="C25" s="23" t="s">
        <v>771</v>
      </c>
      <c r="D25" s="23" t="s">
        <v>650</v>
      </c>
      <c r="E25" s="23"/>
      <c r="F25" s="23"/>
      <c r="G25" s="23" t="s">
        <v>724</v>
      </c>
      <c r="H25" s="23"/>
      <c r="I25" s="165">
        <v>5</v>
      </c>
      <c r="J25" s="165"/>
      <c r="K25" s="123">
        <f>I25+J25</f>
        <v>5</v>
      </c>
      <c r="L25" s="123">
        <f t="shared" si="0"/>
        <v>0.65</v>
      </c>
      <c r="M25" s="123">
        <f t="shared" si="1"/>
        <v>4.3499999999999996</v>
      </c>
      <c r="N25" s="168"/>
      <c r="O25" s="168"/>
      <c r="P25" s="123">
        <f t="shared" si="2"/>
        <v>0</v>
      </c>
      <c r="Q25" s="165">
        <f t="shared" si="7"/>
        <v>5</v>
      </c>
      <c r="R25" s="165">
        <f t="shared" si="8"/>
        <v>0</v>
      </c>
      <c r="S25" s="123">
        <f t="shared" si="3"/>
        <v>5</v>
      </c>
      <c r="T25" s="123">
        <f t="shared" si="4"/>
        <v>5</v>
      </c>
      <c r="U25" s="168"/>
      <c r="V25" s="35"/>
      <c r="W25" s="35"/>
      <c r="X25" s="35"/>
      <c r="Y25" s="35"/>
      <c r="Z25" s="170">
        <f t="shared" si="5"/>
        <v>0</v>
      </c>
      <c r="AA25" s="170">
        <f t="shared" si="6"/>
        <v>5</v>
      </c>
    </row>
    <row r="26" spans="1:27" x14ac:dyDescent="0.25">
      <c r="A26" s="35">
        <v>24</v>
      </c>
      <c r="B26" s="112">
        <v>43531</v>
      </c>
      <c r="C26" s="23" t="s">
        <v>772</v>
      </c>
      <c r="D26" s="23" t="s">
        <v>650</v>
      </c>
      <c r="E26" s="23"/>
      <c r="F26" s="23"/>
      <c r="G26" s="23" t="s">
        <v>161</v>
      </c>
      <c r="H26" s="23"/>
      <c r="I26" s="165">
        <v>4</v>
      </c>
      <c r="J26" s="165"/>
      <c r="K26" s="123">
        <f>I26+J26</f>
        <v>4</v>
      </c>
      <c r="L26" s="123">
        <f t="shared" si="0"/>
        <v>0.52</v>
      </c>
      <c r="M26" s="123">
        <f t="shared" si="1"/>
        <v>3.48</v>
      </c>
      <c r="N26" s="168"/>
      <c r="O26" s="168"/>
      <c r="P26" s="123">
        <f t="shared" si="2"/>
        <v>0</v>
      </c>
      <c r="Q26" s="165">
        <f t="shared" si="7"/>
        <v>4</v>
      </c>
      <c r="R26" s="165">
        <f t="shared" si="8"/>
        <v>0</v>
      </c>
      <c r="S26" s="123">
        <f t="shared" si="3"/>
        <v>4</v>
      </c>
      <c r="T26" s="123">
        <f t="shared" si="4"/>
        <v>4</v>
      </c>
      <c r="U26" s="168"/>
      <c r="V26" s="35"/>
      <c r="W26" s="35"/>
      <c r="X26" s="35"/>
      <c r="Y26" s="35"/>
      <c r="Z26" s="170">
        <f t="shared" si="5"/>
        <v>0</v>
      </c>
      <c r="AA26" s="170">
        <f t="shared" si="6"/>
        <v>4</v>
      </c>
    </row>
    <row r="27" spans="1:27" ht="27" x14ac:dyDescent="0.25">
      <c r="A27" s="35">
        <v>25</v>
      </c>
      <c r="B27" s="112">
        <v>43531</v>
      </c>
      <c r="C27" s="23" t="s">
        <v>773</v>
      </c>
      <c r="D27" s="35" t="s">
        <v>650</v>
      </c>
      <c r="E27" s="35"/>
      <c r="F27" s="35" t="s">
        <v>774</v>
      </c>
      <c r="G27" s="35" t="s">
        <v>775</v>
      </c>
      <c r="H27" s="35" t="s">
        <v>701</v>
      </c>
      <c r="I27" s="168">
        <v>50</v>
      </c>
      <c r="J27" s="168">
        <v>75</v>
      </c>
      <c r="K27" s="123">
        <f>I27+J27</f>
        <v>125</v>
      </c>
      <c r="L27" s="123">
        <f t="shared" si="0"/>
        <v>16.25</v>
      </c>
      <c r="M27" s="123">
        <f t="shared" si="1"/>
        <v>108.75</v>
      </c>
      <c r="N27" s="168">
        <v>15</v>
      </c>
      <c r="O27" s="168">
        <v>14</v>
      </c>
      <c r="P27" s="123">
        <f t="shared" si="2"/>
        <v>29</v>
      </c>
      <c r="Q27" s="165">
        <f t="shared" si="7"/>
        <v>35</v>
      </c>
      <c r="R27" s="165">
        <f t="shared" si="8"/>
        <v>61</v>
      </c>
      <c r="S27" s="123">
        <f t="shared" si="3"/>
        <v>96</v>
      </c>
      <c r="T27" s="123">
        <f t="shared" si="4"/>
        <v>125</v>
      </c>
      <c r="U27" s="168"/>
      <c r="V27" s="35"/>
      <c r="W27" s="35"/>
      <c r="X27" s="35"/>
      <c r="Y27" s="35"/>
      <c r="Z27" s="170">
        <f t="shared" si="5"/>
        <v>0</v>
      </c>
      <c r="AA27" s="170">
        <f t="shared" si="6"/>
        <v>125</v>
      </c>
    </row>
    <row r="28" spans="1:27" ht="27" x14ac:dyDescent="0.25">
      <c r="A28" s="35">
        <v>26</v>
      </c>
      <c r="B28" s="112">
        <v>43531</v>
      </c>
      <c r="C28" s="23" t="s">
        <v>776</v>
      </c>
      <c r="D28" s="35" t="s">
        <v>650</v>
      </c>
      <c r="E28" s="35"/>
      <c r="F28" s="35"/>
      <c r="G28" s="35" t="s">
        <v>777</v>
      </c>
      <c r="H28" s="35" t="s">
        <v>701</v>
      </c>
      <c r="I28" s="168">
        <v>50</v>
      </c>
      <c r="J28" s="168">
        <v>75</v>
      </c>
      <c r="K28" s="123">
        <f>I28+J28</f>
        <v>125</v>
      </c>
      <c r="L28" s="123">
        <f t="shared" si="0"/>
        <v>16.25</v>
      </c>
      <c r="M28" s="123">
        <f t="shared" si="1"/>
        <v>108.75</v>
      </c>
      <c r="N28" s="168">
        <v>15</v>
      </c>
      <c r="O28" s="168">
        <v>14</v>
      </c>
      <c r="P28" s="123">
        <f t="shared" si="2"/>
        <v>29</v>
      </c>
      <c r="Q28" s="165">
        <f t="shared" si="7"/>
        <v>35</v>
      </c>
      <c r="R28" s="165">
        <f t="shared" si="8"/>
        <v>61</v>
      </c>
      <c r="S28" s="123">
        <f t="shared" si="3"/>
        <v>96</v>
      </c>
      <c r="T28" s="123">
        <f t="shared" si="4"/>
        <v>125</v>
      </c>
      <c r="U28" s="168"/>
      <c r="V28" s="35"/>
      <c r="W28" s="35"/>
      <c r="X28" s="35"/>
      <c r="Y28" s="35"/>
      <c r="Z28" s="170">
        <f t="shared" si="5"/>
        <v>0</v>
      </c>
      <c r="AA28" s="170">
        <f t="shared" si="6"/>
        <v>125</v>
      </c>
    </row>
    <row r="29" spans="1:27" ht="27" x14ac:dyDescent="0.25">
      <c r="A29" s="35">
        <v>27</v>
      </c>
      <c r="B29" s="172">
        <v>43531</v>
      </c>
      <c r="C29" s="169" t="s">
        <v>778</v>
      </c>
      <c r="D29" s="169" t="s">
        <v>650</v>
      </c>
      <c r="E29" s="169"/>
      <c r="F29" s="169" t="s">
        <v>779</v>
      </c>
      <c r="G29" s="169" t="s">
        <v>780</v>
      </c>
      <c r="H29" s="169" t="s">
        <v>701</v>
      </c>
      <c r="I29" s="171">
        <v>50</v>
      </c>
      <c r="J29" s="171">
        <v>75</v>
      </c>
      <c r="K29" s="169">
        <f>I29+J29</f>
        <v>125</v>
      </c>
      <c r="L29" s="123">
        <f t="shared" si="0"/>
        <v>16.25</v>
      </c>
      <c r="M29" s="123">
        <f t="shared" si="1"/>
        <v>108.75</v>
      </c>
      <c r="N29" s="168">
        <v>10</v>
      </c>
      <c r="O29" s="168">
        <v>14</v>
      </c>
      <c r="P29" s="123">
        <f t="shared" si="2"/>
        <v>24</v>
      </c>
      <c r="Q29" s="165">
        <f t="shared" si="7"/>
        <v>40</v>
      </c>
      <c r="R29" s="165">
        <f t="shared" si="8"/>
        <v>61</v>
      </c>
      <c r="S29" s="123">
        <f t="shared" si="3"/>
        <v>101</v>
      </c>
      <c r="T29" s="123">
        <f t="shared" si="4"/>
        <v>125</v>
      </c>
      <c r="U29" s="168"/>
      <c r="V29" s="35"/>
      <c r="W29" s="35"/>
      <c r="X29" s="35"/>
      <c r="Y29" s="35"/>
      <c r="Z29" s="170">
        <f t="shared" si="5"/>
        <v>0</v>
      </c>
      <c r="AA29" s="170">
        <f t="shared" si="6"/>
        <v>125</v>
      </c>
    </row>
    <row r="30" spans="1:27" ht="27" x14ac:dyDescent="0.25">
      <c r="A30" s="35">
        <v>28</v>
      </c>
      <c r="B30" s="112">
        <v>43531</v>
      </c>
      <c r="C30" s="169" t="s">
        <v>781</v>
      </c>
      <c r="D30" s="169" t="s">
        <v>650</v>
      </c>
      <c r="E30" s="169"/>
      <c r="F30" s="169"/>
      <c r="G30" s="169" t="s">
        <v>782</v>
      </c>
      <c r="H30" s="169"/>
      <c r="I30" s="171">
        <v>4</v>
      </c>
      <c r="J30" s="171"/>
      <c r="K30" s="171">
        <v>4</v>
      </c>
      <c r="L30" s="123">
        <f t="shared" si="0"/>
        <v>0.52</v>
      </c>
      <c r="M30" s="123">
        <f t="shared" si="1"/>
        <v>3.48</v>
      </c>
      <c r="N30" s="168"/>
      <c r="O30" s="168"/>
      <c r="P30" s="123">
        <f t="shared" si="2"/>
        <v>0</v>
      </c>
      <c r="Q30" s="165">
        <f t="shared" si="7"/>
        <v>4</v>
      </c>
      <c r="R30" s="165">
        <f t="shared" si="8"/>
        <v>0</v>
      </c>
      <c r="S30" s="123">
        <f t="shared" si="3"/>
        <v>4</v>
      </c>
      <c r="T30" s="123">
        <f t="shared" si="4"/>
        <v>4</v>
      </c>
      <c r="U30" s="168"/>
      <c r="V30" s="35"/>
      <c r="W30" s="35"/>
      <c r="X30" s="35"/>
      <c r="Y30" s="35"/>
      <c r="Z30" s="170">
        <f t="shared" si="5"/>
        <v>0</v>
      </c>
      <c r="AA30" s="170">
        <f t="shared" si="6"/>
        <v>4</v>
      </c>
    </row>
    <row r="31" spans="1:27" x14ac:dyDescent="0.25">
      <c r="A31" s="35">
        <v>29</v>
      </c>
      <c r="B31" s="112">
        <v>43531</v>
      </c>
      <c r="C31" s="169" t="s">
        <v>783</v>
      </c>
      <c r="D31" s="169" t="s">
        <v>650</v>
      </c>
      <c r="E31" s="169"/>
      <c r="F31" s="169"/>
      <c r="G31" s="169" t="s">
        <v>161</v>
      </c>
      <c r="H31" s="169"/>
      <c r="I31" s="171">
        <v>4</v>
      </c>
      <c r="J31" s="171"/>
      <c r="K31" s="171">
        <v>4</v>
      </c>
      <c r="L31" s="123">
        <f t="shared" si="0"/>
        <v>0.52</v>
      </c>
      <c r="M31" s="123">
        <f t="shared" si="1"/>
        <v>3.48</v>
      </c>
      <c r="N31" s="168"/>
      <c r="O31" s="168"/>
      <c r="P31" s="123">
        <f t="shared" si="2"/>
        <v>0</v>
      </c>
      <c r="Q31" s="165">
        <f t="shared" si="7"/>
        <v>4</v>
      </c>
      <c r="R31" s="165">
        <f t="shared" si="8"/>
        <v>0</v>
      </c>
      <c r="S31" s="123">
        <f t="shared" si="3"/>
        <v>4</v>
      </c>
      <c r="T31" s="123">
        <f t="shared" si="4"/>
        <v>4</v>
      </c>
      <c r="U31" s="168"/>
      <c r="V31" s="35"/>
      <c r="W31" s="35"/>
      <c r="X31" s="35"/>
      <c r="Y31" s="35"/>
      <c r="Z31" s="170">
        <f t="shared" si="5"/>
        <v>0</v>
      </c>
      <c r="AA31" s="170">
        <f t="shared" si="6"/>
        <v>4</v>
      </c>
    </row>
    <row r="32" spans="1:27" x14ac:dyDescent="0.25">
      <c r="A32" s="35">
        <v>30</v>
      </c>
      <c r="B32" s="112">
        <v>43532</v>
      </c>
      <c r="C32" s="23" t="s">
        <v>784</v>
      </c>
      <c r="D32" s="23" t="s">
        <v>650</v>
      </c>
      <c r="E32" s="23"/>
      <c r="F32" s="23" t="s">
        <v>785</v>
      </c>
      <c r="G32" s="23" t="s">
        <v>786</v>
      </c>
      <c r="H32" s="23" t="s">
        <v>787</v>
      </c>
      <c r="I32" s="165"/>
      <c r="J32" s="165">
        <v>100</v>
      </c>
      <c r="K32" s="123">
        <f>I32+J32</f>
        <v>100</v>
      </c>
      <c r="L32" s="123">
        <f t="shared" si="0"/>
        <v>13</v>
      </c>
      <c r="M32" s="123">
        <f t="shared" si="1"/>
        <v>87</v>
      </c>
      <c r="N32" s="168">
        <v>15</v>
      </c>
      <c r="O32" s="168">
        <v>19.5</v>
      </c>
      <c r="P32" s="123">
        <f t="shared" si="2"/>
        <v>34.5</v>
      </c>
      <c r="Q32" s="165">
        <f t="shared" si="7"/>
        <v>-15</v>
      </c>
      <c r="R32" s="165">
        <f t="shared" si="8"/>
        <v>80.5</v>
      </c>
      <c r="S32" s="123">
        <f t="shared" si="3"/>
        <v>65.5</v>
      </c>
      <c r="T32" s="123">
        <f t="shared" si="4"/>
        <v>100</v>
      </c>
      <c r="U32" s="168"/>
      <c r="V32" s="35"/>
      <c r="W32" s="35"/>
      <c r="X32" s="35"/>
      <c r="Y32" s="35"/>
      <c r="Z32" s="170">
        <f t="shared" si="5"/>
        <v>0</v>
      </c>
      <c r="AA32" s="170">
        <f t="shared" si="6"/>
        <v>100</v>
      </c>
    </row>
    <row r="33" spans="1:27" ht="27" x14ac:dyDescent="0.25">
      <c r="A33" s="35">
        <v>31</v>
      </c>
      <c r="B33" s="112">
        <v>43532</v>
      </c>
      <c r="C33" s="23" t="s">
        <v>788</v>
      </c>
      <c r="D33" s="23" t="s">
        <v>650</v>
      </c>
      <c r="E33" s="23"/>
      <c r="F33" s="23" t="s">
        <v>789</v>
      </c>
      <c r="G33" s="23" t="s">
        <v>790</v>
      </c>
      <c r="H33" s="23" t="s">
        <v>341</v>
      </c>
      <c r="I33" s="165"/>
      <c r="J33" s="165">
        <v>100</v>
      </c>
      <c r="K33" s="123">
        <f>I33+J33</f>
        <v>100</v>
      </c>
      <c r="L33" s="123">
        <f t="shared" si="0"/>
        <v>13</v>
      </c>
      <c r="M33" s="123">
        <f t="shared" si="1"/>
        <v>87</v>
      </c>
      <c r="N33" s="168">
        <v>15</v>
      </c>
      <c r="O33" s="168">
        <v>14</v>
      </c>
      <c r="P33" s="123">
        <f t="shared" si="2"/>
        <v>29</v>
      </c>
      <c r="Q33" s="165">
        <f t="shared" si="7"/>
        <v>-15</v>
      </c>
      <c r="R33" s="165">
        <f t="shared" si="8"/>
        <v>86</v>
      </c>
      <c r="S33" s="123">
        <f t="shared" si="3"/>
        <v>71</v>
      </c>
      <c r="T33" s="123">
        <f t="shared" si="4"/>
        <v>100</v>
      </c>
      <c r="U33" s="168"/>
      <c r="V33" s="35"/>
      <c r="W33" s="35"/>
      <c r="X33" s="35"/>
      <c r="Y33" s="35"/>
      <c r="Z33" s="170">
        <f t="shared" si="5"/>
        <v>0</v>
      </c>
      <c r="AA33" s="170">
        <f t="shared" si="6"/>
        <v>100</v>
      </c>
    </row>
    <row r="34" spans="1:27" x14ac:dyDescent="0.25">
      <c r="A34" s="35">
        <v>32</v>
      </c>
      <c r="B34" s="112">
        <v>43532</v>
      </c>
      <c r="C34" s="23" t="s">
        <v>791</v>
      </c>
      <c r="D34" s="23" t="s">
        <v>650</v>
      </c>
      <c r="E34" s="23"/>
      <c r="F34" s="23" t="s">
        <v>792</v>
      </c>
      <c r="G34" s="23" t="s">
        <v>769</v>
      </c>
      <c r="H34" s="23" t="s">
        <v>770</v>
      </c>
      <c r="I34" s="165"/>
      <c r="J34" s="165">
        <v>40</v>
      </c>
      <c r="K34" s="123">
        <f>I34+J34</f>
        <v>40</v>
      </c>
      <c r="L34" s="123">
        <f t="shared" si="0"/>
        <v>5.2</v>
      </c>
      <c r="M34" s="123">
        <f t="shared" si="1"/>
        <v>34.799999999999997</v>
      </c>
      <c r="N34" s="168"/>
      <c r="O34" s="168"/>
      <c r="P34" s="123">
        <f t="shared" si="2"/>
        <v>0</v>
      </c>
      <c r="Q34" s="165">
        <f t="shared" si="7"/>
        <v>0</v>
      </c>
      <c r="R34" s="165">
        <f t="shared" si="8"/>
        <v>40</v>
      </c>
      <c r="S34" s="123">
        <f t="shared" si="3"/>
        <v>40</v>
      </c>
      <c r="T34" s="123">
        <f t="shared" si="4"/>
        <v>40</v>
      </c>
      <c r="U34" s="168"/>
      <c r="V34" s="35"/>
      <c r="W34" s="35"/>
      <c r="X34" s="35"/>
      <c r="Y34" s="35"/>
      <c r="Z34" s="170">
        <f t="shared" si="5"/>
        <v>0</v>
      </c>
      <c r="AA34" s="170">
        <f t="shared" si="6"/>
        <v>40</v>
      </c>
    </row>
    <row r="35" spans="1:27" x14ac:dyDescent="0.25">
      <c r="A35" s="35">
        <v>33</v>
      </c>
      <c r="B35" s="112">
        <v>43532</v>
      </c>
      <c r="C35" s="23" t="s">
        <v>793</v>
      </c>
      <c r="D35" s="35" t="s">
        <v>650</v>
      </c>
      <c r="E35" s="35"/>
      <c r="F35" s="35"/>
      <c r="G35" s="35" t="s">
        <v>794</v>
      </c>
      <c r="H35" s="35" t="s">
        <v>795</v>
      </c>
      <c r="I35" s="168"/>
      <c r="J35" s="168">
        <v>25</v>
      </c>
      <c r="K35" s="123">
        <f>I35+J35</f>
        <v>25</v>
      </c>
      <c r="L35" s="123">
        <f t="shared" si="0"/>
        <v>3.25</v>
      </c>
      <c r="M35" s="123">
        <f t="shared" si="1"/>
        <v>21.75</v>
      </c>
      <c r="N35" s="168">
        <v>5</v>
      </c>
      <c r="O35" s="168"/>
      <c r="P35" s="123">
        <f t="shared" si="2"/>
        <v>5</v>
      </c>
      <c r="Q35" s="165">
        <f t="shared" si="7"/>
        <v>-5</v>
      </c>
      <c r="R35" s="165">
        <f t="shared" si="8"/>
        <v>25</v>
      </c>
      <c r="S35" s="123">
        <f t="shared" si="3"/>
        <v>20</v>
      </c>
      <c r="T35" s="123">
        <f t="shared" si="4"/>
        <v>25</v>
      </c>
      <c r="U35" s="168"/>
      <c r="V35" s="35"/>
      <c r="W35" s="35"/>
      <c r="X35" s="35"/>
      <c r="Y35" s="35"/>
      <c r="Z35" s="170">
        <f t="shared" si="5"/>
        <v>0</v>
      </c>
      <c r="AA35" s="170">
        <f t="shared" si="6"/>
        <v>25</v>
      </c>
    </row>
    <row r="36" spans="1:27" x14ac:dyDescent="0.25">
      <c r="A36" s="35">
        <v>34</v>
      </c>
      <c r="B36" s="112">
        <v>43533</v>
      </c>
      <c r="C36" s="23" t="s">
        <v>796</v>
      </c>
      <c r="D36" s="23" t="s">
        <v>650</v>
      </c>
      <c r="E36" s="23"/>
      <c r="F36" s="23"/>
      <c r="G36" s="23" t="s">
        <v>734</v>
      </c>
      <c r="H36" s="23"/>
      <c r="I36" s="165">
        <v>3</v>
      </c>
      <c r="J36" s="165"/>
      <c r="K36" s="123">
        <f t="shared" ref="K36:K42" si="11">I36+J36</f>
        <v>3</v>
      </c>
      <c r="L36" s="123">
        <f t="shared" si="0"/>
        <v>0.39</v>
      </c>
      <c r="M36" s="123">
        <f t="shared" si="1"/>
        <v>2.61</v>
      </c>
      <c r="N36" s="168">
        <v>1</v>
      </c>
      <c r="O36" s="168"/>
      <c r="P36" s="123">
        <f t="shared" si="2"/>
        <v>1</v>
      </c>
      <c r="Q36" s="165">
        <f t="shared" si="7"/>
        <v>2</v>
      </c>
      <c r="R36" s="165">
        <f t="shared" si="8"/>
        <v>0</v>
      </c>
      <c r="S36" s="123">
        <f t="shared" si="3"/>
        <v>2</v>
      </c>
      <c r="T36" s="123">
        <f t="shared" si="4"/>
        <v>3</v>
      </c>
      <c r="U36" s="168"/>
      <c r="V36" s="35"/>
      <c r="W36" s="35"/>
      <c r="X36" s="35"/>
      <c r="Y36" s="35"/>
      <c r="Z36" s="170">
        <f t="shared" si="5"/>
        <v>0</v>
      </c>
      <c r="AA36" s="170">
        <f t="shared" si="6"/>
        <v>3</v>
      </c>
    </row>
    <row r="37" spans="1:27" x14ac:dyDescent="0.25">
      <c r="A37" s="35">
        <v>35</v>
      </c>
      <c r="B37" s="112">
        <v>43533</v>
      </c>
      <c r="C37" s="23" t="s">
        <v>654</v>
      </c>
      <c r="D37" s="23" t="s">
        <v>650</v>
      </c>
      <c r="E37" s="23"/>
      <c r="F37" s="23"/>
      <c r="G37" s="23" t="s">
        <v>161</v>
      </c>
      <c r="H37" s="23"/>
      <c r="I37" s="165">
        <v>4</v>
      </c>
      <c r="J37" s="165"/>
      <c r="K37" s="123">
        <f t="shared" si="11"/>
        <v>4</v>
      </c>
      <c r="L37" s="123">
        <f t="shared" si="0"/>
        <v>0.52</v>
      </c>
      <c r="M37" s="123">
        <f t="shared" si="1"/>
        <v>3.48</v>
      </c>
      <c r="N37" s="168"/>
      <c r="O37" s="168"/>
      <c r="P37" s="123">
        <f t="shared" si="2"/>
        <v>0</v>
      </c>
      <c r="Q37" s="165">
        <f t="shared" si="7"/>
        <v>4</v>
      </c>
      <c r="R37" s="165">
        <f t="shared" si="8"/>
        <v>0</v>
      </c>
      <c r="S37" s="123">
        <f t="shared" si="3"/>
        <v>4</v>
      </c>
      <c r="T37" s="123">
        <f t="shared" si="4"/>
        <v>4</v>
      </c>
      <c r="U37" s="168"/>
      <c r="V37" s="35"/>
      <c r="W37" s="35"/>
      <c r="X37" s="35"/>
      <c r="Y37" s="35"/>
      <c r="Z37" s="170">
        <f t="shared" si="5"/>
        <v>0</v>
      </c>
      <c r="AA37" s="170">
        <f t="shared" si="6"/>
        <v>4</v>
      </c>
    </row>
    <row r="38" spans="1:27" x14ac:dyDescent="0.25">
      <c r="A38" s="35">
        <v>36</v>
      </c>
      <c r="B38" s="112">
        <v>43533</v>
      </c>
      <c r="C38" s="23" t="s">
        <v>797</v>
      </c>
      <c r="D38" s="23" t="s">
        <v>650</v>
      </c>
      <c r="E38" s="23"/>
      <c r="F38" s="23"/>
      <c r="G38" s="23" t="s">
        <v>798</v>
      </c>
      <c r="H38" s="23"/>
      <c r="I38" s="165">
        <v>19</v>
      </c>
      <c r="J38" s="165"/>
      <c r="K38" s="177">
        <f t="shared" si="11"/>
        <v>19</v>
      </c>
      <c r="L38" s="123">
        <f t="shared" si="0"/>
        <v>2.4700000000000002</v>
      </c>
      <c r="M38" s="123">
        <f t="shared" si="1"/>
        <v>16.53</v>
      </c>
      <c r="N38" s="168"/>
      <c r="O38" s="168"/>
      <c r="P38" s="123">
        <f t="shared" si="2"/>
        <v>0</v>
      </c>
      <c r="Q38" s="165">
        <f t="shared" si="7"/>
        <v>19</v>
      </c>
      <c r="R38" s="165">
        <f t="shared" si="8"/>
        <v>0</v>
      </c>
      <c r="S38" s="123">
        <f t="shared" si="3"/>
        <v>19</v>
      </c>
      <c r="T38" s="123">
        <f t="shared" si="4"/>
        <v>19</v>
      </c>
      <c r="U38" s="168"/>
      <c r="V38" s="35"/>
      <c r="W38" s="35"/>
      <c r="X38" s="35"/>
      <c r="Y38" s="35"/>
      <c r="Z38" s="170">
        <f t="shared" si="5"/>
        <v>0</v>
      </c>
      <c r="AA38" s="170">
        <f t="shared" si="6"/>
        <v>19</v>
      </c>
    </row>
    <row r="39" spans="1:27" ht="40.5" x14ac:dyDescent="0.25">
      <c r="A39" s="35">
        <v>37</v>
      </c>
      <c r="B39" s="112">
        <v>43533</v>
      </c>
      <c r="C39" s="23" t="s">
        <v>799</v>
      </c>
      <c r="D39" s="35" t="s">
        <v>650</v>
      </c>
      <c r="E39" s="35"/>
      <c r="F39" s="35" t="s">
        <v>800</v>
      </c>
      <c r="G39" s="35" t="s">
        <v>801</v>
      </c>
      <c r="H39" s="35" t="s">
        <v>802</v>
      </c>
      <c r="I39" s="168">
        <v>150</v>
      </c>
      <c r="J39" s="168">
        <v>350</v>
      </c>
      <c r="K39" s="123">
        <f t="shared" si="11"/>
        <v>500</v>
      </c>
      <c r="L39" s="123">
        <f t="shared" si="0"/>
        <v>65</v>
      </c>
      <c r="M39" s="123">
        <f t="shared" si="1"/>
        <v>435</v>
      </c>
      <c r="N39" s="168">
        <v>45</v>
      </c>
      <c r="O39" s="168"/>
      <c r="P39" s="123">
        <f t="shared" si="2"/>
        <v>45</v>
      </c>
      <c r="Q39" s="165">
        <f t="shared" si="7"/>
        <v>105</v>
      </c>
      <c r="R39" s="165">
        <f t="shared" si="8"/>
        <v>350</v>
      </c>
      <c r="S39" s="123">
        <f t="shared" si="3"/>
        <v>455</v>
      </c>
      <c r="T39" s="123">
        <f t="shared" si="4"/>
        <v>500</v>
      </c>
      <c r="U39" s="168"/>
      <c r="V39" s="35"/>
      <c r="W39" s="35"/>
      <c r="X39" s="35"/>
      <c r="Y39" s="35"/>
      <c r="Z39" s="170">
        <f t="shared" si="5"/>
        <v>0</v>
      </c>
      <c r="AA39" s="170">
        <f t="shared" si="6"/>
        <v>500</v>
      </c>
    </row>
    <row r="40" spans="1:27" x14ac:dyDescent="0.25">
      <c r="A40" s="35">
        <v>38</v>
      </c>
      <c r="B40" s="112">
        <v>43533</v>
      </c>
      <c r="C40" s="23" t="s">
        <v>803</v>
      </c>
      <c r="D40" s="35" t="s">
        <v>650</v>
      </c>
      <c r="E40" s="35"/>
      <c r="F40" s="35" t="s">
        <v>804</v>
      </c>
      <c r="G40" s="35" t="s">
        <v>805</v>
      </c>
      <c r="H40" s="35" t="s">
        <v>806</v>
      </c>
      <c r="I40" s="168">
        <v>25</v>
      </c>
      <c r="J40" s="168"/>
      <c r="K40" s="123">
        <f t="shared" si="11"/>
        <v>25</v>
      </c>
      <c r="L40" s="123">
        <f t="shared" si="0"/>
        <v>3.25</v>
      </c>
      <c r="M40" s="123">
        <f t="shared" si="1"/>
        <v>21.75</v>
      </c>
      <c r="N40" s="168">
        <v>15</v>
      </c>
      <c r="O40" s="168"/>
      <c r="P40" s="123">
        <f t="shared" si="2"/>
        <v>15</v>
      </c>
      <c r="Q40" s="165">
        <f t="shared" si="7"/>
        <v>10</v>
      </c>
      <c r="R40" s="165">
        <f t="shared" si="8"/>
        <v>0</v>
      </c>
      <c r="S40" s="123">
        <f t="shared" si="3"/>
        <v>10</v>
      </c>
      <c r="T40" s="123">
        <f t="shared" si="4"/>
        <v>25</v>
      </c>
      <c r="U40" s="168"/>
      <c r="V40" s="35"/>
      <c r="W40" s="35"/>
      <c r="X40" s="35"/>
      <c r="Y40" s="35"/>
      <c r="Z40" s="170">
        <f t="shared" si="5"/>
        <v>0</v>
      </c>
      <c r="AA40" s="170">
        <f t="shared" si="6"/>
        <v>25</v>
      </c>
    </row>
    <row r="41" spans="1:27" x14ac:dyDescent="0.25">
      <c r="A41" s="35">
        <v>39</v>
      </c>
      <c r="B41" s="112">
        <v>43533</v>
      </c>
      <c r="C41" s="23" t="s">
        <v>807</v>
      </c>
      <c r="D41" s="35" t="s">
        <v>650</v>
      </c>
      <c r="E41" s="35"/>
      <c r="F41" s="35"/>
      <c r="G41" s="35" t="s">
        <v>808</v>
      </c>
      <c r="H41" s="35"/>
      <c r="I41" s="168">
        <v>4</v>
      </c>
      <c r="J41" s="168"/>
      <c r="K41" s="123">
        <f t="shared" si="11"/>
        <v>4</v>
      </c>
      <c r="L41" s="123">
        <f t="shared" si="0"/>
        <v>0.52</v>
      </c>
      <c r="M41" s="123">
        <f t="shared" si="1"/>
        <v>3.48</v>
      </c>
      <c r="N41" s="168">
        <v>1</v>
      </c>
      <c r="O41" s="168"/>
      <c r="P41" s="123">
        <f t="shared" si="2"/>
        <v>1</v>
      </c>
      <c r="Q41" s="165">
        <f t="shared" si="7"/>
        <v>3</v>
      </c>
      <c r="R41" s="165">
        <f t="shared" si="8"/>
        <v>0</v>
      </c>
      <c r="S41" s="123">
        <f t="shared" si="3"/>
        <v>3</v>
      </c>
      <c r="T41" s="123">
        <f t="shared" si="4"/>
        <v>4</v>
      </c>
      <c r="U41" s="168"/>
      <c r="V41" s="35"/>
      <c r="W41" s="35"/>
      <c r="X41" s="35"/>
      <c r="Y41" s="35"/>
      <c r="Z41" s="170">
        <f t="shared" si="5"/>
        <v>0</v>
      </c>
      <c r="AA41" s="170">
        <f t="shared" si="6"/>
        <v>4</v>
      </c>
    </row>
    <row r="42" spans="1:27" ht="27" x14ac:dyDescent="0.25">
      <c r="A42" s="35">
        <v>40</v>
      </c>
      <c r="B42" s="172">
        <v>43533</v>
      </c>
      <c r="C42" s="169" t="s">
        <v>809</v>
      </c>
      <c r="D42" s="169" t="s">
        <v>650</v>
      </c>
      <c r="E42" s="169"/>
      <c r="F42" s="169" t="s">
        <v>810</v>
      </c>
      <c r="G42" s="169" t="s">
        <v>811</v>
      </c>
      <c r="H42" s="169" t="s">
        <v>341</v>
      </c>
      <c r="I42" s="171">
        <v>75</v>
      </c>
      <c r="J42" s="171">
        <v>75</v>
      </c>
      <c r="K42" s="171">
        <f t="shared" si="11"/>
        <v>150</v>
      </c>
      <c r="L42" s="123">
        <f t="shared" si="0"/>
        <v>19.5</v>
      </c>
      <c r="M42" s="123">
        <f t="shared" si="1"/>
        <v>130.5</v>
      </c>
      <c r="N42" s="168">
        <v>15</v>
      </c>
      <c r="O42" s="168">
        <v>14</v>
      </c>
      <c r="P42" s="123">
        <f t="shared" si="2"/>
        <v>29</v>
      </c>
      <c r="Q42" s="165">
        <f t="shared" si="7"/>
        <v>60</v>
      </c>
      <c r="R42" s="165">
        <f t="shared" si="8"/>
        <v>61</v>
      </c>
      <c r="S42" s="123">
        <f t="shared" si="3"/>
        <v>121</v>
      </c>
      <c r="T42" s="123">
        <f t="shared" si="4"/>
        <v>150</v>
      </c>
      <c r="U42" s="168"/>
      <c r="V42" s="35"/>
      <c r="W42" s="35"/>
      <c r="X42" s="35"/>
      <c r="Y42" s="35"/>
      <c r="Z42" s="170">
        <f t="shared" si="5"/>
        <v>0</v>
      </c>
      <c r="AA42" s="170">
        <f t="shared" si="6"/>
        <v>150</v>
      </c>
    </row>
    <row r="43" spans="1:27" x14ac:dyDescent="0.25">
      <c r="A43" s="35">
        <v>41</v>
      </c>
      <c r="B43" s="172">
        <v>43533</v>
      </c>
      <c r="C43" s="169" t="s">
        <v>812</v>
      </c>
      <c r="D43" s="169" t="s">
        <v>650</v>
      </c>
      <c r="E43" s="169"/>
      <c r="F43" s="169"/>
      <c r="G43" s="169" t="s">
        <v>813</v>
      </c>
      <c r="H43" s="169"/>
      <c r="I43" s="171">
        <v>5</v>
      </c>
      <c r="J43" s="171"/>
      <c r="K43" s="171">
        <v>5</v>
      </c>
      <c r="L43" s="123">
        <f t="shared" si="0"/>
        <v>0.65</v>
      </c>
      <c r="M43" s="123">
        <f t="shared" si="1"/>
        <v>4.3499999999999996</v>
      </c>
      <c r="N43" s="168">
        <v>3.75</v>
      </c>
      <c r="O43" s="168"/>
      <c r="P43" s="123">
        <f t="shared" si="2"/>
        <v>3.75</v>
      </c>
      <c r="Q43" s="165">
        <f t="shared" si="7"/>
        <v>1.25</v>
      </c>
      <c r="R43" s="165">
        <f t="shared" si="8"/>
        <v>0</v>
      </c>
      <c r="S43" s="123">
        <f t="shared" si="3"/>
        <v>1.25</v>
      </c>
      <c r="T43" s="123">
        <f t="shared" si="4"/>
        <v>5</v>
      </c>
      <c r="U43" s="168"/>
      <c r="V43" s="35"/>
      <c r="W43" s="35"/>
      <c r="X43" s="35"/>
      <c r="Y43" s="35"/>
      <c r="Z43" s="170">
        <f t="shared" si="5"/>
        <v>0</v>
      </c>
      <c r="AA43" s="170">
        <f t="shared" si="6"/>
        <v>5</v>
      </c>
    </row>
    <row r="44" spans="1:27" x14ac:dyDescent="0.25">
      <c r="A44" s="35">
        <v>42</v>
      </c>
      <c r="B44" s="172">
        <v>43533</v>
      </c>
      <c r="C44" s="169" t="s">
        <v>814</v>
      </c>
      <c r="D44" s="169" t="s">
        <v>650</v>
      </c>
      <c r="E44" s="169"/>
      <c r="F44" s="169"/>
      <c r="G44" s="169" t="s">
        <v>815</v>
      </c>
      <c r="H44" s="169" t="s">
        <v>806</v>
      </c>
      <c r="I44" s="171">
        <v>40</v>
      </c>
      <c r="J44" s="171"/>
      <c r="K44" s="171">
        <v>40</v>
      </c>
      <c r="L44" s="123">
        <f t="shared" si="0"/>
        <v>5.2</v>
      </c>
      <c r="M44" s="123">
        <f t="shared" si="1"/>
        <v>34.799999999999997</v>
      </c>
      <c r="N44" s="168">
        <v>10</v>
      </c>
      <c r="O44" s="168"/>
      <c r="P44" s="123">
        <f t="shared" si="2"/>
        <v>10</v>
      </c>
      <c r="Q44" s="165">
        <f t="shared" si="7"/>
        <v>30</v>
      </c>
      <c r="R44" s="165">
        <f t="shared" si="8"/>
        <v>0</v>
      </c>
      <c r="S44" s="123">
        <f t="shared" si="3"/>
        <v>30</v>
      </c>
      <c r="T44" s="123">
        <f t="shared" si="4"/>
        <v>40</v>
      </c>
      <c r="U44" s="168"/>
      <c r="V44" s="35"/>
      <c r="W44" s="35"/>
      <c r="X44" s="35"/>
      <c r="Y44" s="35"/>
      <c r="Z44" s="170">
        <f t="shared" si="5"/>
        <v>0</v>
      </c>
      <c r="AA44" s="170">
        <f t="shared" si="6"/>
        <v>40</v>
      </c>
    </row>
    <row r="45" spans="1:27" x14ac:dyDescent="0.25">
      <c r="A45" s="35">
        <v>43</v>
      </c>
      <c r="B45" s="112">
        <v>43534</v>
      </c>
      <c r="C45" s="23" t="s">
        <v>816</v>
      </c>
      <c r="D45" s="23" t="s">
        <v>650</v>
      </c>
      <c r="E45" s="23"/>
      <c r="F45" s="23"/>
      <c r="G45" s="23" t="s">
        <v>813</v>
      </c>
      <c r="H45" s="23"/>
      <c r="I45" s="165">
        <v>5</v>
      </c>
      <c r="J45" s="165"/>
      <c r="K45" s="123">
        <f t="shared" ref="K45:K50" si="12">I45+J45</f>
        <v>5</v>
      </c>
      <c r="L45" s="123">
        <f t="shared" si="0"/>
        <v>0.65</v>
      </c>
      <c r="M45" s="123">
        <f t="shared" si="1"/>
        <v>4.3499999999999996</v>
      </c>
      <c r="N45" s="168">
        <v>3.75</v>
      </c>
      <c r="O45" s="168"/>
      <c r="P45" s="123">
        <f t="shared" si="2"/>
        <v>3.75</v>
      </c>
      <c r="Q45" s="165">
        <f t="shared" si="7"/>
        <v>1.25</v>
      </c>
      <c r="R45" s="165">
        <f t="shared" si="8"/>
        <v>0</v>
      </c>
      <c r="S45" s="123">
        <f t="shared" si="3"/>
        <v>1.25</v>
      </c>
      <c r="T45" s="123">
        <f t="shared" si="4"/>
        <v>5</v>
      </c>
      <c r="U45" s="168"/>
      <c r="V45" s="35"/>
      <c r="W45" s="35"/>
      <c r="X45" s="35"/>
      <c r="Y45" s="35"/>
      <c r="Z45" s="170">
        <f t="shared" si="5"/>
        <v>0</v>
      </c>
      <c r="AA45" s="170">
        <f t="shared" si="6"/>
        <v>5</v>
      </c>
    </row>
    <row r="46" spans="1:27" ht="27" x14ac:dyDescent="0.25">
      <c r="A46" s="35">
        <v>44</v>
      </c>
      <c r="B46" s="112">
        <v>43534</v>
      </c>
      <c r="C46" s="23" t="s">
        <v>817</v>
      </c>
      <c r="D46" s="23" t="s">
        <v>650</v>
      </c>
      <c r="E46" s="23"/>
      <c r="F46" s="23" t="s">
        <v>818</v>
      </c>
      <c r="G46" s="23" t="s">
        <v>819</v>
      </c>
      <c r="H46" s="23" t="s">
        <v>341</v>
      </c>
      <c r="I46" s="165"/>
      <c r="J46" s="165">
        <v>100</v>
      </c>
      <c r="K46" s="123">
        <f t="shared" si="12"/>
        <v>100</v>
      </c>
      <c r="L46" s="123">
        <f t="shared" si="0"/>
        <v>13</v>
      </c>
      <c r="M46" s="123">
        <f t="shared" si="1"/>
        <v>87</v>
      </c>
      <c r="N46" s="168">
        <v>15</v>
      </c>
      <c r="O46" s="168">
        <v>14</v>
      </c>
      <c r="P46" s="123">
        <f t="shared" si="2"/>
        <v>29</v>
      </c>
      <c r="Q46" s="165">
        <f t="shared" si="7"/>
        <v>-15</v>
      </c>
      <c r="R46" s="165">
        <f t="shared" si="8"/>
        <v>86</v>
      </c>
      <c r="S46" s="123">
        <f t="shared" si="3"/>
        <v>71</v>
      </c>
      <c r="T46" s="123">
        <f t="shared" si="4"/>
        <v>100</v>
      </c>
      <c r="U46" s="168"/>
      <c r="V46" s="35"/>
      <c r="W46" s="35"/>
      <c r="X46" s="35"/>
      <c r="Y46" s="35"/>
      <c r="Z46" s="170">
        <f t="shared" si="5"/>
        <v>0</v>
      </c>
      <c r="AA46" s="170">
        <f t="shared" si="6"/>
        <v>100</v>
      </c>
    </row>
    <row r="47" spans="1:27" x14ac:dyDescent="0.25">
      <c r="A47" s="35">
        <v>45</v>
      </c>
      <c r="B47" s="112">
        <v>43534</v>
      </c>
      <c r="C47" s="23" t="s">
        <v>820</v>
      </c>
      <c r="D47" s="23" t="s">
        <v>650</v>
      </c>
      <c r="E47" s="23"/>
      <c r="F47" s="23"/>
      <c r="G47" s="23" t="s">
        <v>821</v>
      </c>
      <c r="H47" s="23"/>
      <c r="I47" s="165">
        <v>80</v>
      </c>
      <c r="J47" s="165"/>
      <c r="K47" s="123">
        <f t="shared" si="12"/>
        <v>80</v>
      </c>
      <c r="L47" s="123">
        <f t="shared" si="0"/>
        <v>10.4</v>
      </c>
      <c r="M47" s="123">
        <f t="shared" si="1"/>
        <v>69.599999999999994</v>
      </c>
      <c r="N47" s="168">
        <v>10</v>
      </c>
      <c r="O47" s="168"/>
      <c r="P47" s="123">
        <f t="shared" si="2"/>
        <v>10</v>
      </c>
      <c r="Q47" s="165">
        <f t="shared" si="7"/>
        <v>70</v>
      </c>
      <c r="R47" s="165">
        <f t="shared" si="8"/>
        <v>0</v>
      </c>
      <c r="S47" s="123">
        <f t="shared" si="3"/>
        <v>70</v>
      </c>
      <c r="T47" s="123">
        <f t="shared" si="4"/>
        <v>80</v>
      </c>
      <c r="U47" s="168"/>
      <c r="V47" s="35"/>
      <c r="W47" s="35"/>
      <c r="X47" s="35"/>
      <c r="Y47" s="35"/>
      <c r="Z47" s="170">
        <f t="shared" si="5"/>
        <v>0</v>
      </c>
      <c r="AA47" s="170">
        <f t="shared" si="6"/>
        <v>80</v>
      </c>
    </row>
    <row r="48" spans="1:27" ht="27" x14ac:dyDescent="0.25">
      <c r="A48" s="35">
        <v>46</v>
      </c>
      <c r="B48" s="112">
        <v>43534</v>
      </c>
      <c r="C48" s="23" t="s">
        <v>820</v>
      </c>
      <c r="D48" s="35" t="s">
        <v>650</v>
      </c>
      <c r="E48" s="35"/>
      <c r="F48" s="35" t="s">
        <v>822</v>
      </c>
      <c r="G48" s="35" t="s">
        <v>823</v>
      </c>
      <c r="H48" s="35" t="s">
        <v>341</v>
      </c>
      <c r="I48" s="168">
        <v>100</v>
      </c>
      <c r="J48" s="168">
        <v>100</v>
      </c>
      <c r="K48" s="123">
        <f t="shared" si="12"/>
        <v>200</v>
      </c>
      <c r="L48" s="123">
        <f t="shared" si="0"/>
        <v>26</v>
      </c>
      <c r="M48" s="123">
        <f t="shared" si="1"/>
        <v>174</v>
      </c>
      <c r="N48" s="168">
        <v>10</v>
      </c>
      <c r="O48" s="168">
        <v>14</v>
      </c>
      <c r="P48" s="123">
        <f t="shared" si="2"/>
        <v>24</v>
      </c>
      <c r="Q48" s="165">
        <f t="shared" si="7"/>
        <v>90</v>
      </c>
      <c r="R48" s="165">
        <f t="shared" si="8"/>
        <v>86</v>
      </c>
      <c r="S48" s="123">
        <f t="shared" si="3"/>
        <v>176</v>
      </c>
      <c r="T48" s="123">
        <f t="shared" si="4"/>
        <v>200</v>
      </c>
      <c r="U48" s="168"/>
      <c r="V48" s="35"/>
      <c r="W48" s="35"/>
      <c r="X48" s="35"/>
      <c r="Y48" s="35"/>
      <c r="Z48" s="170">
        <f t="shared" si="5"/>
        <v>0</v>
      </c>
      <c r="AA48" s="170">
        <f t="shared" si="6"/>
        <v>200</v>
      </c>
    </row>
    <row r="49" spans="1:27" ht="27" x14ac:dyDescent="0.25">
      <c r="A49" s="35">
        <v>47</v>
      </c>
      <c r="B49" s="112">
        <v>43534</v>
      </c>
      <c r="C49" s="23" t="s">
        <v>824</v>
      </c>
      <c r="D49" s="35" t="s">
        <v>650</v>
      </c>
      <c r="E49" s="35"/>
      <c r="F49" s="35"/>
      <c r="G49" s="35" t="s">
        <v>825</v>
      </c>
      <c r="H49" s="35" t="s">
        <v>481</v>
      </c>
      <c r="I49" s="168">
        <v>225</v>
      </c>
      <c r="J49" s="168">
        <v>140</v>
      </c>
      <c r="K49" s="123">
        <f t="shared" si="12"/>
        <v>365</v>
      </c>
      <c r="L49" s="123">
        <f t="shared" si="0"/>
        <v>47.45</v>
      </c>
      <c r="M49" s="123">
        <f t="shared" si="1"/>
        <v>317.55</v>
      </c>
      <c r="N49" s="168">
        <v>45</v>
      </c>
      <c r="O49" s="168"/>
      <c r="P49" s="123">
        <f t="shared" si="2"/>
        <v>45</v>
      </c>
      <c r="Q49" s="165">
        <f t="shared" si="7"/>
        <v>180</v>
      </c>
      <c r="R49" s="165">
        <f t="shared" si="8"/>
        <v>140</v>
      </c>
      <c r="S49" s="123">
        <f t="shared" si="3"/>
        <v>320</v>
      </c>
      <c r="T49" s="123">
        <f t="shared" si="4"/>
        <v>365</v>
      </c>
      <c r="U49" s="168"/>
      <c r="V49" s="35"/>
      <c r="W49" s="35"/>
      <c r="X49" s="35"/>
      <c r="Y49" s="35"/>
      <c r="Z49" s="170">
        <f t="shared" si="5"/>
        <v>0</v>
      </c>
      <c r="AA49" s="170">
        <f t="shared" si="6"/>
        <v>365</v>
      </c>
    </row>
    <row r="50" spans="1:27" ht="27" x14ac:dyDescent="0.25">
      <c r="A50" s="35">
        <v>48</v>
      </c>
      <c r="B50" s="112">
        <v>43535</v>
      </c>
      <c r="C50" s="23" t="s">
        <v>826</v>
      </c>
      <c r="D50" s="23" t="s">
        <v>650</v>
      </c>
      <c r="E50" s="23"/>
      <c r="F50" s="23" t="s">
        <v>827</v>
      </c>
      <c r="G50" s="23" t="s">
        <v>828</v>
      </c>
      <c r="H50" s="23" t="s">
        <v>829</v>
      </c>
      <c r="I50" s="165">
        <v>200</v>
      </c>
      <c r="J50" s="165">
        <v>155</v>
      </c>
      <c r="K50" s="177">
        <f t="shared" si="12"/>
        <v>355</v>
      </c>
      <c r="L50" s="123">
        <f t="shared" si="0"/>
        <v>46.15</v>
      </c>
      <c r="M50" s="123">
        <f t="shared" si="1"/>
        <v>308.85000000000002</v>
      </c>
      <c r="N50" s="168">
        <v>45</v>
      </c>
      <c r="O50" s="168" t="s">
        <v>159</v>
      </c>
      <c r="P50" s="123" t="e">
        <f t="shared" si="2"/>
        <v>#VALUE!</v>
      </c>
      <c r="Q50" s="165">
        <f t="shared" si="7"/>
        <v>155</v>
      </c>
      <c r="R50" s="165" t="e">
        <f t="shared" si="8"/>
        <v>#VALUE!</v>
      </c>
      <c r="S50" s="123" t="e">
        <f t="shared" si="3"/>
        <v>#VALUE!</v>
      </c>
      <c r="T50" s="123" t="e">
        <f t="shared" si="4"/>
        <v>#VALUE!</v>
      </c>
      <c r="U50" s="168"/>
      <c r="V50" s="35"/>
      <c r="W50" s="35"/>
      <c r="X50" s="35"/>
      <c r="Y50" s="35"/>
      <c r="Z50" s="170">
        <f t="shared" si="5"/>
        <v>0</v>
      </c>
      <c r="AA50" s="170" t="e">
        <f t="shared" si="6"/>
        <v>#VALUE!</v>
      </c>
    </row>
    <row r="51" spans="1:27" x14ac:dyDescent="0.25">
      <c r="A51" s="35">
        <v>49</v>
      </c>
      <c r="B51" s="112">
        <v>43535</v>
      </c>
      <c r="C51" s="23" t="s">
        <v>830</v>
      </c>
      <c r="D51" s="23" t="s">
        <v>650</v>
      </c>
      <c r="E51" s="23"/>
      <c r="F51" s="23"/>
      <c r="G51" s="23" t="s">
        <v>734</v>
      </c>
      <c r="H51" s="23"/>
      <c r="I51" s="165">
        <v>3</v>
      </c>
      <c r="J51" s="165"/>
      <c r="K51" s="123">
        <f t="shared" ref="K51:K55" si="13">I51+J51</f>
        <v>3</v>
      </c>
      <c r="L51" s="123">
        <f t="shared" si="0"/>
        <v>0.39</v>
      </c>
      <c r="M51" s="123">
        <f t="shared" si="1"/>
        <v>2.61</v>
      </c>
      <c r="N51" s="168">
        <v>1</v>
      </c>
      <c r="O51" s="168"/>
      <c r="P51" s="123">
        <f t="shared" si="2"/>
        <v>1</v>
      </c>
      <c r="Q51" s="165">
        <f t="shared" si="7"/>
        <v>2</v>
      </c>
      <c r="R51" s="165">
        <f t="shared" si="8"/>
        <v>0</v>
      </c>
      <c r="S51" s="123">
        <f t="shared" si="3"/>
        <v>2</v>
      </c>
      <c r="T51" s="123">
        <f t="shared" si="4"/>
        <v>3</v>
      </c>
      <c r="U51" s="168"/>
      <c r="V51" s="35"/>
      <c r="W51" s="35"/>
      <c r="X51" s="35"/>
      <c r="Y51" s="35"/>
      <c r="Z51" s="170">
        <f t="shared" si="5"/>
        <v>0</v>
      </c>
      <c r="AA51" s="170">
        <f t="shared" si="6"/>
        <v>3</v>
      </c>
    </row>
    <row r="52" spans="1:27" x14ac:dyDescent="0.25">
      <c r="A52" s="35">
        <v>50</v>
      </c>
      <c r="B52" s="112">
        <v>43535</v>
      </c>
      <c r="C52" s="23" t="s">
        <v>747</v>
      </c>
      <c r="D52" s="23" t="s">
        <v>650</v>
      </c>
      <c r="E52" s="23"/>
      <c r="F52" s="23"/>
      <c r="G52" s="23" t="s">
        <v>734</v>
      </c>
      <c r="H52" s="23"/>
      <c r="I52" s="165">
        <v>3</v>
      </c>
      <c r="J52" s="165"/>
      <c r="K52" s="123">
        <f t="shared" si="13"/>
        <v>3</v>
      </c>
      <c r="L52" s="123">
        <f t="shared" si="0"/>
        <v>0.39</v>
      </c>
      <c r="M52" s="123">
        <f t="shared" si="1"/>
        <v>2.61</v>
      </c>
      <c r="N52" s="168">
        <v>1</v>
      </c>
      <c r="O52" s="168"/>
      <c r="P52" s="123">
        <f t="shared" si="2"/>
        <v>1</v>
      </c>
      <c r="Q52" s="165">
        <f t="shared" si="7"/>
        <v>2</v>
      </c>
      <c r="R52" s="165">
        <f t="shared" si="8"/>
        <v>0</v>
      </c>
      <c r="S52" s="123">
        <f t="shared" si="3"/>
        <v>2</v>
      </c>
      <c r="T52" s="123">
        <f t="shared" si="4"/>
        <v>3</v>
      </c>
      <c r="U52" s="168"/>
      <c r="V52" s="35"/>
      <c r="W52" s="35"/>
      <c r="X52" s="35"/>
      <c r="Y52" s="35"/>
      <c r="Z52" s="170">
        <f t="shared" si="5"/>
        <v>0</v>
      </c>
      <c r="AA52" s="170">
        <f t="shared" si="6"/>
        <v>3</v>
      </c>
    </row>
    <row r="53" spans="1:27" ht="27" x14ac:dyDescent="0.25">
      <c r="A53" s="35">
        <v>51</v>
      </c>
      <c r="B53" s="112">
        <v>43535</v>
      </c>
      <c r="C53" s="23" t="s">
        <v>831</v>
      </c>
      <c r="D53" s="35" t="s">
        <v>650</v>
      </c>
      <c r="E53" s="35"/>
      <c r="F53" s="35" t="s">
        <v>142</v>
      </c>
      <c r="G53" s="35" t="s">
        <v>832</v>
      </c>
      <c r="H53" s="35" t="s">
        <v>341</v>
      </c>
      <c r="I53" s="168">
        <v>50</v>
      </c>
      <c r="J53" s="168">
        <v>75</v>
      </c>
      <c r="K53" s="123">
        <f t="shared" si="13"/>
        <v>125</v>
      </c>
      <c r="L53" s="123">
        <f t="shared" si="0"/>
        <v>16.25</v>
      </c>
      <c r="M53" s="123">
        <f t="shared" si="1"/>
        <v>108.75</v>
      </c>
      <c r="N53" s="168">
        <v>10</v>
      </c>
      <c r="O53" s="168">
        <v>14</v>
      </c>
      <c r="P53" s="123">
        <f t="shared" si="2"/>
        <v>24</v>
      </c>
      <c r="Q53" s="165">
        <f t="shared" si="7"/>
        <v>40</v>
      </c>
      <c r="R53" s="165">
        <f t="shared" si="8"/>
        <v>61</v>
      </c>
      <c r="S53" s="123">
        <f t="shared" si="3"/>
        <v>101</v>
      </c>
      <c r="T53" s="123">
        <f t="shared" si="4"/>
        <v>125</v>
      </c>
      <c r="U53" s="168"/>
      <c r="V53" s="35"/>
      <c r="W53" s="35"/>
      <c r="X53" s="35"/>
      <c r="Y53" s="35"/>
      <c r="Z53" s="170">
        <f t="shared" si="5"/>
        <v>0</v>
      </c>
      <c r="AA53" s="170">
        <f t="shared" si="6"/>
        <v>125</v>
      </c>
    </row>
    <row r="54" spans="1:27" ht="27" x14ac:dyDescent="0.25">
      <c r="A54" s="35">
        <v>52</v>
      </c>
      <c r="B54" s="112">
        <v>43535</v>
      </c>
      <c r="C54" s="23" t="s">
        <v>833</v>
      </c>
      <c r="D54" s="35" t="s">
        <v>650</v>
      </c>
      <c r="E54" s="35"/>
      <c r="F54" s="35" t="s">
        <v>834</v>
      </c>
      <c r="G54" s="35" t="s">
        <v>835</v>
      </c>
      <c r="H54" s="35" t="s">
        <v>701</v>
      </c>
      <c r="I54" s="168">
        <v>50</v>
      </c>
      <c r="J54" s="168">
        <v>75</v>
      </c>
      <c r="K54" s="123">
        <f t="shared" si="13"/>
        <v>125</v>
      </c>
      <c r="L54" s="123">
        <f t="shared" si="0"/>
        <v>16.25</v>
      </c>
      <c r="M54" s="123">
        <f t="shared" si="1"/>
        <v>108.75</v>
      </c>
      <c r="N54" s="168">
        <v>10</v>
      </c>
      <c r="O54" s="168">
        <v>14</v>
      </c>
      <c r="P54" s="123">
        <f t="shared" si="2"/>
        <v>24</v>
      </c>
      <c r="Q54" s="165">
        <f t="shared" si="7"/>
        <v>40</v>
      </c>
      <c r="R54" s="165">
        <f t="shared" si="8"/>
        <v>61</v>
      </c>
      <c r="S54" s="123">
        <f t="shared" si="3"/>
        <v>101</v>
      </c>
      <c r="T54" s="123">
        <f t="shared" si="4"/>
        <v>125</v>
      </c>
      <c r="U54" s="168"/>
      <c r="V54" s="35"/>
      <c r="W54" s="35"/>
      <c r="X54" s="35"/>
      <c r="Y54" s="35"/>
      <c r="Z54" s="170">
        <f t="shared" si="5"/>
        <v>0</v>
      </c>
      <c r="AA54" s="170">
        <f t="shared" si="6"/>
        <v>125</v>
      </c>
    </row>
    <row r="55" spans="1:27" ht="40.5" x14ac:dyDescent="0.25">
      <c r="A55" s="35">
        <v>53</v>
      </c>
      <c r="B55" s="172">
        <v>43535</v>
      </c>
      <c r="C55" s="169" t="s">
        <v>836</v>
      </c>
      <c r="D55" s="169" t="s">
        <v>650</v>
      </c>
      <c r="E55" s="169"/>
      <c r="F55" s="169"/>
      <c r="G55" s="169" t="s">
        <v>687</v>
      </c>
      <c r="H55" s="169" t="s">
        <v>837</v>
      </c>
      <c r="I55" s="171">
        <v>40</v>
      </c>
      <c r="J55" s="171">
        <v>425</v>
      </c>
      <c r="K55" s="171">
        <f t="shared" si="13"/>
        <v>465</v>
      </c>
      <c r="L55" s="123">
        <f t="shared" si="0"/>
        <v>60.45</v>
      </c>
      <c r="M55" s="123">
        <f t="shared" si="1"/>
        <v>404.55</v>
      </c>
      <c r="N55" s="168">
        <v>10</v>
      </c>
      <c r="O55" s="168"/>
      <c r="P55" s="123">
        <f t="shared" si="2"/>
        <v>10</v>
      </c>
      <c r="Q55" s="165">
        <f t="shared" si="7"/>
        <v>30</v>
      </c>
      <c r="R55" s="165">
        <f t="shared" si="8"/>
        <v>425</v>
      </c>
      <c r="S55" s="123">
        <f t="shared" si="3"/>
        <v>455</v>
      </c>
      <c r="T55" s="123">
        <f t="shared" si="4"/>
        <v>465</v>
      </c>
      <c r="U55" s="168"/>
      <c r="V55" s="35"/>
      <c r="W55" s="35"/>
      <c r="X55" s="35"/>
      <c r="Y55" s="35"/>
      <c r="Z55" s="170">
        <f t="shared" si="5"/>
        <v>0</v>
      </c>
      <c r="AA55" s="170">
        <f t="shared" si="6"/>
        <v>465</v>
      </c>
    </row>
    <row r="56" spans="1:27" ht="27" x14ac:dyDescent="0.25">
      <c r="A56" s="35">
        <v>54</v>
      </c>
      <c r="B56" s="112">
        <v>43536</v>
      </c>
      <c r="C56" s="23" t="s">
        <v>841</v>
      </c>
      <c r="D56" s="23" t="s">
        <v>650</v>
      </c>
      <c r="E56" s="23"/>
      <c r="F56" s="23" t="s">
        <v>842</v>
      </c>
      <c r="G56" s="23" t="s">
        <v>843</v>
      </c>
      <c r="H56" s="23" t="s">
        <v>844</v>
      </c>
      <c r="I56" s="165"/>
      <c r="J56" s="165">
        <v>250</v>
      </c>
      <c r="K56" s="123">
        <f t="shared" ref="K56:K64" si="14">I56+J56</f>
        <v>250</v>
      </c>
      <c r="L56" s="123">
        <f t="shared" si="0"/>
        <v>32.5</v>
      </c>
      <c r="M56" s="123">
        <f t="shared" si="1"/>
        <v>217.5</v>
      </c>
      <c r="N56" s="168">
        <v>10</v>
      </c>
      <c r="O56" s="168"/>
      <c r="P56" s="123">
        <f t="shared" si="2"/>
        <v>10</v>
      </c>
      <c r="Q56" s="165">
        <f t="shared" si="7"/>
        <v>-10</v>
      </c>
      <c r="R56" s="165">
        <f t="shared" si="8"/>
        <v>250</v>
      </c>
      <c r="S56" s="123">
        <f t="shared" si="3"/>
        <v>240</v>
      </c>
      <c r="T56" s="123">
        <f t="shared" si="4"/>
        <v>250</v>
      </c>
      <c r="U56" s="168"/>
      <c r="V56" s="35"/>
      <c r="W56" s="35"/>
      <c r="X56" s="35"/>
      <c r="Y56" s="35"/>
      <c r="Z56" s="170">
        <f t="shared" si="5"/>
        <v>0</v>
      </c>
      <c r="AA56" s="170">
        <f t="shared" si="6"/>
        <v>250</v>
      </c>
    </row>
    <row r="57" spans="1:27" ht="27" x14ac:dyDescent="0.25">
      <c r="A57" s="35">
        <v>55</v>
      </c>
      <c r="B57" s="112">
        <v>43536</v>
      </c>
      <c r="C57" s="23" t="s">
        <v>845</v>
      </c>
      <c r="D57" s="23" t="s">
        <v>650</v>
      </c>
      <c r="E57" s="23"/>
      <c r="F57" s="23"/>
      <c r="G57" s="23" t="s">
        <v>846</v>
      </c>
      <c r="H57" s="23"/>
      <c r="I57" s="165">
        <v>25</v>
      </c>
      <c r="J57" s="165"/>
      <c r="K57" s="123">
        <f t="shared" si="14"/>
        <v>25</v>
      </c>
      <c r="L57" s="123">
        <f t="shared" si="0"/>
        <v>3.25</v>
      </c>
      <c r="M57" s="123">
        <f t="shared" si="1"/>
        <v>21.75</v>
      </c>
      <c r="N57" s="168">
        <v>10</v>
      </c>
      <c r="O57" s="168"/>
      <c r="P57" s="123">
        <f t="shared" si="2"/>
        <v>10</v>
      </c>
      <c r="Q57" s="165">
        <f t="shared" si="7"/>
        <v>15</v>
      </c>
      <c r="R57" s="165">
        <f t="shared" si="8"/>
        <v>0</v>
      </c>
      <c r="S57" s="123">
        <f t="shared" si="3"/>
        <v>15</v>
      </c>
      <c r="T57" s="123">
        <f t="shared" si="4"/>
        <v>25</v>
      </c>
      <c r="U57" s="168"/>
      <c r="V57" s="35"/>
      <c r="W57" s="35"/>
      <c r="X57" s="35"/>
      <c r="Y57" s="35"/>
      <c r="Z57" s="170">
        <f t="shared" si="5"/>
        <v>0</v>
      </c>
      <c r="AA57" s="170">
        <f t="shared" si="6"/>
        <v>25</v>
      </c>
    </row>
    <row r="58" spans="1:27" x14ac:dyDescent="0.25">
      <c r="A58" s="35">
        <v>56</v>
      </c>
      <c r="B58" s="112">
        <v>43536</v>
      </c>
      <c r="C58" s="23" t="s">
        <v>847</v>
      </c>
      <c r="D58" s="23" t="s">
        <v>650</v>
      </c>
      <c r="E58" s="23"/>
      <c r="F58" s="23"/>
      <c r="G58" s="23" t="s">
        <v>497</v>
      </c>
      <c r="H58" s="23"/>
      <c r="I58" s="165">
        <v>1</v>
      </c>
      <c r="J58" s="165"/>
      <c r="K58" s="123">
        <f t="shared" si="14"/>
        <v>1</v>
      </c>
      <c r="L58" s="123">
        <f t="shared" si="0"/>
        <v>0.13</v>
      </c>
      <c r="M58" s="123">
        <f t="shared" si="1"/>
        <v>0.87</v>
      </c>
      <c r="N58" s="168">
        <v>0.5</v>
      </c>
      <c r="O58" s="168"/>
      <c r="P58" s="123">
        <f t="shared" si="2"/>
        <v>0.5</v>
      </c>
      <c r="Q58" s="165">
        <f t="shared" si="7"/>
        <v>0.5</v>
      </c>
      <c r="R58" s="165">
        <f t="shared" si="8"/>
        <v>0</v>
      </c>
      <c r="S58" s="123">
        <f t="shared" si="3"/>
        <v>0.5</v>
      </c>
      <c r="T58" s="123">
        <f t="shared" si="4"/>
        <v>1</v>
      </c>
      <c r="U58" s="168"/>
      <c r="V58" s="35"/>
      <c r="W58" s="35"/>
      <c r="X58" s="35"/>
      <c r="Y58" s="35"/>
      <c r="Z58" s="170">
        <f t="shared" si="5"/>
        <v>0</v>
      </c>
      <c r="AA58" s="170">
        <f t="shared" si="6"/>
        <v>1</v>
      </c>
    </row>
    <row r="59" spans="1:27" x14ac:dyDescent="0.25">
      <c r="A59" s="35">
        <v>57</v>
      </c>
      <c r="B59" s="112">
        <v>43536</v>
      </c>
      <c r="C59" s="23" t="s">
        <v>848</v>
      </c>
      <c r="D59" s="35" t="s">
        <v>650</v>
      </c>
      <c r="E59" s="35"/>
      <c r="F59" s="35"/>
      <c r="G59" s="35" t="s">
        <v>849</v>
      </c>
      <c r="H59" s="35"/>
      <c r="I59" s="168">
        <v>40</v>
      </c>
      <c r="J59" s="168"/>
      <c r="K59" s="123">
        <f t="shared" si="14"/>
        <v>40</v>
      </c>
      <c r="L59" s="123">
        <f t="shared" si="0"/>
        <v>5.2</v>
      </c>
      <c r="M59" s="123">
        <f t="shared" si="1"/>
        <v>34.799999999999997</v>
      </c>
      <c r="N59" s="168">
        <v>10</v>
      </c>
      <c r="O59" s="168"/>
      <c r="P59" s="123">
        <f t="shared" si="2"/>
        <v>10</v>
      </c>
      <c r="Q59" s="165">
        <f t="shared" si="7"/>
        <v>30</v>
      </c>
      <c r="R59" s="165">
        <f t="shared" si="8"/>
        <v>0</v>
      </c>
      <c r="S59" s="123">
        <f t="shared" si="3"/>
        <v>30</v>
      </c>
      <c r="T59" s="123">
        <f t="shared" si="4"/>
        <v>40</v>
      </c>
      <c r="U59" s="168"/>
      <c r="V59" s="35"/>
      <c r="W59" s="35"/>
      <c r="X59" s="35"/>
      <c r="Y59" s="35"/>
      <c r="Z59" s="170">
        <f t="shared" si="5"/>
        <v>0</v>
      </c>
      <c r="AA59" s="170">
        <f t="shared" si="6"/>
        <v>40</v>
      </c>
    </row>
    <row r="60" spans="1:27" x14ac:dyDescent="0.25">
      <c r="A60" s="35">
        <v>58</v>
      </c>
      <c r="B60" s="112">
        <v>43537</v>
      </c>
      <c r="C60" s="23" t="s">
        <v>850</v>
      </c>
      <c r="D60" s="23" t="s">
        <v>650</v>
      </c>
      <c r="E60" s="23"/>
      <c r="F60" s="23" t="s">
        <v>851</v>
      </c>
      <c r="G60" s="23" t="s">
        <v>852</v>
      </c>
      <c r="H60" s="23" t="s">
        <v>853</v>
      </c>
      <c r="I60" s="165">
        <v>50</v>
      </c>
      <c r="J60" s="165">
        <v>75</v>
      </c>
      <c r="K60" s="123">
        <f t="shared" si="14"/>
        <v>125</v>
      </c>
      <c r="L60" s="123">
        <f t="shared" si="0"/>
        <v>16.25</v>
      </c>
      <c r="M60" s="123">
        <f t="shared" si="1"/>
        <v>108.75</v>
      </c>
      <c r="N60" s="168">
        <v>15</v>
      </c>
      <c r="O60" s="168">
        <v>14</v>
      </c>
      <c r="P60" s="123">
        <f t="shared" si="2"/>
        <v>29</v>
      </c>
      <c r="Q60" s="165">
        <f t="shared" si="7"/>
        <v>35</v>
      </c>
      <c r="R60" s="165">
        <f t="shared" si="8"/>
        <v>61</v>
      </c>
      <c r="S60" s="123">
        <f t="shared" si="3"/>
        <v>96</v>
      </c>
      <c r="T60" s="123">
        <f t="shared" si="4"/>
        <v>125</v>
      </c>
      <c r="U60" s="168"/>
      <c r="V60" s="35"/>
      <c r="W60" s="35"/>
      <c r="X60" s="35"/>
      <c r="Y60" s="35"/>
      <c r="Z60" s="170">
        <f t="shared" si="5"/>
        <v>0</v>
      </c>
      <c r="AA60" s="170">
        <f t="shared" si="6"/>
        <v>125</v>
      </c>
    </row>
    <row r="61" spans="1:27" x14ac:dyDescent="0.25">
      <c r="A61" s="35">
        <v>59</v>
      </c>
      <c r="B61" s="112">
        <v>43537</v>
      </c>
      <c r="C61" s="23" t="s">
        <v>854</v>
      </c>
      <c r="D61" s="23" t="s">
        <v>650</v>
      </c>
      <c r="E61" s="23"/>
      <c r="F61" s="23"/>
      <c r="G61" s="23"/>
      <c r="H61" s="23" t="s">
        <v>28</v>
      </c>
      <c r="I61" s="165">
        <v>5</v>
      </c>
      <c r="J61" s="165"/>
      <c r="K61" s="123">
        <f t="shared" si="14"/>
        <v>5</v>
      </c>
      <c r="L61" s="123">
        <f t="shared" si="0"/>
        <v>0.65</v>
      </c>
      <c r="M61" s="123">
        <f t="shared" si="1"/>
        <v>4.3499999999999996</v>
      </c>
      <c r="N61" s="168"/>
      <c r="O61" s="168"/>
      <c r="P61" s="123">
        <f t="shared" si="2"/>
        <v>0</v>
      </c>
      <c r="Q61" s="165">
        <f t="shared" si="7"/>
        <v>5</v>
      </c>
      <c r="R61" s="165">
        <f t="shared" si="8"/>
        <v>0</v>
      </c>
      <c r="S61" s="123">
        <f t="shared" si="3"/>
        <v>5</v>
      </c>
      <c r="T61" s="123">
        <f t="shared" si="4"/>
        <v>5</v>
      </c>
      <c r="U61" s="168"/>
      <c r="V61" s="35"/>
      <c r="W61" s="35"/>
      <c r="X61" s="35"/>
      <c r="Y61" s="35"/>
      <c r="Z61" s="170">
        <f t="shared" si="5"/>
        <v>0</v>
      </c>
      <c r="AA61" s="170">
        <f t="shared" si="6"/>
        <v>5</v>
      </c>
    </row>
    <row r="62" spans="1:27" ht="27" x14ac:dyDescent="0.25">
      <c r="A62" s="35">
        <v>60</v>
      </c>
      <c r="B62" s="112">
        <v>43537</v>
      </c>
      <c r="C62" s="23" t="s">
        <v>855</v>
      </c>
      <c r="D62" s="23" t="s">
        <v>650</v>
      </c>
      <c r="E62" s="23"/>
      <c r="F62" s="23"/>
      <c r="G62" s="23"/>
      <c r="H62" s="23" t="s">
        <v>856</v>
      </c>
      <c r="I62" s="165"/>
      <c r="J62" s="165">
        <v>225</v>
      </c>
      <c r="K62" s="123">
        <f t="shared" si="14"/>
        <v>225</v>
      </c>
      <c r="L62" s="123">
        <f t="shared" si="0"/>
        <v>29.25</v>
      </c>
      <c r="M62" s="123">
        <f t="shared" si="1"/>
        <v>195.75</v>
      </c>
      <c r="N62" s="168"/>
      <c r="O62" s="168"/>
      <c r="P62" s="123">
        <f t="shared" si="2"/>
        <v>0</v>
      </c>
      <c r="Q62" s="165">
        <f t="shared" si="7"/>
        <v>0</v>
      </c>
      <c r="R62" s="165">
        <f t="shared" si="8"/>
        <v>225</v>
      </c>
      <c r="S62" s="123">
        <f t="shared" si="3"/>
        <v>225</v>
      </c>
      <c r="T62" s="123">
        <f t="shared" si="4"/>
        <v>225</v>
      </c>
      <c r="U62" s="168"/>
      <c r="V62" s="35"/>
      <c r="W62" s="35"/>
      <c r="X62" s="35"/>
      <c r="Y62" s="35"/>
      <c r="Z62" s="170">
        <f t="shared" si="5"/>
        <v>0</v>
      </c>
      <c r="AA62" s="170">
        <f t="shared" si="6"/>
        <v>225</v>
      </c>
    </row>
    <row r="63" spans="1:27" ht="40.5" x14ac:dyDescent="0.25">
      <c r="A63" s="35">
        <v>61</v>
      </c>
      <c r="B63" s="112">
        <v>43537</v>
      </c>
      <c r="C63" s="23" t="s">
        <v>857</v>
      </c>
      <c r="D63" s="35" t="s">
        <v>650</v>
      </c>
      <c r="E63" s="35"/>
      <c r="F63" s="35" t="s">
        <v>858</v>
      </c>
      <c r="G63" s="35" t="s">
        <v>859</v>
      </c>
      <c r="H63" s="35" t="s">
        <v>860</v>
      </c>
      <c r="I63" s="168">
        <v>200</v>
      </c>
      <c r="J63" s="168">
        <v>275</v>
      </c>
      <c r="K63" s="123">
        <f t="shared" si="14"/>
        <v>475</v>
      </c>
      <c r="L63" s="123">
        <f t="shared" si="0"/>
        <v>61.75</v>
      </c>
      <c r="M63" s="123">
        <f t="shared" si="1"/>
        <v>413.25</v>
      </c>
      <c r="N63" s="168">
        <v>45</v>
      </c>
      <c r="O63" s="168"/>
      <c r="P63" s="123">
        <f t="shared" si="2"/>
        <v>45</v>
      </c>
      <c r="Q63" s="165">
        <f t="shared" si="7"/>
        <v>155</v>
      </c>
      <c r="R63" s="165">
        <f t="shared" si="8"/>
        <v>275</v>
      </c>
      <c r="S63" s="123">
        <f t="shared" si="3"/>
        <v>430</v>
      </c>
      <c r="T63" s="123">
        <f t="shared" si="4"/>
        <v>475</v>
      </c>
      <c r="U63" s="168"/>
      <c r="V63" s="35"/>
      <c r="W63" s="35"/>
      <c r="X63" s="35"/>
      <c r="Y63" s="35"/>
      <c r="Z63" s="170">
        <f t="shared" si="5"/>
        <v>0</v>
      </c>
      <c r="AA63" s="170">
        <f t="shared" si="6"/>
        <v>475</v>
      </c>
    </row>
    <row r="64" spans="1:27" x14ac:dyDescent="0.25">
      <c r="A64" s="35">
        <v>62</v>
      </c>
      <c r="B64" s="112">
        <v>43537</v>
      </c>
      <c r="C64" s="23" t="s">
        <v>861</v>
      </c>
      <c r="D64" s="35" t="s">
        <v>650</v>
      </c>
      <c r="E64" s="35"/>
      <c r="F64" s="35"/>
      <c r="G64" s="35" t="s">
        <v>862</v>
      </c>
      <c r="H64" s="35" t="s">
        <v>863</v>
      </c>
      <c r="I64" s="168">
        <v>45</v>
      </c>
      <c r="J64" s="168">
        <v>90</v>
      </c>
      <c r="K64" s="123">
        <f t="shared" si="14"/>
        <v>135</v>
      </c>
      <c r="L64" s="123">
        <f t="shared" si="0"/>
        <v>17.55</v>
      </c>
      <c r="M64" s="123">
        <f t="shared" si="1"/>
        <v>117.45</v>
      </c>
      <c r="N64" s="168">
        <v>15</v>
      </c>
      <c r="O64" s="168">
        <v>14</v>
      </c>
      <c r="P64" s="123">
        <f t="shared" si="2"/>
        <v>29</v>
      </c>
      <c r="Q64" s="165">
        <f t="shared" si="7"/>
        <v>30</v>
      </c>
      <c r="R64" s="165">
        <f t="shared" si="8"/>
        <v>76</v>
      </c>
      <c r="S64" s="123">
        <f t="shared" si="3"/>
        <v>106</v>
      </c>
      <c r="T64" s="123">
        <f t="shared" si="4"/>
        <v>135</v>
      </c>
      <c r="U64" s="168"/>
      <c r="V64" s="35"/>
      <c r="W64" s="35"/>
      <c r="X64" s="35"/>
      <c r="Y64" s="35"/>
      <c r="Z64" s="170">
        <f t="shared" si="5"/>
        <v>0</v>
      </c>
      <c r="AA64" s="170">
        <f t="shared" si="6"/>
        <v>135</v>
      </c>
    </row>
    <row r="65" spans="1:27" x14ac:dyDescent="0.25">
      <c r="A65" s="35">
        <v>63</v>
      </c>
      <c r="B65" s="161">
        <v>43537</v>
      </c>
      <c r="C65" s="35" t="s">
        <v>864</v>
      </c>
      <c r="D65" s="35" t="s">
        <v>650</v>
      </c>
      <c r="E65" s="35"/>
      <c r="F65" s="35" t="s">
        <v>865</v>
      </c>
      <c r="G65" s="35"/>
      <c r="H65" s="35" t="s">
        <v>28</v>
      </c>
      <c r="I65" s="168">
        <v>5</v>
      </c>
      <c r="J65" s="35"/>
      <c r="K65" s="167">
        <f>SUM(I65:J65)</f>
        <v>5</v>
      </c>
      <c r="L65" s="123">
        <f t="shared" si="0"/>
        <v>0.65</v>
      </c>
      <c r="M65" s="123">
        <f t="shared" si="1"/>
        <v>4.3499999999999996</v>
      </c>
      <c r="N65" s="168"/>
      <c r="O65" s="168"/>
      <c r="P65" s="123">
        <f t="shared" si="2"/>
        <v>0</v>
      </c>
      <c r="Q65" s="165">
        <f t="shared" si="7"/>
        <v>5</v>
      </c>
      <c r="R65" s="165">
        <f t="shared" si="8"/>
        <v>0</v>
      </c>
      <c r="S65" s="123">
        <f t="shared" si="3"/>
        <v>5</v>
      </c>
      <c r="T65" s="123">
        <f t="shared" si="4"/>
        <v>5</v>
      </c>
      <c r="U65" s="168"/>
      <c r="V65" s="35"/>
      <c r="W65" s="35"/>
      <c r="X65" s="35"/>
      <c r="Y65" s="35"/>
      <c r="Z65" s="170">
        <f t="shared" si="5"/>
        <v>0</v>
      </c>
      <c r="AA65" s="170">
        <f t="shared" si="6"/>
        <v>5</v>
      </c>
    </row>
    <row r="66" spans="1:27" ht="27" x14ac:dyDescent="0.25">
      <c r="A66" s="35">
        <v>64</v>
      </c>
      <c r="B66" s="161">
        <v>43537</v>
      </c>
      <c r="C66" s="35" t="s">
        <v>866</v>
      </c>
      <c r="D66" s="35" t="s">
        <v>650</v>
      </c>
      <c r="E66" s="35"/>
      <c r="F66" s="35"/>
      <c r="G66" s="35" t="s">
        <v>867</v>
      </c>
      <c r="H66" s="35" t="s">
        <v>868</v>
      </c>
      <c r="I66" s="168">
        <v>85</v>
      </c>
      <c r="J66" s="168"/>
      <c r="K66" s="168">
        <f>SUM(I66:J66)</f>
        <v>85</v>
      </c>
      <c r="L66" s="123">
        <f t="shared" si="0"/>
        <v>11.05</v>
      </c>
      <c r="M66" s="123">
        <f t="shared" si="1"/>
        <v>73.95</v>
      </c>
      <c r="N66" s="168">
        <v>15</v>
      </c>
      <c r="O66" s="168">
        <v>14</v>
      </c>
      <c r="P66" s="123">
        <f t="shared" si="2"/>
        <v>29</v>
      </c>
      <c r="Q66" s="165">
        <f t="shared" si="7"/>
        <v>70</v>
      </c>
      <c r="R66" s="165">
        <f t="shared" si="8"/>
        <v>-14</v>
      </c>
      <c r="S66" s="123">
        <f t="shared" si="3"/>
        <v>56</v>
      </c>
      <c r="T66" s="123">
        <f t="shared" si="4"/>
        <v>85</v>
      </c>
      <c r="U66" s="168"/>
      <c r="V66" s="35"/>
      <c r="W66" s="35"/>
      <c r="X66" s="35"/>
      <c r="Y66" s="35"/>
      <c r="Z66" s="170">
        <f t="shared" si="5"/>
        <v>0</v>
      </c>
      <c r="AA66" s="170">
        <f t="shared" si="6"/>
        <v>85</v>
      </c>
    </row>
    <row r="67" spans="1:27" x14ac:dyDescent="0.25">
      <c r="A67" s="35">
        <v>65</v>
      </c>
      <c r="B67" s="112">
        <v>43538</v>
      </c>
      <c r="C67" s="23" t="s">
        <v>869</v>
      </c>
      <c r="D67" s="23" t="s">
        <v>650</v>
      </c>
      <c r="E67" s="23"/>
      <c r="F67" s="23"/>
      <c r="G67" s="23"/>
      <c r="H67" s="23" t="s">
        <v>734</v>
      </c>
      <c r="I67" s="165">
        <v>3</v>
      </c>
      <c r="J67" s="165"/>
      <c r="K67" s="123">
        <f t="shared" ref="K67:K74" si="15">I67+J67</f>
        <v>3</v>
      </c>
      <c r="L67" s="123">
        <f t="shared" si="0"/>
        <v>0.39</v>
      </c>
      <c r="M67" s="123">
        <f t="shared" si="1"/>
        <v>2.61</v>
      </c>
      <c r="N67" s="168"/>
      <c r="O67" s="168"/>
      <c r="P67" s="123">
        <f t="shared" si="2"/>
        <v>0</v>
      </c>
      <c r="Q67" s="165">
        <f t="shared" si="7"/>
        <v>3</v>
      </c>
      <c r="R67" s="165">
        <f t="shared" si="8"/>
        <v>0</v>
      </c>
      <c r="S67" s="123">
        <f t="shared" si="3"/>
        <v>3</v>
      </c>
      <c r="T67" s="123">
        <f t="shared" si="4"/>
        <v>3</v>
      </c>
      <c r="U67" s="168"/>
      <c r="V67" s="35"/>
      <c r="W67" s="35"/>
      <c r="X67" s="35"/>
      <c r="Y67" s="35"/>
      <c r="Z67" s="170">
        <f t="shared" si="5"/>
        <v>0</v>
      </c>
      <c r="AA67" s="170">
        <f t="shared" si="6"/>
        <v>3</v>
      </c>
    </row>
    <row r="68" spans="1:27" x14ac:dyDescent="0.25">
      <c r="A68" s="35">
        <v>66</v>
      </c>
      <c r="B68" s="112">
        <v>43538</v>
      </c>
      <c r="C68" s="23" t="s">
        <v>833</v>
      </c>
      <c r="D68" s="23" t="s">
        <v>650</v>
      </c>
      <c r="E68" s="23"/>
      <c r="F68" s="23"/>
      <c r="G68" s="23"/>
      <c r="H68" s="23" t="s">
        <v>734</v>
      </c>
      <c r="I68" s="165">
        <v>3</v>
      </c>
      <c r="J68" s="165"/>
      <c r="K68" s="123">
        <f t="shared" si="15"/>
        <v>3</v>
      </c>
      <c r="L68" s="123">
        <f t="shared" si="0"/>
        <v>0.39</v>
      </c>
      <c r="M68" s="123">
        <f t="shared" si="1"/>
        <v>2.61</v>
      </c>
      <c r="N68" s="168"/>
      <c r="O68" s="168"/>
      <c r="P68" s="123">
        <f t="shared" si="2"/>
        <v>0</v>
      </c>
      <c r="Q68" s="165">
        <f t="shared" si="7"/>
        <v>3</v>
      </c>
      <c r="R68" s="165">
        <f t="shared" si="8"/>
        <v>0</v>
      </c>
      <c r="S68" s="123">
        <f t="shared" si="3"/>
        <v>3</v>
      </c>
      <c r="T68" s="123">
        <f t="shared" si="4"/>
        <v>3</v>
      </c>
      <c r="U68" s="168"/>
      <c r="V68" s="35"/>
      <c r="W68" s="35"/>
      <c r="X68" s="35"/>
      <c r="Y68" s="35"/>
      <c r="Z68" s="170">
        <f t="shared" si="5"/>
        <v>0</v>
      </c>
      <c r="AA68" s="170">
        <f t="shared" si="6"/>
        <v>3</v>
      </c>
    </row>
    <row r="69" spans="1:27" s="181" customFormat="1" ht="27" x14ac:dyDescent="0.25">
      <c r="A69" s="176">
        <v>67</v>
      </c>
      <c r="B69" s="178">
        <v>43538</v>
      </c>
      <c r="C69" s="176" t="s">
        <v>870</v>
      </c>
      <c r="D69" s="176" t="s">
        <v>650</v>
      </c>
      <c r="E69" s="176"/>
      <c r="F69" s="176"/>
      <c r="G69" s="176"/>
      <c r="H69" s="176" t="s">
        <v>871</v>
      </c>
      <c r="I69" s="179"/>
      <c r="J69" s="179">
        <v>35</v>
      </c>
      <c r="K69" s="177">
        <f t="shared" si="15"/>
        <v>35</v>
      </c>
      <c r="L69" s="177">
        <f t="shared" ref="L69:L132" si="16">K69*13%</f>
        <v>4.55</v>
      </c>
      <c r="M69" s="177">
        <f t="shared" ref="M69:M132" si="17">K69-L69</f>
        <v>30.45</v>
      </c>
      <c r="N69" s="179"/>
      <c r="O69" s="179"/>
      <c r="P69" s="177">
        <f t="shared" ref="P69:P166" si="18">N69+O69</f>
        <v>0</v>
      </c>
      <c r="Q69" s="179">
        <f t="shared" si="7"/>
        <v>0</v>
      </c>
      <c r="R69" s="179">
        <f t="shared" si="8"/>
        <v>35</v>
      </c>
      <c r="S69" s="177">
        <f t="shared" ref="S69:S90" si="19">Q69+R69</f>
        <v>35</v>
      </c>
      <c r="T69" s="177">
        <f t="shared" ref="T69:T90" si="20">P69+S69</f>
        <v>35</v>
      </c>
      <c r="U69" s="179"/>
      <c r="V69" s="176"/>
      <c r="W69" s="176"/>
      <c r="X69" s="176"/>
      <c r="Y69" s="176"/>
      <c r="Z69" s="180">
        <f t="shared" ref="Z69:Z90" si="21">U69+W69</f>
        <v>0</v>
      </c>
      <c r="AA69" s="180">
        <f t="shared" ref="AA69:AA90" si="22">T69-Z69</f>
        <v>35</v>
      </c>
    </row>
    <row r="70" spans="1:27" ht="27" x14ac:dyDescent="0.25">
      <c r="A70" s="35">
        <v>68</v>
      </c>
      <c r="B70" s="112">
        <v>43539</v>
      </c>
      <c r="C70" s="23" t="s">
        <v>872</v>
      </c>
      <c r="D70" s="23" t="s">
        <v>650</v>
      </c>
      <c r="E70" s="23"/>
      <c r="F70" s="23" t="s">
        <v>873</v>
      </c>
      <c r="G70" s="23" t="s">
        <v>874</v>
      </c>
      <c r="H70" s="23" t="s">
        <v>701</v>
      </c>
      <c r="I70" s="165">
        <v>135</v>
      </c>
      <c r="J70" s="165">
        <v>90</v>
      </c>
      <c r="K70" s="123">
        <f t="shared" si="15"/>
        <v>225</v>
      </c>
      <c r="L70" s="123">
        <f t="shared" si="16"/>
        <v>29.25</v>
      </c>
      <c r="M70" s="123">
        <f t="shared" si="17"/>
        <v>195.75</v>
      </c>
      <c r="N70" s="168">
        <v>10</v>
      </c>
      <c r="O70" s="168">
        <v>14</v>
      </c>
      <c r="P70" s="123">
        <f t="shared" si="18"/>
        <v>24</v>
      </c>
      <c r="Q70" s="165">
        <f t="shared" ref="Q70:Q133" si="23">I70-N70</f>
        <v>125</v>
      </c>
      <c r="R70" s="165">
        <f t="shared" ref="R70:R133" si="24">J70-O70</f>
        <v>76</v>
      </c>
      <c r="S70" s="123">
        <f t="shared" si="19"/>
        <v>201</v>
      </c>
      <c r="T70" s="123">
        <f t="shared" si="20"/>
        <v>225</v>
      </c>
      <c r="U70" s="168"/>
      <c r="V70" s="35"/>
      <c r="W70" s="35"/>
      <c r="X70" s="35"/>
      <c r="Y70" s="35"/>
      <c r="Z70" s="170">
        <f t="shared" si="21"/>
        <v>0</v>
      </c>
      <c r="AA70" s="170">
        <f t="shared" si="22"/>
        <v>225</v>
      </c>
    </row>
    <row r="71" spans="1:27" x14ac:dyDescent="0.25">
      <c r="A71" s="35">
        <v>69</v>
      </c>
      <c r="B71" s="112">
        <v>43539</v>
      </c>
      <c r="C71" s="23" t="s">
        <v>875</v>
      </c>
      <c r="D71" s="23" t="s">
        <v>650</v>
      </c>
      <c r="E71" s="23"/>
      <c r="F71" s="23"/>
      <c r="G71" s="23"/>
      <c r="H71" s="23" t="s">
        <v>876</v>
      </c>
      <c r="I71" s="165">
        <v>10</v>
      </c>
      <c r="J71" s="165"/>
      <c r="K71" s="123">
        <f t="shared" si="15"/>
        <v>10</v>
      </c>
      <c r="L71" s="123">
        <f t="shared" si="16"/>
        <v>1.3</v>
      </c>
      <c r="M71" s="123">
        <f t="shared" si="17"/>
        <v>8.6999999999999993</v>
      </c>
      <c r="N71" s="168"/>
      <c r="O71" s="168"/>
      <c r="P71" s="123">
        <f t="shared" si="18"/>
        <v>0</v>
      </c>
      <c r="Q71" s="165">
        <f t="shared" si="23"/>
        <v>10</v>
      </c>
      <c r="R71" s="165">
        <f t="shared" si="24"/>
        <v>0</v>
      </c>
      <c r="S71" s="123">
        <f t="shared" si="19"/>
        <v>10</v>
      </c>
      <c r="T71" s="123">
        <f t="shared" si="20"/>
        <v>10</v>
      </c>
      <c r="U71" s="168"/>
      <c r="V71" s="35"/>
      <c r="W71" s="35"/>
      <c r="X71" s="35"/>
      <c r="Y71" s="35"/>
      <c r="Z71" s="170">
        <f t="shared" si="21"/>
        <v>0</v>
      </c>
      <c r="AA71" s="170">
        <f t="shared" si="22"/>
        <v>10</v>
      </c>
    </row>
    <row r="72" spans="1:27" ht="27" x14ac:dyDescent="0.25">
      <c r="A72" s="35">
        <v>70</v>
      </c>
      <c r="B72" s="112">
        <v>43539</v>
      </c>
      <c r="C72" s="23" t="s">
        <v>877</v>
      </c>
      <c r="D72" s="23" t="s">
        <v>650</v>
      </c>
      <c r="E72" s="23"/>
      <c r="F72" s="23" t="s">
        <v>878</v>
      </c>
      <c r="G72" s="23" t="s">
        <v>879</v>
      </c>
      <c r="H72" s="23" t="s">
        <v>868</v>
      </c>
      <c r="I72" s="165">
        <v>25</v>
      </c>
      <c r="J72" s="165">
        <v>75</v>
      </c>
      <c r="K72" s="123">
        <f t="shared" si="15"/>
        <v>100</v>
      </c>
      <c r="L72" s="123">
        <f t="shared" si="16"/>
        <v>13</v>
      </c>
      <c r="M72" s="123">
        <f t="shared" si="17"/>
        <v>87</v>
      </c>
      <c r="N72" s="168">
        <v>10</v>
      </c>
      <c r="O72" s="168">
        <v>14</v>
      </c>
      <c r="P72" s="123">
        <f t="shared" si="18"/>
        <v>24</v>
      </c>
      <c r="Q72" s="165">
        <f t="shared" si="23"/>
        <v>15</v>
      </c>
      <c r="R72" s="165">
        <f t="shared" si="24"/>
        <v>61</v>
      </c>
      <c r="S72" s="123">
        <f t="shared" si="19"/>
        <v>76</v>
      </c>
      <c r="T72" s="123">
        <f t="shared" si="20"/>
        <v>100</v>
      </c>
      <c r="U72" s="168"/>
      <c r="V72" s="35"/>
      <c r="W72" s="35"/>
      <c r="X72" s="35"/>
      <c r="Y72" s="35"/>
      <c r="Z72" s="170">
        <f t="shared" si="21"/>
        <v>0</v>
      </c>
      <c r="AA72" s="170">
        <f t="shared" si="22"/>
        <v>100</v>
      </c>
    </row>
    <row r="73" spans="1:27" ht="27" x14ac:dyDescent="0.25">
      <c r="A73" s="35">
        <v>71</v>
      </c>
      <c r="B73" s="112" t="s">
        <v>880</v>
      </c>
      <c r="C73" s="23" t="s">
        <v>881</v>
      </c>
      <c r="D73" s="35" t="s">
        <v>650</v>
      </c>
      <c r="E73" s="35"/>
      <c r="F73" s="35" t="s">
        <v>882</v>
      </c>
      <c r="G73" s="35" t="s">
        <v>883</v>
      </c>
      <c r="H73" s="35" t="s">
        <v>523</v>
      </c>
      <c r="I73" s="168">
        <v>25</v>
      </c>
      <c r="J73" s="168">
        <v>75</v>
      </c>
      <c r="K73" s="123">
        <f t="shared" si="15"/>
        <v>100</v>
      </c>
      <c r="L73" s="123">
        <f t="shared" si="16"/>
        <v>13</v>
      </c>
      <c r="M73" s="123">
        <f t="shared" si="17"/>
        <v>87</v>
      </c>
      <c r="N73" s="168">
        <v>10</v>
      </c>
      <c r="O73" s="168">
        <v>14</v>
      </c>
      <c r="P73" s="123">
        <f t="shared" si="18"/>
        <v>24</v>
      </c>
      <c r="Q73" s="165">
        <f t="shared" si="23"/>
        <v>15</v>
      </c>
      <c r="R73" s="165">
        <f t="shared" si="24"/>
        <v>61</v>
      </c>
      <c r="S73" s="123">
        <f t="shared" si="19"/>
        <v>76</v>
      </c>
      <c r="T73" s="123">
        <f t="shared" si="20"/>
        <v>100</v>
      </c>
      <c r="U73" s="168"/>
      <c r="V73" s="35"/>
      <c r="W73" s="35"/>
      <c r="X73" s="35"/>
      <c r="Y73" s="35"/>
      <c r="Z73" s="170">
        <f t="shared" si="21"/>
        <v>0</v>
      </c>
      <c r="AA73" s="170">
        <f t="shared" si="22"/>
        <v>100</v>
      </c>
    </row>
    <row r="74" spans="1:27" ht="40.5" x14ac:dyDescent="0.25">
      <c r="A74" s="35">
        <v>72</v>
      </c>
      <c r="B74" s="112">
        <v>43539</v>
      </c>
      <c r="C74" s="23" t="s">
        <v>884</v>
      </c>
      <c r="D74" s="35" t="s">
        <v>650</v>
      </c>
      <c r="E74" s="35"/>
      <c r="F74" s="35" t="s">
        <v>885</v>
      </c>
      <c r="G74" s="35" t="s">
        <v>886</v>
      </c>
      <c r="H74" s="35" t="s">
        <v>860</v>
      </c>
      <c r="I74" s="168">
        <v>225</v>
      </c>
      <c r="J74" s="168">
        <v>300</v>
      </c>
      <c r="K74" s="123">
        <f t="shared" si="15"/>
        <v>525</v>
      </c>
      <c r="L74" s="123">
        <f t="shared" si="16"/>
        <v>68.25</v>
      </c>
      <c r="M74" s="123">
        <f t="shared" si="17"/>
        <v>456.75</v>
      </c>
      <c r="N74" s="168">
        <v>60</v>
      </c>
      <c r="O74" s="168"/>
      <c r="P74" s="123">
        <f t="shared" si="18"/>
        <v>60</v>
      </c>
      <c r="Q74" s="165">
        <f t="shared" si="23"/>
        <v>165</v>
      </c>
      <c r="R74" s="165">
        <f t="shared" si="24"/>
        <v>300</v>
      </c>
      <c r="S74" s="123">
        <f t="shared" si="19"/>
        <v>465</v>
      </c>
      <c r="T74" s="123">
        <f t="shared" si="20"/>
        <v>525</v>
      </c>
      <c r="U74" s="168"/>
      <c r="V74" s="35"/>
      <c r="W74" s="35"/>
      <c r="X74" s="35"/>
      <c r="Y74" s="35"/>
      <c r="Z74" s="170">
        <f t="shared" si="21"/>
        <v>0</v>
      </c>
      <c r="AA74" s="170">
        <f t="shared" si="22"/>
        <v>525</v>
      </c>
    </row>
    <row r="75" spans="1:27" ht="27" x14ac:dyDescent="0.25">
      <c r="A75" s="35">
        <v>73</v>
      </c>
      <c r="B75" s="172">
        <v>43539</v>
      </c>
      <c r="C75" s="169" t="s">
        <v>887</v>
      </c>
      <c r="D75" s="169" t="s">
        <v>650</v>
      </c>
      <c r="E75" s="169"/>
      <c r="F75" s="169" t="s">
        <v>888</v>
      </c>
      <c r="G75" s="169" t="s">
        <v>889</v>
      </c>
      <c r="H75" s="169" t="s">
        <v>890</v>
      </c>
      <c r="I75" s="171">
        <v>180</v>
      </c>
      <c r="J75" s="171">
        <v>200</v>
      </c>
      <c r="K75" s="173">
        <f>SUM(I75:J75)</f>
        <v>380</v>
      </c>
      <c r="L75" s="123">
        <f t="shared" si="16"/>
        <v>49.4</v>
      </c>
      <c r="M75" s="123">
        <f t="shared" si="17"/>
        <v>330.6</v>
      </c>
      <c r="N75" s="168">
        <v>45</v>
      </c>
      <c r="O75" s="168"/>
      <c r="P75" s="123">
        <f t="shared" si="18"/>
        <v>45</v>
      </c>
      <c r="Q75" s="165">
        <f t="shared" si="23"/>
        <v>135</v>
      </c>
      <c r="R75" s="165">
        <f t="shared" si="24"/>
        <v>200</v>
      </c>
      <c r="S75" s="123">
        <f t="shared" si="19"/>
        <v>335</v>
      </c>
      <c r="T75" s="123">
        <f t="shared" si="20"/>
        <v>380</v>
      </c>
      <c r="U75" s="168"/>
      <c r="V75" s="35"/>
      <c r="W75" s="35"/>
      <c r="X75" s="35"/>
      <c r="Y75" s="35"/>
      <c r="Z75" s="170">
        <f t="shared" si="21"/>
        <v>0</v>
      </c>
      <c r="AA75" s="170">
        <f t="shared" si="22"/>
        <v>380</v>
      </c>
    </row>
    <row r="76" spans="1:27" ht="40.5" x14ac:dyDescent="0.25">
      <c r="A76" s="35">
        <v>74</v>
      </c>
      <c r="B76" s="112">
        <v>43540</v>
      </c>
      <c r="C76" s="23" t="s">
        <v>891</v>
      </c>
      <c r="D76" s="23" t="s">
        <v>650</v>
      </c>
      <c r="E76" s="23"/>
      <c r="F76" s="23" t="s">
        <v>892</v>
      </c>
      <c r="G76" s="23" t="s">
        <v>893</v>
      </c>
      <c r="H76" s="23" t="s">
        <v>894</v>
      </c>
      <c r="I76" s="165">
        <v>10</v>
      </c>
      <c r="J76" s="165">
        <v>225</v>
      </c>
      <c r="K76" s="123">
        <f>I76+J76</f>
        <v>235</v>
      </c>
      <c r="L76" s="123">
        <f t="shared" si="16"/>
        <v>30.55</v>
      </c>
      <c r="M76" s="123">
        <f t="shared" si="17"/>
        <v>204.45</v>
      </c>
      <c r="N76" s="168">
        <v>10</v>
      </c>
      <c r="O76" s="168"/>
      <c r="P76" s="123">
        <f t="shared" si="18"/>
        <v>10</v>
      </c>
      <c r="Q76" s="165">
        <f t="shared" si="23"/>
        <v>0</v>
      </c>
      <c r="R76" s="165">
        <f t="shared" si="24"/>
        <v>225</v>
      </c>
      <c r="S76" s="123">
        <f t="shared" si="19"/>
        <v>225</v>
      </c>
      <c r="T76" s="123">
        <f t="shared" si="20"/>
        <v>235</v>
      </c>
      <c r="U76" s="168"/>
      <c r="V76" s="35"/>
      <c r="W76" s="35"/>
      <c r="X76" s="35"/>
      <c r="Y76" s="35"/>
      <c r="Z76" s="170">
        <f t="shared" si="21"/>
        <v>0</v>
      </c>
      <c r="AA76" s="170">
        <f t="shared" si="22"/>
        <v>235</v>
      </c>
    </row>
    <row r="77" spans="1:27" x14ac:dyDescent="0.25">
      <c r="A77" s="35">
        <v>75</v>
      </c>
      <c r="B77" s="112">
        <v>43540</v>
      </c>
      <c r="C77" s="23" t="s">
        <v>895</v>
      </c>
      <c r="D77" s="23" t="s">
        <v>650</v>
      </c>
      <c r="E77" s="23"/>
      <c r="F77" s="23" t="s">
        <v>728</v>
      </c>
      <c r="G77" s="23" t="s">
        <v>896</v>
      </c>
      <c r="H77" s="23" t="s">
        <v>863</v>
      </c>
      <c r="I77" s="165">
        <v>50</v>
      </c>
      <c r="J77" s="165">
        <v>75</v>
      </c>
      <c r="K77" s="123">
        <f>I77+J77</f>
        <v>125</v>
      </c>
      <c r="L77" s="123">
        <f t="shared" si="16"/>
        <v>16.25</v>
      </c>
      <c r="M77" s="123">
        <f t="shared" si="17"/>
        <v>108.75</v>
      </c>
      <c r="N77" s="168">
        <v>15</v>
      </c>
      <c r="O77" s="168">
        <v>14</v>
      </c>
      <c r="P77" s="123">
        <f t="shared" si="18"/>
        <v>29</v>
      </c>
      <c r="Q77" s="165">
        <f t="shared" si="23"/>
        <v>35</v>
      </c>
      <c r="R77" s="165">
        <f t="shared" si="24"/>
        <v>61</v>
      </c>
      <c r="S77" s="123">
        <f t="shared" si="19"/>
        <v>96</v>
      </c>
      <c r="T77" s="123">
        <f t="shared" si="20"/>
        <v>125</v>
      </c>
      <c r="U77" s="168"/>
      <c r="V77" s="35"/>
      <c r="W77" s="35"/>
      <c r="X77" s="35"/>
      <c r="Y77" s="35"/>
      <c r="Z77" s="170">
        <f t="shared" si="21"/>
        <v>0</v>
      </c>
      <c r="AA77" s="170">
        <f t="shared" si="22"/>
        <v>125</v>
      </c>
    </row>
    <row r="78" spans="1:27" ht="27" x14ac:dyDescent="0.25">
      <c r="A78" s="35">
        <v>76</v>
      </c>
      <c r="B78" s="112">
        <v>43540</v>
      </c>
      <c r="C78" s="23" t="s">
        <v>897</v>
      </c>
      <c r="D78" s="23" t="s">
        <v>650</v>
      </c>
      <c r="E78" s="23"/>
      <c r="F78" s="23" t="s">
        <v>898</v>
      </c>
      <c r="G78" s="23" t="s">
        <v>899</v>
      </c>
      <c r="H78" s="23" t="s">
        <v>900</v>
      </c>
      <c r="I78" s="165">
        <v>65</v>
      </c>
      <c r="J78" s="165">
        <v>215</v>
      </c>
      <c r="K78" s="177">
        <f>I78+J78</f>
        <v>280</v>
      </c>
      <c r="L78" s="123">
        <f t="shared" si="16"/>
        <v>36.4</v>
      </c>
      <c r="M78" s="123">
        <f t="shared" si="17"/>
        <v>243.6</v>
      </c>
      <c r="N78" s="168">
        <v>15</v>
      </c>
      <c r="O78" s="168"/>
      <c r="P78" s="123">
        <f t="shared" si="18"/>
        <v>15</v>
      </c>
      <c r="Q78" s="165">
        <f t="shared" si="23"/>
        <v>50</v>
      </c>
      <c r="R78" s="165">
        <f t="shared" si="24"/>
        <v>215</v>
      </c>
      <c r="S78" s="123">
        <f t="shared" si="19"/>
        <v>265</v>
      </c>
      <c r="T78" s="123">
        <f t="shared" si="20"/>
        <v>280</v>
      </c>
      <c r="U78" s="168"/>
      <c r="V78" s="35"/>
      <c r="W78" s="35"/>
      <c r="X78" s="35"/>
      <c r="Y78" s="35"/>
      <c r="Z78" s="170">
        <f t="shared" si="21"/>
        <v>0</v>
      </c>
      <c r="AA78" s="170">
        <f t="shared" si="22"/>
        <v>280</v>
      </c>
    </row>
    <row r="79" spans="1:27" x14ac:dyDescent="0.25">
      <c r="A79" s="35">
        <v>77</v>
      </c>
      <c r="B79" s="112">
        <v>43540</v>
      </c>
      <c r="C79" s="23" t="s">
        <v>901</v>
      </c>
      <c r="D79" s="35" t="s">
        <v>650</v>
      </c>
      <c r="E79" s="35"/>
      <c r="F79" s="35"/>
      <c r="G79" s="35"/>
      <c r="H79" s="35" t="s">
        <v>863</v>
      </c>
      <c r="I79" s="168"/>
      <c r="J79" s="168">
        <v>75</v>
      </c>
      <c r="K79" s="123">
        <f>I79+J79</f>
        <v>75</v>
      </c>
      <c r="L79" s="123">
        <f t="shared" si="16"/>
        <v>9.75</v>
      </c>
      <c r="M79" s="123">
        <f t="shared" si="17"/>
        <v>65.25</v>
      </c>
      <c r="N79" s="168"/>
      <c r="O79" s="168">
        <v>14</v>
      </c>
      <c r="P79" s="123">
        <f t="shared" si="18"/>
        <v>14</v>
      </c>
      <c r="Q79" s="165">
        <f t="shared" si="23"/>
        <v>0</v>
      </c>
      <c r="R79" s="165">
        <f t="shared" si="24"/>
        <v>61</v>
      </c>
      <c r="S79" s="123">
        <f t="shared" si="19"/>
        <v>61</v>
      </c>
      <c r="T79" s="123">
        <f t="shared" si="20"/>
        <v>75</v>
      </c>
      <c r="U79" s="168"/>
      <c r="V79" s="35"/>
      <c r="W79" s="35"/>
      <c r="X79" s="35"/>
      <c r="Y79" s="35"/>
      <c r="Z79" s="170">
        <f t="shared" si="21"/>
        <v>0</v>
      </c>
      <c r="AA79" s="170">
        <f t="shared" si="22"/>
        <v>75</v>
      </c>
    </row>
    <row r="80" spans="1:27" x14ac:dyDescent="0.25">
      <c r="A80" s="35">
        <v>78</v>
      </c>
      <c r="B80" s="112">
        <v>43540</v>
      </c>
      <c r="C80" s="23" t="s">
        <v>902</v>
      </c>
      <c r="D80" s="35" t="s">
        <v>650</v>
      </c>
      <c r="E80" s="35"/>
      <c r="F80" s="35" t="s">
        <v>903</v>
      </c>
      <c r="G80" s="35" t="s">
        <v>904</v>
      </c>
      <c r="H80" s="35" t="s">
        <v>905</v>
      </c>
      <c r="I80" s="168">
        <v>150</v>
      </c>
      <c r="J80" s="168">
        <v>140</v>
      </c>
      <c r="K80" s="123">
        <f>I80+J80</f>
        <v>290</v>
      </c>
      <c r="L80" s="123">
        <f t="shared" si="16"/>
        <v>37.700000000000003</v>
      </c>
      <c r="M80" s="123">
        <f t="shared" si="17"/>
        <v>252.3</v>
      </c>
      <c r="N80" s="168">
        <v>25</v>
      </c>
      <c r="O80" s="168"/>
      <c r="P80" s="123">
        <f t="shared" si="18"/>
        <v>25</v>
      </c>
      <c r="Q80" s="165">
        <f t="shared" si="23"/>
        <v>125</v>
      </c>
      <c r="R80" s="165">
        <f t="shared" si="24"/>
        <v>140</v>
      </c>
      <c r="S80" s="123">
        <f t="shared" si="19"/>
        <v>265</v>
      </c>
      <c r="T80" s="123">
        <f t="shared" si="20"/>
        <v>290</v>
      </c>
      <c r="U80" s="168"/>
      <c r="V80" s="35"/>
      <c r="W80" s="35"/>
      <c r="X80" s="35"/>
      <c r="Y80" s="35"/>
      <c r="Z80" s="170">
        <f t="shared" si="21"/>
        <v>0</v>
      </c>
      <c r="AA80" s="170">
        <f t="shared" si="22"/>
        <v>290</v>
      </c>
    </row>
    <row r="81" spans="1:27" ht="27" x14ac:dyDescent="0.25">
      <c r="A81" s="35">
        <v>79</v>
      </c>
      <c r="B81" s="161">
        <v>43540</v>
      </c>
      <c r="C81" s="35" t="s">
        <v>906</v>
      </c>
      <c r="D81" s="35" t="s">
        <v>650</v>
      </c>
      <c r="E81" s="168"/>
      <c r="F81" s="35"/>
      <c r="G81" s="35"/>
      <c r="H81" s="35" t="s">
        <v>75</v>
      </c>
      <c r="I81" s="168">
        <v>5</v>
      </c>
      <c r="J81" s="169"/>
      <c r="K81" s="173">
        <f>SUM(I81:J81)</f>
        <v>5</v>
      </c>
      <c r="L81" s="123">
        <f t="shared" si="16"/>
        <v>0.65</v>
      </c>
      <c r="M81" s="123">
        <f t="shared" si="17"/>
        <v>4.3499999999999996</v>
      </c>
      <c r="N81" s="168">
        <v>3.75</v>
      </c>
      <c r="O81" s="168"/>
      <c r="P81" s="123">
        <f t="shared" si="18"/>
        <v>3.75</v>
      </c>
      <c r="Q81" s="165">
        <f t="shared" si="23"/>
        <v>1.25</v>
      </c>
      <c r="R81" s="165">
        <f t="shared" si="24"/>
        <v>0</v>
      </c>
      <c r="S81" s="123">
        <f t="shared" si="19"/>
        <v>1.25</v>
      </c>
      <c r="T81" s="123">
        <f t="shared" si="20"/>
        <v>5</v>
      </c>
      <c r="U81" s="168"/>
      <c r="V81" s="35"/>
      <c r="W81" s="35"/>
      <c r="X81" s="35"/>
      <c r="Y81" s="35"/>
      <c r="Z81" s="170">
        <f t="shared" si="21"/>
        <v>0</v>
      </c>
      <c r="AA81" s="170">
        <f t="shared" si="22"/>
        <v>5</v>
      </c>
    </row>
    <row r="82" spans="1:27" x14ac:dyDescent="0.25">
      <c r="A82" s="35">
        <v>80</v>
      </c>
      <c r="B82" s="172">
        <v>43540</v>
      </c>
      <c r="C82" s="169" t="s">
        <v>907</v>
      </c>
      <c r="D82" s="169" t="s">
        <v>650</v>
      </c>
      <c r="E82" s="171"/>
      <c r="F82" s="169"/>
      <c r="G82" s="169"/>
      <c r="H82" s="169" t="s">
        <v>724</v>
      </c>
      <c r="I82" s="171">
        <v>5</v>
      </c>
      <c r="J82" s="169"/>
      <c r="K82" s="171">
        <f>SUM(I82:J82)</f>
        <v>5</v>
      </c>
      <c r="L82" s="123">
        <f t="shared" si="16"/>
        <v>0.65</v>
      </c>
      <c r="M82" s="123">
        <f t="shared" si="17"/>
        <v>4.3499999999999996</v>
      </c>
      <c r="N82" s="168"/>
      <c r="O82" s="168"/>
      <c r="P82" s="123">
        <f t="shared" si="18"/>
        <v>0</v>
      </c>
      <c r="Q82" s="165">
        <f t="shared" si="23"/>
        <v>5</v>
      </c>
      <c r="R82" s="165">
        <f t="shared" si="24"/>
        <v>0</v>
      </c>
      <c r="S82" s="123">
        <f t="shared" si="19"/>
        <v>5</v>
      </c>
      <c r="T82" s="123">
        <f t="shared" si="20"/>
        <v>5</v>
      </c>
      <c r="U82" s="168"/>
      <c r="V82" s="35"/>
      <c r="W82" s="35"/>
      <c r="X82" s="35"/>
      <c r="Y82" s="35"/>
      <c r="Z82" s="170">
        <f t="shared" si="21"/>
        <v>0</v>
      </c>
      <c r="AA82" s="170">
        <f t="shared" si="22"/>
        <v>5</v>
      </c>
    </row>
    <row r="83" spans="1:27" x14ac:dyDescent="0.25">
      <c r="A83" s="35">
        <v>81</v>
      </c>
      <c r="B83" s="112">
        <v>43541</v>
      </c>
      <c r="C83" s="23" t="s">
        <v>910</v>
      </c>
      <c r="D83" s="23" t="s">
        <v>650</v>
      </c>
      <c r="E83" s="23"/>
      <c r="F83" s="23" t="s">
        <v>911</v>
      </c>
      <c r="G83" s="23"/>
      <c r="H83" s="23" t="s">
        <v>912</v>
      </c>
      <c r="I83" s="165"/>
      <c r="J83" s="165">
        <v>20</v>
      </c>
      <c r="K83" s="123">
        <f>I83+J83</f>
        <v>20</v>
      </c>
      <c r="L83" s="123">
        <f t="shared" si="16"/>
        <v>2.6</v>
      </c>
      <c r="M83" s="123">
        <f t="shared" si="17"/>
        <v>17.399999999999999</v>
      </c>
      <c r="N83" s="168"/>
      <c r="O83" s="168"/>
      <c r="P83" s="123">
        <f t="shared" si="18"/>
        <v>0</v>
      </c>
      <c r="Q83" s="165">
        <f t="shared" si="23"/>
        <v>0</v>
      </c>
      <c r="R83" s="165">
        <f t="shared" si="24"/>
        <v>20</v>
      </c>
      <c r="S83" s="123">
        <f t="shared" si="19"/>
        <v>20</v>
      </c>
      <c r="T83" s="123">
        <f t="shared" si="20"/>
        <v>20</v>
      </c>
      <c r="U83" s="168"/>
      <c r="V83" s="35"/>
      <c r="W83" s="35"/>
      <c r="X83" s="35"/>
      <c r="Y83" s="35"/>
      <c r="Z83" s="170">
        <f t="shared" si="21"/>
        <v>0</v>
      </c>
      <c r="AA83" s="170">
        <f t="shared" si="22"/>
        <v>20</v>
      </c>
    </row>
    <row r="84" spans="1:27" x14ac:dyDescent="0.25">
      <c r="A84" s="35">
        <v>82</v>
      </c>
      <c r="B84" s="112">
        <v>43541</v>
      </c>
      <c r="C84" s="23" t="s">
        <v>913</v>
      </c>
      <c r="D84" s="23" t="s">
        <v>650</v>
      </c>
      <c r="E84" s="23"/>
      <c r="F84" s="23"/>
      <c r="G84" s="23" t="s">
        <v>117</v>
      </c>
      <c r="H84" s="23" t="s">
        <v>230</v>
      </c>
      <c r="I84" s="165">
        <v>200</v>
      </c>
      <c r="J84" s="165">
        <v>75</v>
      </c>
      <c r="K84" s="123">
        <f>I84+J84</f>
        <v>275</v>
      </c>
      <c r="L84" s="123">
        <f t="shared" si="16"/>
        <v>35.75</v>
      </c>
      <c r="M84" s="123">
        <f t="shared" si="17"/>
        <v>239.25</v>
      </c>
      <c r="N84" s="168">
        <v>45</v>
      </c>
      <c r="O84" s="168">
        <v>14</v>
      </c>
      <c r="P84" s="123">
        <f t="shared" si="18"/>
        <v>59</v>
      </c>
      <c r="Q84" s="165">
        <f t="shared" si="23"/>
        <v>155</v>
      </c>
      <c r="R84" s="165">
        <f t="shared" si="24"/>
        <v>61</v>
      </c>
      <c r="S84" s="123">
        <f t="shared" si="19"/>
        <v>216</v>
      </c>
      <c r="T84" s="123">
        <f t="shared" si="20"/>
        <v>275</v>
      </c>
      <c r="U84" s="168"/>
      <c r="V84" s="35"/>
      <c r="W84" s="35"/>
      <c r="X84" s="35"/>
      <c r="Y84" s="35"/>
      <c r="Z84" s="170">
        <f t="shared" si="21"/>
        <v>0</v>
      </c>
      <c r="AA84" s="170">
        <f t="shared" si="22"/>
        <v>275</v>
      </c>
    </row>
    <row r="85" spans="1:27" ht="27" x14ac:dyDescent="0.25">
      <c r="A85" s="35">
        <v>83</v>
      </c>
      <c r="B85" s="112">
        <v>43541</v>
      </c>
      <c r="C85" s="23" t="s">
        <v>914</v>
      </c>
      <c r="D85" s="23" t="s">
        <v>650</v>
      </c>
      <c r="E85" s="23"/>
      <c r="F85" s="23"/>
      <c r="G85" s="23" t="s">
        <v>915</v>
      </c>
      <c r="H85" s="23" t="s">
        <v>653</v>
      </c>
      <c r="I85" s="165">
        <v>30</v>
      </c>
      <c r="J85" s="165">
        <v>90</v>
      </c>
      <c r="K85" s="123">
        <f>I85+J85</f>
        <v>120</v>
      </c>
      <c r="L85" s="123">
        <f t="shared" si="16"/>
        <v>15.600000000000001</v>
      </c>
      <c r="M85" s="123">
        <f t="shared" si="17"/>
        <v>104.4</v>
      </c>
      <c r="N85" s="168">
        <v>10</v>
      </c>
      <c r="O85" s="168"/>
      <c r="P85" s="123">
        <f t="shared" si="18"/>
        <v>10</v>
      </c>
      <c r="Q85" s="165">
        <f t="shared" si="23"/>
        <v>20</v>
      </c>
      <c r="R85" s="165">
        <f t="shared" si="24"/>
        <v>90</v>
      </c>
      <c r="S85" s="123">
        <f t="shared" si="19"/>
        <v>110</v>
      </c>
      <c r="T85" s="123">
        <f t="shared" si="20"/>
        <v>120</v>
      </c>
      <c r="U85" s="168"/>
      <c r="V85" s="35"/>
      <c r="W85" s="35"/>
      <c r="X85" s="35"/>
      <c r="Y85" s="35"/>
      <c r="Z85" s="170">
        <f t="shared" si="21"/>
        <v>0</v>
      </c>
      <c r="AA85" s="170">
        <f t="shared" si="22"/>
        <v>120</v>
      </c>
    </row>
    <row r="86" spans="1:27" ht="27" x14ac:dyDescent="0.25">
      <c r="A86" s="35">
        <v>84</v>
      </c>
      <c r="B86" s="112">
        <v>43541</v>
      </c>
      <c r="C86" s="23" t="s">
        <v>916</v>
      </c>
      <c r="D86" s="35" t="s">
        <v>650</v>
      </c>
      <c r="E86" s="35"/>
      <c r="F86" s="35" t="s">
        <v>917</v>
      </c>
      <c r="G86" s="35" t="s">
        <v>918</v>
      </c>
      <c r="H86" s="35" t="s">
        <v>701</v>
      </c>
      <c r="I86" s="168">
        <v>60</v>
      </c>
      <c r="J86" s="168">
        <v>90</v>
      </c>
      <c r="K86" s="123">
        <f>I86+J86</f>
        <v>150</v>
      </c>
      <c r="L86" s="123">
        <f t="shared" si="16"/>
        <v>19.5</v>
      </c>
      <c r="M86" s="123">
        <f t="shared" si="17"/>
        <v>130.5</v>
      </c>
      <c r="N86" s="168">
        <v>15</v>
      </c>
      <c r="O86" s="168">
        <v>14</v>
      </c>
      <c r="P86" s="123">
        <f t="shared" si="18"/>
        <v>29</v>
      </c>
      <c r="Q86" s="165">
        <f t="shared" si="23"/>
        <v>45</v>
      </c>
      <c r="R86" s="165">
        <f t="shared" si="24"/>
        <v>76</v>
      </c>
      <c r="S86" s="123">
        <f t="shared" si="19"/>
        <v>121</v>
      </c>
      <c r="T86" s="123">
        <f t="shared" si="20"/>
        <v>150</v>
      </c>
      <c r="U86" s="168"/>
      <c r="V86" s="35"/>
      <c r="W86" s="35"/>
      <c r="X86" s="35"/>
      <c r="Y86" s="35"/>
      <c r="Z86" s="170">
        <f t="shared" si="21"/>
        <v>0</v>
      </c>
      <c r="AA86" s="170">
        <f t="shared" si="22"/>
        <v>150</v>
      </c>
    </row>
    <row r="87" spans="1:27" ht="27" x14ac:dyDescent="0.25">
      <c r="A87" s="35">
        <v>85</v>
      </c>
      <c r="B87" s="112">
        <v>43541</v>
      </c>
      <c r="C87" s="23" t="s">
        <v>919</v>
      </c>
      <c r="D87" s="35" t="s">
        <v>650</v>
      </c>
      <c r="E87" s="35"/>
      <c r="F87" s="35" t="s">
        <v>920</v>
      </c>
      <c r="G87" s="35" t="s">
        <v>921</v>
      </c>
      <c r="H87" s="35" t="s">
        <v>922</v>
      </c>
      <c r="I87" s="168"/>
      <c r="J87" s="168">
        <v>100</v>
      </c>
      <c r="K87" s="123">
        <v>100</v>
      </c>
      <c r="L87" s="123">
        <f t="shared" si="16"/>
        <v>13</v>
      </c>
      <c r="M87" s="123">
        <f t="shared" si="17"/>
        <v>87</v>
      </c>
      <c r="N87" s="168">
        <v>15</v>
      </c>
      <c r="O87" s="168">
        <v>14</v>
      </c>
      <c r="P87" s="123">
        <f t="shared" si="18"/>
        <v>29</v>
      </c>
      <c r="Q87" s="165">
        <f t="shared" si="23"/>
        <v>-15</v>
      </c>
      <c r="R87" s="165">
        <f t="shared" si="24"/>
        <v>86</v>
      </c>
      <c r="S87" s="123">
        <f t="shared" si="19"/>
        <v>71</v>
      </c>
      <c r="T87" s="123">
        <f t="shared" si="20"/>
        <v>100</v>
      </c>
      <c r="U87" s="168"/>
      <c r="V87" s="35"/>
      <c r="W87" s="35"/>
      <c r="X87" s="35"/>
      <c r="Y87" s="35"/>
      <c r="Z87" s="170">
        <f t="shared" si="21"/>
        <v>0</v>
      </c>
      <c r="AA87" s="170">
        <f t="shared" si="22"/>
        <v>100</v>
      </c>
    </row>
    <row r="88" spans="1:27" ht="30" customHeight="1" x14ac:dyDescent="0.25">
      <c r="A88" s="35">
        <v>86</v>
      </c>
      <c r="B88" s="112">
        <v>43541</v>
      </c>
      <c r="C88" s="23" t="s">
        <v>923</v>
      </c>
      <c r="D88" s="35" t="s">
        <v>650</v>
      </c>
      <c r="E88" s="35"/>
      <c r="F88" s="35" t="s">
        <v>924</v>
      </c>
      <c r="G88" s="35" t="s">
        <v>925</v>
      </c>
      <c r="H88" s="35" t="s">
        <v>926</v>
      </c>
      <c r="I88" s="168">
        <v>40</v>
      </c>
      <c r="J88" s="168">
        <v>110</v>
      </c>
      <c r="K88" s="123">
        <f>I88+J88</f>
        <v>150</v>
      </c>
      <c r="L88" s="123">
        <f t="shared" si="16"/>
        <v>19.5</v>
      </c>
      <c r="M88" s="123">
        <f t="shared" si="17"/>
        <v>130.5</v>
      </c>
      <c r="N88" s="168">
        <v>10</v>
      </c>
      <c r="O88" s="168"/>
      <c r="P88" s="123">
        <f t="shared" si="18"/>
        <v>10</v>
      </c>
      <c r="Q88" s="165">
        <f t="shared" si="23"/>
        <v>30</v>
      </c>
      <c r="R88" s="165">
        <f t="shared" si="24"/>
        <v>110</v>
      </c>
      <c r="S88" s="123">
        <f t="shared" si="19"/>
        <v>140</v>
      </c>
      <c r="T88" s="123">
        <f t="shared" si="20"/>
        <v>150</v>
      </c>
      <c r="U88" s="168"/>
      <c r="V88" s="35"/>
      <c r="W88" s="35"/>
      <c r="X88" s="35"/>
      <c r="Y88" s="35"/>
      <c r="Z88" s="170">
        <f t="shared" si="21"/>
        <v>0</v>
      </c>
      <c r="AA88" s="170">
        <f t="shared" si="22"/>
        <v>150</v>
      </c>
    </row>
    <row r="89" spans="1:27" ht="27" x14ac:dyDescent="0.25">
      <c r="A89" s="35">
        <v>87</v>
      </c>
      <c r="B89" s="161">
        <v>43541</v>
      </c>
      <c r="C89" s="168" t="s">
        <v>927</v>
      </c>
      <c r="D89" s="35" t="s">
        <v>650</v>
      </c>
      <c r="E89" s="35"/>
      <c r="F89" s="35" t="s">
        <v>542</v>
      </c>
      <c r="G89" s="35" t="s">
        <v>1198</v>
      </c>
      <c r="H89" s="35" t="s">
        <v>341</v>
      </c>
      <c r="I89" s="168">
        <v>200</v>
      </c>
      <c r="J89" s="168">
        <v>100</v>
      </c>
      <c r="K89" s="123">
        <f>I89+J89</f>
        <v>300</v>
      </c>
      <c r="L89" s="123">
        <f t="shared" si="16"/>
        <v>39</v>
      </c>
      <c r="M89" s="123">
        <f t="shared" si="17"/>
        <v>261</v>
      </c>
      <c r="N89" s="168">
        <v>45</v>
      </c>
      <c r="O89" s="168">
        <v>14</v>
      </c>
      <c r="P89" s="123">
        <f t="shared" si="18"/>
        <v>59</v>
      </c>
      <c r="Q89" s="165">
        <f t="shared" si="23"/>
        <v>155</v>
      </c>
      <c r="R89" s="165">
        <f t="shared" si="24"/>
        <v>86</v>
      </c>
      <c r="S89" s="123">
        <f t="shared" si="19"/>
        <v>241</v>
      </c>
      <c r="T89" s="123">
        <f t="shared" si="20"/>
        <v>300</v>
      </c>
      <c r="U89" s="168"/>
      <c r="V89" s="35"/>
      <c r="W89" s="35"/>
      <c r="X89" s="35"/>
      <c r="Y89" s="35"/>
      <c r="Z89" s="170">
        <f t="shared" si="21"/>
        <v>0</v>
      </c>
      <c r="AA89" s="170">
        <f t="shared" si="22"/>
        <v>300</v>
      </c>
    </row>
    <row r="90" spans="1:27" x14ac:dyDescent="0.25">
      <c r="A90" s="35">
        <v>88</v>
      </c>
      <c r="B90" s="161">
        <v>43541</v>
      </c>
      <c r="C90" s="168" t="s">
        <v>928</v>
      </c>
      <c r="D90" s="35" t="s">
        <v>650</v>
      </c>
      <c r="E90" s="35"/>
      <c r="F90" s="35"/>
      <c r="G90" s="35" t="s">
        <v>929</v>
      </c>
      <c r="H90" s="35"/>
      <c r="I90" s="168">
        <v>120</v>
      </c>
      <c r="J90" s="168"/>
      <c r="K90" s="123">
        <f>SUM(I90:J90)</f>
        <v>120</v>
      </c>
      <c r="L90" s="123">
        <f t="shared" si="16"/>
        <v>15.600000000000001</v>
      </c>
      <c r="M90" s="123">
        <f t="shared" si="17"/>
        <v>104.4</v>
      </c>
      <c r="N90" s="168">
        <v>25</v>
      </c>
      <c r="O90" s="168"/>
      <c r="P90" s="123">
        <f t="shared" si="18"/>
        <v>25</v>
      </c>
      <c r="Q90" s="165">
        <f t="shared" si="23"/>
        <v>95</v>
      </c>
      <c r="R90" s="165">
        <f t="shared" si="24"/>
        <v>0</v>
      </c>
      <c r="S90" s="123">
        <f t="shared" si="19"/>
        <v>95</v>
      </c>
      <c r="T90" s="123">
        <f t="shared" si="20"/>
        <v>120</v>
      </c>
      <c r="U90" s="168"/>
      <c r="V90" s="35"/>
      <c r="W90" s="35"/>
      <c r="X90" s="35"/>
      <c r="Y90" s="35"/>
      <c r="Z90" s="170">
        <f t="shared" si="21"/>
        <v>0</v>
      </c>
      <c r="AA90" s="170">
        <f t="shared" si="22"/>
        <v>120</v>
      </c>
    </row>
    <row r="91" spans="1:27" ht="27" x14ac:dyDescent="0.25">
      <c r="A91" s="35"/>
      <c r="B91" s="112">
        <v>43542</v>
      </c>
      <c r="C91" s="23" t="s">
        <v>936</v>
      </c>
      <c r="D91" s="23" t="s">
        <v>650</v>
      </c>
      <c r="E91" s="23"/>
      <c r="F91" s="23" t="s">
        <v>937</v>
      </c>
      <c r="G91" s="23"/>
      <c r="H91" s="23" t="s">
        <v>481</v>
      </c>
      <c r="I91" s="165"/>
      <c r="J91" s="165">
        <v>140</v>
      </c>
      <c r="K91" s="123">
        <f t="shared" ref="K91:K97" si="25">I91+J91</f>
        <v>140</v>
      </c>
      <c r="L91" s="123">
        <f t="shared" si="16"/>
        <v>18.2</v>
      </c>
      <c r="M91" s="123">
        <f t="shared" si="17"/>
        <v>121.8</v>
      </c>
      <c r="N91" s="168"/>
      <c r="O91" s="168"/>
      <c r="P91" s="123">
        <f t="shared" si="18"/>
        <v>0</v>
      </c>
      <c r="Q91" s="165">
        <f t="shared" si="23"/>
        <v>0</v>
      </c>
      <c r="R91" s="165">
        <f t="shared" si="24"/>
        <v>140</v>
      </c>
      <c r="S91" s="123">
        <f t="shared" ref="S91:S154" si="26">Q91+R91</f>
        <v>140</v>
      </c>
      <c r="T91" s="123">
        <f t="shared" ref="T91:T154" si="27">P91+S91</f>
        <v>140</v>
      </c>
      <c r="U91" s="168"/>
      <c r="V91" s="35"/>
      <c r="W91" s="35"/>
      <c r="X91" s="35"/>
      <c r="Y91" s="35"/>
      <c r="Z91" s="170"/>
      <c r="AA91" s="170"/>
    </row>
    <row r="92" spans="1:27" ht="27" x14ac:dyDescent="0.25">
      <c r="A92" s="35"/>
      <c r="B92" s="112">
        <v>43542</v>
      </c>
      <c r="C92" s="23" t="s">
        <v>938</v>
      </c>
      <c r="D92" s="23" t="s">
        <v>650</v>
      </c>
      <c r="E92" s="23"/>
      <c r="F92" s="23" t="s">
        <v>939</v>
      </c>
      <c r="G92" s="23" t="s">
        <v>940</v>
      </c>
      <c r="H92" s="23" t="s">
        <v>941</v>
      </c>
      <c r="I92" s="165">
        <v>100</v>
      </c>
      <c r="J92" s="165">
        <v>300</v>
      </c>
      <c r="K92" s="123">
        <f t="shared" si="25"/>
        <v>400</v>
      </c>
      <c r="L92" s="123">
        <f t="shared" si="16"/>
        <v>52</v>
      </c>
      <c r="M92" s="123">
        <f t="shared" si="17"/>
        <v>348</v>
      </c>
      <c r="N92" s="168">
        <v>35</v>
      </c>
      <c r="O92" s="168"/>
      <c r="P92" s="123">
        <f t="shared" si="18"/>
        <v>35</v>
      </c>
      <c r="Q92" s="165">
        <f t="shared" si="23"/>
        <v>65</v>
      </c>
      <c r="R92" s="165">
        <f t="shared" si="24"/>
        <v>300</v>
      </c>
      <c r="S92" s="123">
        <f t="shared" si="26"/>
        <v>365</v>
      </c>
      <c r="T92" s="123">
        <f t="shared" si="27"/>
        <v>400</v>
      </c>
      <c r="U92" s="168"/>
      <c r="V92" s="35"/>
      <c r="W92" s="35"/>
      <c r="X92" s="35"/>
      <c r="Y92" s="35"/>
      <c r="Z92" s="170"/>
      <c r="AA92" s="170"/>
    </row>
    <row r="93" spans="1:27" x14ac:dyDescent="0.25">
      <c r="A93" s="35"/>
      <c r="B93" s="112">
        <v>43543</v>
      </c>
      <c r="C93" s="23" t="s">
        <v>942</v>
      </c>
      <c r="D93" s="23" t="s">
        <v>650</v>
      </c>
      <c r="E93" s="23"/>
      <c r="F93" s="23"/>
      <c r="G93" s="23"/>
      <c r="H93" s="23" t="s">
        <v>943</v>
      </c>
      <c r="I93" s="165"/>
      <c r="J93" s="165">
        <v>3</v>
      </c>
      <c r="K93" s="123">
        <f t="shared" si="25"/>
        <v>3</v>
      </c>
      <c r="L93" s="123">
        <f t="shared" si="16"/>
        <v>0.39</v>
      </c>
      <c r="M93" s="123">
        <f t="shared" si="17"/>
        <v>2.61</v>
      </c>
      <c r="N93" s="168"/>
      <c r="O93" s="168"/>
      <c r="P93" s="123">
        <f t="shared" si="18"/>
        <v>0</v>
      </c>
      <c r="Q93" s="165">
        <f t="shared" si="23"/>
        <v>0</v>
      </c>
      <c r="R93" s="165">
        <f t="shared" si="24"/>
        <v>3</v>
      </c>
      <c r="S93" s="123">
        <f t="shared" si="26"/>
        <v>3</v>
      </c>
      <c r="T93" s="123">
        <f t="shared" si="27"/>
        <v>3</v>
      </c>
      <c r="U93" s="168"/>
      <c r="V93" s="35"/>
      <c r="W93" s="35"/>
      <c r="X93" s="35"/>
      <c r="Y93" s="35"/>
      <c r="Z93" s="170"/>
      <c r="AA93" s="170"/>
    </row>
    <row r="94" spans="1:27" x14ac:dyDescent="0.25">
      <c r="A94" s="35"/>
      <c r="B94" s="112">
        <v>43543</v>
      </c>
      <c r="C94" s="23" t="s">
        <v>877</v>
      </c>
      <c r="D94" s="23" t="s">
        <v>650</v>
      </c>
      <c r="E94" s="23"/>
      <c r="F94" s="23"/>
      <c r="G94" s="23"/>
      <c r="H94" s="23" t="s">
        <v>943</v>
      </c>
      <c r="I94" s="165"/>
      <c r="J94" s="165">
        <v>3</v>
      </c>
      <c r="K94" s="123">
        <f t="shared" si="25"/>
        <v>3</v>
      </c>
      <c r="L94" s="123">
        <f t="shared" si="16"/>
        <v>0.39</v>
      </c>
      <c r="M94" s="123">
        <f t="shared" si="17"/>
        <v>2.61</v>
      </c>
      <c r="N94" s="168"/>
      <c r="O94" s="168"/>
      <c r="P94" s="123">
        <f t="shared" si="18"/>
        <v>0</v>
      </c>
      <c r="Q94" s="165">
        <f t="shared" si="23"/>
        <v>0</v>
      </c>
      <c r="R94" s="165">
        <f t="shared" si="24"/>
        <v>3</v>
      </c>
      <c r="S94" s="123">
        <f t="shared" si="26"/>
        <v>3</v>
      </c>
      <c r="T94" s="123">
        <f t="shared" si="27"/>
        <v>3</v>
      </c>
      <c r="U94" s="168"/>
      <c r="V94" s="35"/>
      <c r="W94" s="35"/>
      <c r="X94" s="35"/>
      <c r="Y94" s="35"/>
      <c r="Z94" s="170"/>
      <c r="AA94" s="170"/>
    </row>
    <row r="95" spans="1:27" x14ac:dyDescent="0.25">
      <c r="A95" s="35"/>
      <c r="B95" s="112">
        <v>43543</v>
      </c>
      <c r="C95" s="23" t="s">
        <v>944</v>
      </c>
      <c r="D95" s="23" t="s">
        <v>650</v>
      </c>
      <c r="E95" s="23"/>
      <c r="F95" s="23"/>
      <c r="G95" s="23" t="s">
        <v>794</v>
      </c>
      <c r="H95" s="23" t="s">
        <v>770</v>
      </c>
      <c r="I95" s="165"/>
      <c r="J95" s="165">
        <v>20</v>
      </c>
      <c r="K95" s="123">
        <f t="shared" si="25"/>
        <v>20</v>
      </c>
      <c r="L95" s="123">
        <f t="shared" si="16"/>
        <v>2.6</v>
      </c>
      <c r="M95" s="123">
        <f t="shared" si="17"/>
        <v>17.399999999999999</v>
      </c>
      <c r="N95" s="168"/>
      <c r="O95" s="168"/>
      <c r="P95" s="123">
        <f t="shared" si="18"/>
        <v>0</v>
      </c>
      <c r="Q95" s="165">
        <f t="shared" si="23"/>
        <v>0</v>
      </c>
      <c r="R95" s="165">
        <f t="shared" si="24"/>
        <v>20</v>
      </c>
      <c r="S95" s="123">
        <f t="shared" si="26"/>
        <v>20</v>
      </c>
      <c r="T95" s="123">
        <f t="shared" si="27"/>
        <v>20</v>
      </c>
      <c r="U95" s="168"/>
      <c r="V95" s="35"/>
      <c r="W95" s="35"/>
      <c r="X95" s="35"/>
      <c r="Y95" s="35"/>
      <c r="Z95" s="170"/>
      <c r="AA95" s="170"/>
    </row>
    <row r="96" spans="1:27" ht="27" x14ac:dyDescent="0.25">
      <c r="A96" s="35"/>
      <c r="B96" s="112">
        <v>43543</v>
      </c>
      <c r="C96" s="23" t="s">
        <v>945</v>
      </c>
      <c r="D96" s="35" t="s">
        <v>650</v>
      </c>
      <c r="E96" s="35"/>
      <c r="F96" s="35" t="s">
        <v>946</v>
      </c>
      <c r="G96" s="35" t="s">
        <v>947</v>
      </c>
      <c r="H96" s="35" t="s">
        <v>701</v>
      </c>
      <c r="I96" s="168">
        <v>50</v>
      </c>
      <c r="J96" s="168">
        <v>150</v>
      </c>
      <c r="K96" s="123">
        <f t="shared" si="25"/>
        <v>200</v>
      </c>
      <c r="L96" s="123">
        <f t="shared" si="16"/>
        <v>26</v>
      </c>
      <c r="M96" s="123">
        <f t="shared" si="17"/>
        <v>174</v>
      </c>
      <c r="N96" s="168"/>
      <c r="O96" s="168">
        <v>14</v>
      </c>
      <c r="P96" s="123">
        <f t="shared" si="18"/>
        <v>14</v>
      </c>
      <c r="Q96" s="165">
        <f t="shared" si="23"/>
        <v>50</v>
      </c>
      <c r="R96" s="165">
        <f t="shared" si="24"/>
        <v>136</v>
      </c>
      <c r="S96" s="123">
        <f t="shared" si="26"/>
        <v>186</v>
      </c>
      <c r="T96" s="123">
        <f t="shared" si="27"/>
        <v>200</v>
      </c>
      <c r="U96" s="168"/>
      <c r="V96" s="35"/>
      <c r="W96" s="35"/>
      <c r="X96" s="35"/>
      <c r="Y96" s="35"/>
      <c r="Z96" s="170"/>
      <c r="AA96" s="170"/>
    </row>
    <row r="97" spans="1:27" x14ac:dyDescent="0.25">
      <c r="A97" s="35"/>
      <c r="B97" s="112">
        <v>43543</v>
      </c>
      <c r="C97" s="23" t="s">
        <v>948</v>
      </c>
      <c r="D97" s="35" t="s">
        <v>650</v>
      </c>
      <c r="E97" s="35"/>
      <c r="F97" s="35" t="s">
        <v>949</v>
      </c>
      <c r="G97" s="35" t="s">
        <v>950</v>
      </c>
      <c r="H97" s="35" t="s">
        <v>951</v>
      </c>
      <c r="I97" s="168">
        <v>50</v>
      </c>
      <c r="J97" s="168">
        <v>175</v>
      </c>
      <c r="K97" s="123">
        <f t="shared" si="25"/>
        <v>225</v>
      </c>
      <c r="L97" s="123">
        <f t="shared" si="16"/>
        <v>29.25</v>
      </c>
      <c r="M97" s="123">
        <f t="shared" si="17"/>
        <v>195.75</v>
      </c>
      <c r="N97" s="168"/>
      <c r="O97" s="168"/>
      <c r="P97" s="123">
        <f t="shared" si="18"/>
        <v>0</v>
      </c>
      <c r="Q97" s="165">
        <f t="shared" si="23"/>
        <v>50</v>
      </c>
      <c r="R97" s="165">
        <f t="shared" si="24"/>
        <v>175</v>
      </c>
      <c r="S97" s="123">
        <f t="shared" si="26"/>
        <v>225</v>
      </c>
      <c r="T97" s="123">
        <f t="shared" si="27"/>
        <v>225</v>
      </c>
      <c r="U97" s="168"/>
      <c r="V97" s="35"/>
      <c r="W97" s="35"/>
      <c r="X97" s="35"/>
      <c r="Y97" s="35"/>
      <c r="Z97" s="170"/>
      <c r="AA97" s="170"/>
    </row>
    <row r="98" spans="1:27" ht="27" x14ac:dyDescent="0.25">
      <c r="A98" s="35"/>
      <c r="B98" s="161">
        <v>43543</v>
      </c>
      <c r="C98" s="35" t="s">
        <v>952</v>
      </c>
      <c r="D98" s="35" t="s">
        <v>650</v>
      </c>
      <c r="E98" s="35"/>
      <c r="F98" s="35"/>
      <c r="G98" s="35" t="s">
        <v>953</v>
      </c>
      <c r="H98" s="35" t="s">
        <v>701</v>
      </c>
      <c r="I98" s="168"/>
      <c r="J98" s="168">
        <v>200</v>
      </c>
      <c r="K98" s="123">
        <v>200</v>
      </c>
      <c r="L98" s="123">
        <f t="shared" si="16"/>
        <v>26</v>
      </c>
      <c r="M98" s="123">
        <f t="shared" si="17"/>
        <v>174</v>
      </c>
      <c r="N98" s="168"/>
      <c r="O98" s="168">
        <v>14</v>
      </c>
      <c r="P98" s="123">
        <f t="shared" si="18"/>
        <v>14</v>
      </c>
      <c r="Q98" s="165">
        <f t="shared" si="23"/>
        <v>0</v>
      </c>
      <c r="R98" s="165">
        <f t="shared" si="24"/>
        <v>186</v>
      </c>
      <c r="S98" s="123">
        <f t="shared" si="26"/>
        <v>186</v>
      </c>
      <c r="T98" s="123">
        <f t="shared" si="27"/>
        <v>200</v>
      </c>
      <c r="U98" s="168"/>
      <c r="V98" s="35"/>
      <c r="W98" s="35"/>
      <c r="X98" s="35"/>
      <c r="Y98" s="35"/>
      <c r="Z98" s="170"/>
      <c r="AA98" s="170"/>
    </row>
    <row r="99" spans="1:27" ht="27" x14ac:dyDescent="0.25">
      <c r="A99" s="35"/>
      <c r="B99" s="161">
        <v>43543</v>
      </c>
      <c r="C99" s="35" t="s">
        <v>954</v>
      </c>
      <c r="D99" s="35" t="s">
        <v>650</v>
      </c>
      <c r="E99" s="35"/>
      <c r="F99" s="35"/>
      <c r="G99" s="35" t="s">
        <v>955</v>
      </c>
      <c r="H99" s="35" t="s">
        <v>701</v>
      </c>
      <c r="I99" s="168">
        <v>50</v>
      </c>
      <c r="J99" s="168">
        <v>150</v>
      </c>
      <c r="K99" s="123">
        <v>200</v>
      </c>
      <c r="L99" s="123">
        <f t="shared" si="16"/>
        <v>26</v>
      </c>
      <c r="M99" s="123">
        <f t="shared" si="17"/>
        <v>174</v>
      </c>
      <c r="N99" s="168"/>
      <c r="O99" s="168">
        <v>14</v>
      </c>
      <c r="P99" s="123">
        <f t="shared" si="18"/>
        <v>14</v>
      </c>
      <c r="Q99" s="165">
        <f t="shared" si="23"/>
        <v>50</v>
      </c>
      <c r="R99" s="165">
        <f t="shared" si="24"/>
        <v>136</v>
      </c>
      <c r="S99" s="123">
        <f t="shared" si="26"/>
        <v>186</v>
      </c>
      <c r="T99" s="123">
        <f t="shared" si="27"/>
        <v>200</v>
      </c>
      <c r="U99" s="168"/>
      <c r="V99" s="35"/>
      <c r="W99" s="35"/>
      <c r="X99" s="35"/>
      <c r="Y99" s="35"/>
      <c r="Z99" s="170"/>
      <c r="AA99" s="170"/>
    </row>
    <row r="100" spans="1:27" ht="27" x14ac:dyDescent="0.25">
      <c r="A100" s="35"/>
      <c r="B100" s="161">
        <v>43543</v>
      </c>
      <c r="C100" s="35" t="s">
        <v>956</v>
      </c>
      <c r="D100" s="35" t="s">
        <v>650</v>
      </c>
      <c r="E100" s="35"/>
      <c r="F100" s="35"/>
      <c r="G100" s="35" t="s">
        <v>957</v>
      </c>
      <c r="H100" s="35" t="s">
        <v>701</v>
      </c>
      <c r="I100" s="168">
        <v>50</v>
      </c>
      <c r="J100" s="168">
        <v>150</v>
      </c>
      <c r="K100" s="123">
        <v>200</v>
      </c>
      <c r="L100" s="123">
        <f t="shared" si="16"/>
        <v>26</v>
      </c>
      <c r="M100" s="123">
        <f t="shared" si="17"/>
        <v>174</v>
      </c>
      <c r="N100" s="168"/>
      <c r="O100" s="168">
        <v>14</v>
      </c>
      <c r="P100" s="123">
        <f t="shared" si="18"/>
        <v>14</v>
      </c>
      <c r="Q100" s="165">
        <f t="shared" si="23"/>
        <v>50</v>
      </c>
      <c r="R100" s="165">
        <f t="shared" si="24"/>
        <v>136</v>
      </c>
      <c r="S100" s="123">
        <f t="shared" si="26"/>
        <v>186</v>
      </c>
      <c r="T100" s="123">
        <f t="shared" si="27"/>
        <v>200</v>
      </c>
      <c r="U100" s="168"/>
      <c r="V100" s="35"/>
      <c r="W100" s="35"/>
      <c r="X100" s="35"/>
      <c r="Y100" s="35"/>
      <c r="Z100" s="170"/>
      <c r="AA100" s="170"/>
    </row>
    <row r="101" spans="1:27" ht="27" x14ac:dyDescent="0.25">
      <c r="A101" s="35"/>
      <c r="B101" s="112">
        <v>43544</v>
      </c>
      <c r="C101" s="23" t="s">
        <v>970</v>
      </c>
      <c r="D101" s="23" t="s">
        <v>650</v>
      </c>
      <c r="E101" s="23"/>
      <c r="F101" s="23" t="s">
        <v>971</v>
      </c>
      <c r="G101" s="23" t="s">
        <v>972</v>
      </c>
      <c r="H101" s="23" t="s">
        <v>341</v>
      </c>
      <c r="I101" s="165">
        <v>60</v>
      </c>
      <c r="J101" s="165">
        <v>90</v>
      </c>
      <c r="K101" s="123">
        <f>I101+J101</f>
        <v>150</v>
      </c>
      <c r="L101" s="123">
        <f t="shared" si="16"/>
        <v>19.5</v>
      </c>
      <c r="M101" s="123">
        <f t="shared" si="17"/>
        <v>130.5</v>
      </c>
      <c r="N101" s="168"/>
      <c r="O101" s="168">
        <v>14</v>
      </c>
      <c r="P101" s="123">
        <f t="shared" si="18"/>
        <v>14</v>
      </c>
      <c r="Q101" s="165">
        <f t="shared" si="23"/>
        <v>60</v>
      </c>
      <c r="R101" s="165">
        <f t="shared" si="24"/>
        <v>76</v>
      </c>
      <c r="S101" s="123">
        <f t="shared" si="26"/>
        <v>136</v>
      </c>
      <c r="T101" s="123">
        <f t="shared" si="27"/>
        <v>150</v>
      </c>
      <c r="U101" s="168"/>
      <c r="V101" s="35"/>
      <c r="W101" s="35"/>
      <c r="X101" s="35"/>
      <c r="Y101" s="35"/>
      <c r="Z101" s="170"/>
      <c r="AA101" s="170"/>
    </row>
    <row r="102" spans="1:27" x14ac:dyDescent="0.25">
      <c r="A102" s="35"/>
      <c r="B102" s="112">
        <v>43544</v>
      </c>
      <c r="C102" s="23" t="s">
        <v>973</v>
      </c>
      <c r="D102" s="23" t="s">
        <v>650</v>
      </c>
      <c r="E102" s="23"/>
      <c r="F102" s="23" t="s">
        <v>974</v>
      </c>
      <c r="G102" s="23"/>
      <c r="H102" s="23" t="s">
        <v>975</v>
      </c>
      <c r="I102" s="165"/>
      <c r="J102" s="165">
        <v>225</v>
      </c>
      <c r="K102" s="123">
        <f>I102+J102</f>
        <v>225</v>
      </c>
      <c r="L102" s="123">
        <f t="shared" si="16"/>
        <v>29.25</v>
      </c>
      <c r="M102" s="123">
        <f t="shared" si="17"/>
        <v>195.75</v>
      </c>
      <c r="N102" s="168"/>
      <c r="O102" s="168"/>
      <c r="P102" s="123">
        <f t="shared" si="18"/>
        <v>0</v>
      </c>
      <c r="Q102" s="165">
        <f t="shared" si="23"/>
        <v>0</v>
      </c>
      <c r="R102" s="165">
        <f t="shared" si="24"/>
        <v>225</v>
      </c>
      <c r="S102" s="123">
        <f t="shared" si="26"/>
        <v>225</v>
      </c>
      <c r="T102" s="123">
        <f t="shared" si="27"/>
        <v>225</v>
      </c>
      <c r="U102" s="168"/>
      <c r="V102" s="35"/>
      <c r="W102" s="35"/>
      <c r="X102" s="35"/>
      <c r="Y102" s="35"/>
      <c r="Z102" s="170"/>
      <c r="AA102" s="170"/>
    </row>
    <row r="103" spans="1:27" x14ac:dyDescent="0.25">
      <c r="A103" s="35"/>
      <c r="B103" s="112">
        <v>43544</v>
      </c>
      <c r="C103" s="23" t="s">
        <v>976</v>
      </c>
      <c r="D103" s="23" t="s">
        <v>650</v>
      </c>
      <c r="E103" s="23"/>
      <c r="F103" s="23" t="s">
        <v>977</v>
      </c>
      <c r="G103" s="23" t="s">
        <v>978</v>
      </c>
      <c r="H103" s="23" t="s">
        <v>979</v>
      </c>
      <c r="I103" s="165">
        <v>180</v>
      </c>
      <c r="J103" s="165">
        <v>100</v>
      </c>
      <c r="K103" s="123">
        <f>I103+J103</f>
        <v>280</v>
      </c>
      <c r="L103" s="123">
        <f t="shared" si="16"/>
        <v>36.4</v>
      </c>
      <c r="M103" s="123">
        <f t="shared" si="17"/>
        <v>243.6</v>
      </c>
      <c r="N103" s="168"/>
      <c r="O103" s="168">
        <v>14</v>
      </c>
      <c r="P103" s="123">
        <f t="shared" si="18"/>
        <v>14</v>
      </c>
      <c r="Q103" s="165">
        <f t="shared" si="23"/>
        <v>180</v>
      </c>
      <c r="R103" s="165">
        <f t="shared" si="24"/>
        <v>86</v>
      </c>
      <c r="S103" s="123">
        <f t="shared" si="26"/>
        <v>266</v>
      </c>
      <c r="T103" s="123">
        <f t="shared" si="27"/>
        <v>280</v>
      </c>
      <c r="U103" s="168"/>
      <c r="V103" s="35"/>
      <c r="W103" s="35"/>
      <c r="X103" s="35"/>
      <c r="Y103" s="35"/>
      <c r="Z103" s="170"/>
      <c r="AA103" s="170"/>
    </row>
    <row r="104" spans="1:27" ht="27" x14ac:dyDescent="0.25">
      <c r="A104" s="35"/>
      <c r="B104" s="112">
        <v>43544</v>
      </c>
      <c r="C104" s="23" t="s">
        <v>980</v>
      </c>
      <c r="D104" s="35" t="s">
        <v>650</v>
      </c>
      <c r="E104" s="35"/>
      <c r="F104" s="35" t="s">
        <v>981</v>
      </c>
      <c r="G104" s="35" t="s">
        <v>982</v>
      </c>
      <c r="H104" s="35" t="s">
        <v>508</v>
      </c>
      <c r="I104" s="168"/>
      <c r="J104" s="168">
        <v>100</v>
      </c>
      <c r="K104" s="123">
        <f>I104+J104</f>
        <v>100</v>
      </c>
      <c r="L104" s="123">
        <f t="shared" si="16"/>
        <v>13</v>
      </c>
      <c r="M104" s="123">
        <f t="shared" si="17"/>
        <v>87</v>
      </c>
      <c r="N104" s="168"/>
      <c r="O104" s="168"/>
      <c r="P104" s="123">
        <f t="shared" si="18"/>
        <v>0</v>
      </c>
      <c r="Q104" s="165">
        <f t="shared" si="23"/>
        <v>0</v>
      </c>
      <c r="R104" s="165">
        <f t="shared" si="24"/>
        <v>100</v>
      </c>
      <c r="S104" s="123">
        <f t="shared" si="26"/>
        <v>100</v>
      </c>
      <c r="T104" s="123">
        <f t="shared" si="27"/>
        <v>100</v>
      </c>
      <c r="U104" s="168"/>
      <c r="V104" s="35"/>
      <c r="W104" s="35"/>
      <c r="X104" s="35"/>
      <c r="Y104" s="35"/>
      <c r="Z104" s="170"/>
      <c r="AA104" s="170"/>
    </row>
    <row r="105" spans="1:27" x14ac:dyDescent="0.25">
      <c r="A105" s="35"/>
      <c r="B105" s="112">
        <v>43544</v>
      </c>
      <c r="C105" s="23" t="s">
        <v>983</v>
      </c>
      <c r="D105" s="35" t="s">
        <v>650</v>
      </c>
      <c r="E105" s="35"/>
      <c r="F105" s="35"/>
      <c r="G105" s="35"/>
      <c r="H105" s="35" t="s">
        <v>734</v>
      </c>
      <c r="I105" s="168"/>
      <c r="J105" s="168">
        <v>3</v>
      </c>
      <c r="K105" s="123">
        <f>I105+J105</f>
        <v>3</v>
      </c>
      <c r="L105" s="123">
        <f t="shared" si="16"/>
        <v>0.39</v>
      </c>
      <c r="M105" s="123">
        <f t="shared" si="17"/>
        <v>2.61</v>
      </c>
      <c r="N105" s="168"/>
      <c r="O105" s="168"/>
      <c r="P105" s="123">
        <f t="shared" si="18"/>
        <v>0</v>
      </c>
      <c r="Q105" s="165">
        <f t="shared" si="23"/>
        <v>0</v>
      </c>
      <c r="R105" s="165">
        <f t="shared" si="24"/>
        <v>3</v>
      </c>
      <c r="S105" s="123">
        <f t="shared" si="26"/>
        <v>3</v>
      </c>
      <c r="T105" s="123">
        <f t="shared" si="27"/>
        <v>3</v>
      </c>
      <c r="U105" s="168"/>
      <c r="V105" s="35"/>
      <c r="W105" s="35"/>
      <c r="X105" s="35"/>
      <c r="Y105" s="35"/>
      <c r="Z105" s="170"/>
      <c r="AA105" s="170"/>
    </row>
    <row r="106" spans="1:27" ht="27" x14ac:dyDescent="0.25">
      <c r="A106" s="35"/>
      <c r="B106" s="112">
        <v>43545</v>
      </c>
      <c r="C106" s="23" t="s">
        <v>984</v>
      </c>
      <c r="D106" s="23" t="s">
        <v>650</v>
      </c>
      <c r="E106" s="23"/>
      <c r="F106" s="23"/>
      <c r="G106" s="23"/>
      <c r="H106" s="23" t="s">
        <v>106</v>
      </c>
      <c r="I106" s="165"/>
      <c r="J106" s="165">
        <v>20</v>
      </c>
      <c r="K106" s="123">
        <f>SUM(I106:J106)</f>
        <v>20</v>
      </c>
      <c r="L106" s="123">
        <f t="shared" si="16"/>
        <v>2.6</v>
      </c>
      <c r="M106" s="123">
        <f t="shared" si="17"/>
        <v>17.399999999999999</v>
      </c>
      <c r="N106" s="168"/>
      <c r="O106" s="168"/>
      <c r="P106" s="123">
        <f t="shared" si="18"/>
        <v>0</v>
      </c>
      <c r="Q106" s="165">
        <f t="shared" si="23"/>
        <v>0</v>
      </c>
      <c r="R106" s="165">
        <f t="shared" si="24"/>
        <v>20</v>
      </c>
      <c r="S106" s="123">
        <f t="shared" si="26"/>
        <v>20</v>
      </c>
      <c r="T106" s="123">
        <f t="shared" si="27"/>
        <v>20</v>
      </c>
      <c r="U106" s="168"/>
      <c r="V106" s="35"/>
      <c r="W106" s="35"/>
      <c r="X106" s="35"/>
      <c r="Y106" s="35"/>
      <c r="Z106" s="170"/>
      <c r="AA106" s="170"/>
    </row>
    <row r="107" spans="1:27" ht="27" x14ac:dyDescent="0.25">
      <c r="A107" s="35"/>
      <c r="B107" s="112">
        <v>43545</v>
      </c>
      <c r="C107" s="23" t="s">
        <v>985</v>
      </c>
      <c r="D107" s="23" t="s">
        <v>650</v>
      </c>
      <c r="E107" s="23"/>
      <c r="F107" s="23"/>
      <c r="G107" s="23"/>
      <c r="H107" s="23" t="s">
        <v>986</v>
      </c>
      <c r="I107" s="165"/>
      <c r="J107" s="165">
        <v>5</v>
      </c>
      <c r="K107" s="123">
        <f t="shared" ref="K107:K114" si="28">I107+J107</f>
        <v>5</v>
      </c>
      <c r="L107" s="123">
        <f t="shared" si="16"/>
        <v>0.65</v>
      </c>
      <c r="M107" s="123">
        <f t="shared" si="17"/>
        <v>4.3499999999999996</v>
      </c>
      <c r="N107" s="168">
        <v>3.75</v>
      </c>
      <c r="O107" s="168"/>
      <c r="P107" s="123">
        <f t="shared" si="18"/>
        <v>3.75</v>
      </c>
      <c r="Q107" s="165">
        <f t="shared" si="23"/>
        <v>-3.75</v>
      </c>
      <c r="R107" s="165">
        <f t="shared" si="24"/>
        <v>5</v>
      </c>
      <c r="S107" s="123">
        <f t="shared" si="26"/>
        <v>1.25</v>
      </c>
      <c r="T107" s="123">
        <f t="shared" si="27"/>
        <v>5</v>
      </c>
      <c r="U107" s="168"/>
      <c r="V107" s="35"/>
      <c r="W107" s="35"/>
      <c r="X107" s="35"/>
      <c r="Y107" s="35"/>
      <c r="Z107" s="170"/>
      <c r="AA107" s="170"/>
    </row>
    <row r="108" spans="1:27" x14ac:dyDescent="0.25">
      <c r="A108" s="35"/>
      <c r="B108" s="112">
        <v>43545</v>
      </c>
      <c r="C108" s="23" t="s">
        <v>987</v>
      </c>
      <c r="D108" s="23" t="s">
        <v>650</v>
      </c>
      <c r="E108" s="23"/>
      <c r="F108" s="23" t="s">
        <v>988</v>
      </c>
      <c r="G108" s="23"/>
      <c r="H108" s="23" t="s">
        <v>989</v>
      </c>
      <c r="I108" s="165"/>
      <c r="J108" s="165">
        <v>90</v>
      </c>
      <c r="K108" s="123">
        <f t="shared" si="28"/>
        <v>90</v>
      </c>
      <c r="L108" s="123">
        <f t="shared" si="16"/>
        <v>11.700000000000001</v>
      </c>
      <c r="M108" s="123">
        <f t="shared" si="17"/>
        <v>78.3</v>
      </c>
      <c r="N108" s="168"/>
      <c r="O108" s="168"/>
      <c r="P108" s="123">
        <f t="shared" si="18"/>
        <v>0</v>
      </c>
      <c r="Q108" s="165">
        <f t="shared" si="23"/>
        <v>0</v>
      </c>
      <c r="R108" s="165">
        <f t="shared" si="24"/>
        <v>90</v>
      </c>
      <c r="S108" s="123">
        <f t="shared" si="26"/>
        <v>90</v>
      </c>
      <c r="T108" s="123">
        <f t="shared" si="27"/>
        <v>90</v>
      </c>
      <c r="U108" s="168"/>
      <c r="V108" s="35"/>
      <c r="W108" s="35"/>
      <c r="X108" s="35"/>
      <c r="Y108" s="35"/>
      <c r="Z108" s="170"/>
      <c r="AA108" s="170"/>
    </row>
    <row r="109" spans="1:27" ht="27" x14ac:dyDescent="0.25">
      <c r="A109" s="35"/>
      <c r="B109" s="112">
        <v>43545</v>
      </c>
      <c r="C109" s="23" t="s">
        <v>990</v>
      </c>
      <c r="D109" s="35" t="s">
        <v>650</v>
      </c>
      <c r="E109" s="35"/>
      <c r="F109" s="35"/>
      <c r="G109" s="35" t="s">
        <v>991</v>
      </c>
      <c r="H109" s="35" t="s">
        <v>701</v>
      </c>
      <c r="I109" s="168">
        <v>75</v>
      </c>
      <c r="J109" s="168">
        <v>75</v>
      </c>
      <c r="K109" s="123">
        <f t="shared" si="28"/>
        <v>150</v>
      </c>
      <c r="L109" s="123">
        <f t="shared" si="16"/>
        <v>19.5</v>
      </c>
      <c r="M109" s="123">
        <f t="shared" si="17"/>
        <v>130.5</v>
      </c>
      <c r="N109" s="168">
        <v>10</v>
      </c>
      <c r="O109" s="168">
        <v>14</v>
      </c>
      <c r="P109" s="123">
        <f t="shared" si="18"/>
        <v>24</v>
      </c>
      <c r="Q109" s="165">
        <f t="shared" si="23"/>
        <v>65</v>
      </c>
      <c r="R109" s="165">
        <f t="shared" si="24"/>
        <v>61</v>
      </c>
      <c r="S109" s="123">
        <f t="shared" si="26"/>
        <v>126</v>
      </c>
      <c r="T109" s="123">
        <f t="shared" si="27"/>
        <v>150</v>
      </c>
      <c r="U109" s="168"/>
      <c r="V109" s="35"/>
      <c r="W109" s="35"/>
      <c r="X109" s="35"/>
      <c r="Y109" s="35"/>
      <c r="Z109" s="170"/>
      <c r="AA109" s="170"/>
    </row>
    <row r="110" spans="1:27" ht="27" x14ac:dyDescent="0.25">
      <c r="A110" s="35"/>
      <c r="B110" s="112">
        <v>43546</v>
      </c>
      <c r="C110" s="23" t="s">
        <v>1001</v>
      </c>
      <c r="D110" s="23" t="s">
        <v>650</v>
      </c>
      <c r="E110" s="23"/>
      <c r="F110" s="23" t="s">
        <v>1002</v>
      </c>
      <c r="G110" s="23" t="s">
        <v>1003</v>
      </c>
      <c r="H110" s="23" t="s">
        <v>341</v>
      </c>
      <c r="I110" s="165">
        <v>50</v>
      </c>
      <c r="J110" s="165">
        <v>140</v>
      </c>
      <c r="K110" s="123">
        <f t="shared" si="28"/>
        <v>190</v>
      </c>
      <c r="L110" s="123">
        <f t="shared" si="16"/>
        <v>24.7</v>
      </c>
      <c r="M110" s="123">
        <f t="shared" si="17"/>
        <v>165.3</v>
      </c>
      <c r="N110" s="168">
        <v>10</v>
      </c>
      <c r="O110" s="168">
        <v>14</v>
      </c>
      <c r="P110" s="123">
        <f t="shared" si="18"/>
        <v>24</v>
      </c>
      <c r="Q110" s="165">
        <f t="shared" si="23"/>
        <v>40</v>
      </c>
      <c r="R110" s="165">
        <f t="shared" si="24"/>
        <v>126</v>
      </c>
      <c r="S110" s="123">
        <f t="shared" si="26"/>
        <v>166</v>
      </c>
      <c r="T110" s="123">
        <f t="shared" si="27"/>
        <v>190</v>
      </c>
      <c r="U110" s="168"/>
      <c r="V110" s="35"/>
      <c r="W110" s="35"/>
      <c r="X110" s="35"/>
      <c r="Y110" s="35"/>
      <c r="Z110" s="170"/>
      <c r="AA110" s="170"/>
    </row>
    <row r="111" spans="1:27" ht="54" x14ac:dyDescent="0.25">
      <c r="A111" s="35"/>
      <c r="B111" s="112">
        <v>43546</v>
      </c>
      <c r="C111" s="23" t="s">
        <v>1004</v>
      </c>
      <c r="D111" s="23" t="s">
        <v>650</v>
      </c>
      <c r="E111" s="23"/>
      <c r="F111" s="23" t="s">
        <v>1005</v>
      </c>
      <c r="G111" s="23" t="s">
        <v>1006</v>
      </c>
      <c r="H111" s="23" t="s">
        <v>1007</v>
      </c>
      <c r="I111" s="165">
        <v>320</v>
      </c>
      <c r="J111" s="165">
        <v>625</v>
      </c>
      <c r="K111" s="123">
        <f t="shared" si="28"/>
        <v>945</v>
      </c>
      <c r="L111" s="123">
        <f t="shared" si="16"/>
        <v>122.85000000000001</v>
      </c>
      <c r="M111" s="123">
        <f t="shared" si="17"/>
        <v>822.15</v>
      </c>
      <c r="N111" s="168">
        <v>45</v>
      </c>
      <c r="O111" s="168"/>
      <c r="P111" s="123">
        <f t="shared" si="18"/>
        <v>45</v>
      </c>
      <c r="Q111" s="165">
        <f t="shared" si="23"/>
        <v>275</v>
      </c>
      <c r="R111" s="165">
        <f t="shared" si="24"/>
        <v>625</v>
      </c>
      <c r="S111" s="123">
        <f t="shared" si="26"/>
        <v>900</v>
      </c>
      <c r="T111" s="123">
        <f t="shared" si="27"/>
        <v>945</v>
      </c>
      <c r="U111" s="168"/>
      <c r="V111" s="35"/>
      <c r="W111" s="35"/>
      <c r="X111" s="35"/>
      <c r="Y111" s="35"/>
      <c r="Z111" s="170"/>
      <c r="AA111" s="170"/>
    </row>
    <row r="112" spans="1:27" x14ac:dyDescent="0.25">
      <c r="A112" s="35"/>
      <c r="B112" s="112">
        <v>43546</v>
      </c>
      <c r="C112" s="23" t="s">
        <v>1008</v>
      </c>
      <c r="D112" s="23" t="s">
        <v>650</v>
      </c>
      <c r="E112" s="23"/>
      <c r="F112" s="23"/>
      <c r="G112" s="23"/>
      <c r="H112" s="23" t="s">
        <v>1009</v>
      </c>
      <c r="I112" s="165"/>
      <c r="J112" s="165">
        <v>3</v>
      </c>
      <c r="K112" s="123">
        <f t="shared" si="28"/>
        <v>3</v>
      </c>
      <c r="L112" s="123">
        <f t="shared" si="16"/>
        <v>0.39</v>
      </c>
      <c r="M112" s="123">
        <f t="shared" si="17"/>
        <v>2.61</v>
      </c>
      <c r="N112" s="168"/>
      <c r="O112" s="168"/>
      <c r="P112" s="123">
        <f t="shared" si="18"/>
        <v>0</v>
      </c>
      <c r="Q112" s="165">
        <f t="shared" si="23"/>
        <v>0</v>
      </c>
      <c r="R112" s="165">
        <f t="shared" si="24"/>
        <v>3</v>
      </c>
      <c r="S112" s="123">
        <f t="shared" si="26"/>
        <v>3</v>
      </c>
      <c r="T112" s="123">
        <f t="shared" si="27"/>
        <v>3</v>
      </c>
      <c r="U112" s="168"/>
      <c r="V112" s="35"/>
      <c r="W112" s="35"/>
      <c r="X112" s="35"/>
      <c r="Y112" s="35"/>
      <c r="Z112" s="170"/>
      <c r="AA112" s="170"/>
    </row>
    <row r="113" spans="1:27" x14ac:dyDescent="0.25">
      <c r="A113" s="35"/>
      <c r="B113" s="112">
        <v>43546</v>
      </c>
      <c r="C113" s="23" t="s">
        <v>1010</v>
      </c>
      <c r="D113" s="35" t="s">
        <v>650</v>
      </c>
      <c r="E113" s="35"/>
      <c r="F113" s="35"/>
      <c r="G113" s="35" t="s">
        <v>794</v>
      </c>
      <c r="H113" s="35" t="s">
        <v>1011</v>
      </c>
      <c r="I113" s="168"/>
      <c r="J113" s="168">
        <v>20</v>
      </c>
      <c r="K113" s="123">
        <f t="shared" si="28"/>
        <v>20</v>
      </c>
      <c r="L113" s="123">
        <f t="shared" si="16"/>
        <v>2.6</v>
      </c>
      <c r="M113" s="123">
        <f t="shared" si="17"/>
        <v>17.399999999999999</v>
      </c>
      <c r="N113" s="168"/>
      <c r="O113" s="168"/>
      <c r="P113" s="123">
        <f t="shared" si="18"/>
        <v>0</v>
      </c>
      <c r="Q113" s="165">
        <f t="shared" si="23"/>
        <v>0</v>
      </c>
      <c r="R113" s="165">
        <f t="shared" si="24"/>
        <v>20</v>
      </c>
      <c r="S113" s="123">
        <f t="shared" si="26"/>
        <v>20</v>
      </c>
      <c r="T113" s="123">
        <f t="shared" si="27"/>
        <v>20</v>
      </c>
      <c r="U113" s="168"/>
      <c r="V113" s="35"/>
      <c r="W113" s="35"/>
      <c r="X113" s="35"/>
      <c r="Y113" s="35"/>
      <c r="Z113" s="170"/>
      <c r="AA113" s="170"/>
    </row>
    <row r="114" spans="1:27" x14ac:dyDescent="0.25">
      <c r="A114" s="35"/>
      <c r="B114" s="112">
        <v>43546</v>
      </c>
      <c r="C114" s="23" t="s">
        <v>1012</v>
      </c>
      <c r="D114" s="35" t="s">
        <v>650</v>
      </c>
      <c r="E114" s="35"/>
      <c r="F114" s="35"/>
      <c r="G114" s="35"/>
      <c r="H114" s="35" t="s">
        <v>734</v>
      </c>
      <c r="I114" s="168"/>
      <c r="J114" s="168">
        <v>3</v>
      </c>
      <c r="K114" s="123">
        <f t="shared" si="28"/>
        <v>3</v>
      </c>
      <c r="L114" s="123">
        <f t="shared" si="16"/>
        <v>0.39</v>
      </c>
      <c r="M114" s="123">
        <f t="shared" si="17"/>
        <v>2.61</v>
      </c>
      <c r="N114" s="168"/>
      <c r="O114" s="168"/>
      <c r="P114" s="123">
        <f t="shared" si="18"/>
        <v>0</v>
      </c>
      <c r="Q114" s="165">
        <f t="shared" si="23"/>
        <v>0</v>
      </c>
      <c r="R114" s="165">
        <f t="shared" si="24"/>
        <v>3</v>
      </c>
      <c r="S114" s="123">
        <f t="shared" si="26"/>
        <v>3</v>
      </c>
      <c r="T114" s="123">
        <f t="shared" si="27"/>
        <v>3</v>
      </c>
      <c r="U114" s="168"/>
      <c r="V114" s="35"/>
      <c r="W114" s="35"/>
      <c r="X114" s="35"/>
      <c r="Y114" s="35"/>
      <c r="Z114" s="170"/>
      <c r="AA114" s="170"/>
    </row>
    <row r="115" spans="1:27" ht="27" x14ac:dyDescent="0.25">
      <c r="A115" s="35"/>
      <c r="B115" s="112">
        <v>43547</v>
      </c>
      <c r="C115" s="23" t="s">
        <v>1013</v>
      </c>
      <c r="D115" s="23" t="s">
        <v>650</v>
      </c>
      <c r="E115" s="23"/>
      <c r="F115" s="23" t="s">
        <v>1014</v>
      </c>
      <c r="G115" s="23" t="s">
        <v>1015</v>
      </c>
      <c r="H115" s="23" t="s">
        <v>341</v>
      </c>
      <c r="I115" s="165"/>
      <c r="J115" s="165">
        <v>85</v>
      </c>
      <c r="K115" s="123">
        <f t="shared" ref="K115:K120" si="29">I115+J115</f>
        <v>85</v>
      </c>
      <c r="L115" s="123">
        <f t="shared" si="16"/>
        <v>11.05</v>
      </c>
      <c r="M115" s="123">
        <f t="shared" si="17"/>
        <v>73.95</v>
      </c>
      <c r="N115" s="168">
        <v>15</v>
      </c>
      <c r="O115" s="168">
        <v>14</v>
      </c>
      <c r="P115" s="123">
        <f t="shared" si="18"/>
        <v>29</v>
      </c>
      <c r="Q115" s="165">
        <f t="shared" si="23"/>
        <v>-15</v>
      </c>
      <c r="R115" s="165">
        <f t="shared" si="24"/>
        <v>71</v>
      </c>
      <c r="S115" s="123">
        <f t="shared" si="26"/>
        <v>56</v>
      </c>
      <c r="T115" s="123">
        <f t="shared" si="27"/>
        <v>85</v>
      </c>
      <c r="U115" s="168"/>
      <c r="V115" s="35"/>
      <c r="W115" s="35"/>
      <c r="X115" s="35"/>
      <c r="Y115" s="35"/>
      <c r="Z115" s="170"/>
      <c r="AA115" s="170"/>
    </row>
    <row r="116" spans="1:27" ht="27" x14ac:dyDescent="0.25">
      <c r="A116" s="35"/>
      <c r="B116" s="112">
        <v>43547</v>
      </c>
      <c r="C116" s="23" t="s">
        <v>1016</v>
      </c>
      <c r="D116" s="23" t="s">
        <v>650</v>
      </c>
      <c r="E116" s="23"/>
      <c r="F116" s="23" t="s">
        <v>1017</v>
      </c>
      <c r="G116" s="23" t="s">
        <v>1018</v>
      </c>
      <c r="H116" s="23" t="s">
        <v>962</v>
      </c>
      <c r="I116" s="165">
        <v>100</v>
      </c>
      <c r="J116" s="165">
        <v>100</v>
      </c>
      <c r="K116" s="123">
        <f t="shared" si="29"/>
        <v>200</v>
      </c>
      <c r="L116" s="123">
        <f t="shared" si="16"/>
        <v>26</v>
      </c>
      <c r="M116" s="123">
        <f t="shared" si="17"/>
        <v>174</v>
      </c>
      <c r="N116" s="168">
        <v>30</v>
      </c>
      <c r="O116" s="168">
        <v>28</v>
      </c>
      <c r="P116" s="123">
        <f t="shared" si="18"/>
        <v>58</v>
      </c>
      <c r="Q116" s="165">
        <f t="shared" si="23"/>
        <v>70</v>
      </c>
      <c r="R116" s="165">
        <f t="shared" si="24"/>
        <v>72</v>
      </c>
      <c r="S116" s="123">
        <f t="shared" si="26"/>
        <v>142</v>
      </c>
      <c r="T116" s="123">
        <f t="shared" si="27"/>
        <v>200</v>
      </c>
      <c r="U116" s="168"/>
      <c r="V116" s="35"/>
      <c r="W116" s="35"/>
      <c r="X116" s="35"/>
      <c r="Y116" s="35"/>
      <c r="Z116" s="170"/>
      <c r="AA116" s="170"/>
    </row>
    <row r="117" spans="1:27" x14ac:dyDescent="0.25">
      <c r="A117" s="35"/>
      <c r="B117" s="112">
        <v>43547</v>
      </c>
      <c r="C117" s="23" t="s">
        <v>1019</v>
      </c>
      <c r="D117" s="23" t="s">
        <v>650</v>
      </c>
      <c r="E117" s="23"/>
      <c r="F117" s="23" t="s">
        <v>1020</v>
      </c>
      <c r="G117" s="23"/>
      <c r="H117" s="23" t="s">
        <v>28</v>
      </c>
      <c r="I117" s="165"/>
      <c r="J117" s="165">
        <v>5</v>
      </c>
      <c r="K117" s="123">
        <f t="shared" si="29"/>
        <v>5</v>
      </c>
      <c r="L117" s="123">
        <f t="shared" si="16"/>
        <v>0.65</v>
      </c>
      <c r="M117" s="123">
        <f t="shared" si="17"/>
        <v>4.3499999999999996</v>
      </c>
      <c r="N117" s="168"/>
      <c r="O117" s="168"/>
      <c r="P117" s="123">
        <f t="shared" si="18"/>
        <v>0</v>
      </c>
      <c r="Q117" s="165">
        <f t="shared" si="23"/>
        <v>0</v>
      </c>
      <c r="R117" s="165">
        <f t="shared" si="24"/>
        <v>5</v>
      </c>
      <c r="S117" s="123">
        <f t="shared" si="26"/>
        <v>5</v>
      </c>
      <c r="T117" s="123">
        <f t="shared" si="27"/>
        <v>5</v>
      </c>
      <c r="U117" s="168"/>
      <c r="V117" s="35"/>
      <c r="W117" s="35"/>
      <c r="X117" s="35"/>
      <c r="Y117" s="35"/>
      <c r="Z117" s="170"/>
      <c r="AA117" s="170"/>
    </row>
    <row r="118" spans="1:27" ht="27" x14ac:dyDescent="0.25">
      <c r="A118" s="35"/>
      <c r="B118" s="112" t="s">
        <v>1021</v>
      </c>
      <c r="C118" s="23" t="s">
        <v>907</v>
      </c>
      <c r="D118" s="35" t="s">
        <v>650</v>
      </c>
      <c r="E118" s="35"/>
      <c r="F118" s="35" t="s">
        <v>1022</v>
      </c>
      <c r="G118" s="35" t="s">
        <v>1023</v>
      </c>
      <c r="H118" s="35" t="s">
        <v>962</v>
      </c>
      <c r="I118" s="168">
        <v>250</v>
      </c>
      <c r="J118" s="168">
        <v>150</v>
      </c>
      <c r="K118" s="123">
        <f t="shared" si="29"/>
        <v>400</v>
      </c>
      <c r="L118" s="123">
        <f t="shared" si="16"/>
        <v>52</v>
      </c>
      <c r="M118" s="123">
        <f t="shared" si="17"/>
        <v>348</v>
      </c>
      <c r="N118" s="168">
        <v>60</v>
      </c>
      <c r="O118" s="168">
        <v>28</v>
      </c>
      <c r="P118" s="123">
        <f t="shared" si="18"/>
        <v>88</v>
      </c>
      <c r="Q118" s="165">
        <f t="shared" si="23"/>
        <v>190</v>
      </c>
      <c r="R118" s="165">
        <f t="shared" si="24"/>
        <v>122</v>
      </c>
      <c r="S118" s="123">
        <f t="shared" si="26"/>
        <v>312</v>
      </c>
      <c r="T118" s="123">
        <f t="shared" si="27"/>
        <v>400</v>
      </c>
      <c r="U118" s="168"/>
      <c r="V118" s="35"/>
      <c r="W118" s="35"/>
      <c r="X118" s="35"/>
      <c r="Y118" s="35"/>
      <c r="Z118" s="170"/>
      <c r="AA118" s="170"/>
    </row>
    <row r="119" spans="1:27" ht="27" x14ac:dyDescent="0.25">
      <c r="A119" s="35"/>
      <c r="B119" s="112">
        <v>43547</v>
      </c>
      <c r="C119" s="23" t="s">
        <v>1024</v>
      </c>
      <c r="D119" s="35" t="s">
        <v>650</v>
      </c>
      <c r="E119" s="35"/>
      <c r="F119" s="35"/>
      <c r="G119" s="35" t="s">
        <v>1025</v>
      </c>
      <c r="H119" s="35"/>
      <c r="I119" s="168">
        <v>25</v>
      </c>
      <c r="J119" s="168"/>
      <c r="K119" s="123">
        <f t="shared" si="29"/>
        <v>25</v>
      </c>
      <c r="L119" s="123">
        <f t="shared" si="16"/>
        <v>3.25</v>
      </c>
      <c r="M119" s="123">
        <f t="shared" si="17"/>
        <v>21.75</v>
      </c>
      <c r="N119" s="168"/>
      <c r="O119" s="168"/>
      <c r="P119" s="123">
        <f t="shared" si="18"/>
        <v>0</v>
      </c>
      <c r="Q119" s="165">
        <f t="shared" si="23"/>
        <v>25</v>
      </c>
      <c r="R119" s="165">
        <f t="shared" si="24"/>
        <v>0</v>
      </c>
      <c r="S119" s="123">
        <f t="shared" si="26"/>
        <v>25</v>
      </c>
      <c r="T119" s="123">
        <f t="shared" si="27"/>
        <v>25</v>
      </c>
      <c r="U119" s="168"/>
      <c r="V119" s="35"/>
      <c r="W119" s="35"/>
      <c r="X119" s="35"/>
      <c r="Y119" s="35"/>
      <c r="Z119" s="170"/>
      <c r="AA119" s="170"/>
    </row>
    <row r="120" spans="1:27" x14ac:dyDescent="0.25">
      <c r="A120" s="35"/>
      <c r="B120" s="161">
        <v>43547</v>
      </c>
      <c r="C120" s="35" t="s">
        <v>1026</v>
      </c>
      <c r="D120" s="35" t="s">
        <v>650</v>
      </c>
      <c r="E120" s="35"/>
      <c r="F120" s="35"/>
      <c r="G120" s="35" t="s">
        <v>249</v>
      </c>
      <c r="H120" s="35" t="s">
        <v>979</v>
      </c>
      <c r="I120" s="168">
        <v>25</v>
      </c>
      <c r="J120" s="168">
        <v>100</v>
      </c>
      <c r="K120" s="168">
        <f t="shared" si="29"/>
        <v>125</v>
      </c>
      <c r="L120" s="123">
        <f t="shared" si="16"/>
        <v>16.25</v>
      </c>
      <c r="M120" s="123">
        <f t="shared" si="17"/>
        <v>108.75</v>
      </c>
      <c r="N120" s="168">
        <v>10</v>
      </c>
      <c r="O120" s="168">
        <v>14</v>
      </c>
      <c r="P120" s="123">
        <f t="shared" si="18"/>
        <v>24</v>
      </c>
      <c r="Q120" s="165">
        <f t="shared" si="23"/>
        <v>15</v>
      </c>
      <c r="R120" s="165">
        <f t="shared" si="24"/>
        <v>86</v>
      </c>
      <c r="S120" s="123">
        <f t="shared" si="26"/>
        <v>101</v>
      </c>
      <c r="T120" s="123">
        <f t="shared" si="27"/>
        <v>125</v>
      </c>
      <c r="U120" s="168"/>
      <c r="V120" s="35"/>
      <c r="W120" s="35"/>
      <c r="X120" s="35"/>
      <c r="Y120" s="35"/>
      <c r="Z120" s="170"/>
      <c r="AA120" s="170"/>
    </row>
    <row r="121" spans="1:27" ht="27" x14ac:dyDescent="0.25">
      <c r="A121" s="35"/>
      <c r="B121" s="112">
        <v>43548</v>
      </c>
      <c r="C121" s="23" t="s">
        <v>1028</v>
      </c>
      <c r="D121" s="23" t="s">
        <v>650</v>
      </c>
      <c r="E121" s="23"/>
      <c r="F121" s="23" t="s">
        <v>1029</v>
      </c>
      <c r="G121" s="23"/>
      <c r="H121" s="23" t="s">
        <v>106</v>
      </c>
      <c r="I121" s="165"/>
      <c r="J121" s="165">
        <v>10</v>
      </c>
      <c r="K121" s="123">
        <f>I121+J121</f>
        <v>10</v>
      </c>
      <c r="L121" s="123">
        <f t="shared" si="16"/>
        <v>1.3</v>
      </c>
      <c r="M121" s="123">
        <f t="shared" si="17"/>
        <v>8.6999999999999993</v>
      </c>
      <c r="N121" s="168"/>
      <c r="O121" s="168"/>
      <c r="P121" s="123">
        <f t="shared" si="18"/>
        <v>0</v>
      </c>
      <c r="Q121" s="165">
        <f t="shared" si="23"/>
        <v>0</v>
      </c>
      <c r="R121" s="165">
        <f t="shared" si="24"/>
        <v>10</v>
      </c>
      <c r="S121" s="123">
        <f t="shared" si="26"/>
        <v>10</v>
      </c>
      <c r="T121" s="123">
        <f t="shared" si="27"/>
        <v>10</v>
      </c>
      <c r="U121" s="168"/>
      <c r="V121" s="35"/>
      <c r="W121" s="35"/>
      <c r="X121" s="35"/>
      <c r="Y121" s="35"/>
      <c r="Z121" s="170"/>
      <c r="AA121" s="170"/>
    </row>
    <row r="122" spans="1:27" ht="27" x14ac:dyDescent="0.25">
      <c r="A122" s="35"/>
      <c r="B122" s="112">
        <v>43548</v>
      </c>
      <c r="C122" s="23" t="s">
        <v>1030</v>
      </c>
      <c r="D122" s="23" t="s">
        <v>650</v>
      </c>
      <c r="E122" s="23"/>
      <c r="F122" s="23" t="s">
        <v>1031</v>
      </c>
      <c r="G122" s="23" t="s">
        <v>1032</v>
      </c>
      <c r="H122" s="23" t="s">
        <v>1033</v>
      </c>
      <c r="I122" s="165"/>
      <c r="J122" s="165">
        <v>100</v>
      </c>
      <c r="K122" s="123">
        <f>I122+J122</f>
        <v>100</v>
      </c>
      <c r="L122" s="123">
        <f t="shared" si="16"/>
        <v>13</v>
      </c>
      <c r="M122" s="123">
        <f t="shared" si="17"/>
        <v>87</v>
      </c>
      <c r="N122" s="168"/>
      <c r="O122" s="168"/>
      <c r="P122" s="123">
        <f t="shared" si="18"/>
        <v>0</v>
      </c>
      <c r="Q122" s="165">
        <f t="shared" si="23"/>
        <v>0</v>
      </c>
      <c r="R122" s="165">
        <f t="shared" si="24"/>
        <v>100</v>
      </c>
      <c r="S122" s="123">
        <f t="shared" si="26"/>
        <v>100</v>
      </c>
      <c r="T122" s="123">
        <f t="shared" si="27"/>
        <v>100</v>
      </c>
      <c r="U122" s="168"/>
      <c r="V122" s="35"/>
      <c r="W122" s="35"/>
      <c r="X122" s="35"/>
      <c r="Y122" s="35"/>
      <c r="Z122" s="170"/>
      <c r="AA122" s="170"/>
    </row>
    <row r="123" spans="1:27" x14ac:dyDescent="0.25">
      <c r="A123" s="35"/>
      <c r="B123" s="112">
        <v>43548</v>
      </c>
      <c r="C123" s="23" t="s">
        <v>1034</v>
      </c>
      <c r="D123" s="23" t="s">
        <v>650</v>
      </c>
      <c r="E123" s="23"/>
      <c r="F123" s="23" t="s">
        <v>1035</v>
      </c>
      <c r="G123" s="23" t="s">
        <v>1036</v>
      </c>
      <c r="H123" s="23" t="s">
        <v>71</v>
      </c>
      <c r="I123" s="165"/>
      <c r="J123" s="165">
        <v>100</v>
      </c>
      <c r="K123" s="123">
        <f>I123+J123</f>
        <v>100</v>
      </c>
      <c r="L123" s="123">
        <f t="shared" si="16"/>
        <v>13</v>
      </c>
      <c r="M123" s="123">
        <f t="shared" si="17"/>
        <v>87</v>
      </c>
      <c r="N123" s="168">
        <v>15</v>
      </c>
      <c r="O123" s="168">
        <v>19.5</v>
      </c>
      <c r="P123" s="123">
        <f t="shared" si="18"/>
        <v>34.5</v>
      </c>
      <c r="Q123" s="165">
        <f t="shared" si="23"/>
        <v>-15</v>
      </c>
      <c r="R123" s="165">
        <f t="shared" si="24"/>
        <v>80.5</v>
      </c>
      <c r="S123" s="123">
        <f t="shared" si="26"/>
        <v>65.5</v>
      </c>
      <c r="T123" s="123">
        <f t="shared" si="27"/>
        <v>100</v>
      </c>
      <c r="U123" s="168"/>
      <c r="V123" s="35"/>
      <c r="W123" s="35"/>
      <c r="X123" s="35"/>
      <c r="Y123" s="35"/>
      <c r="Z123" s="170"/>
      <c r="AA123" s="170"/>
    </row>
    <row r="124" spans="1:27" x14ac:dyDescent="0.25">
      <c r="A124" s="35"/>
      <c r="B124" s="112">
        <v>43548</v>
      </c>
      <c r="C124" s="23" t="s">
        <v>1037</v>
      </c>
      <c r="D124" s="35" t="s">
        <v>650</v>
      </c>
      <c r="E124" s="35"/>
      <c r="F124" s="35" t="s">
        <v>1038</v>
      </c>
      <c r="G124" s="35" t="s">
        <v>1039</v>
      </c>
      <c r="H124" s="35" t="s">
        <v>1040</v>
      </c>
      <c r="I124" s="168">
        <v>60</v>
      </c>
      <c r="J124" s="168">
        <v>90</v>
      </c>
      <c r="K124" s="123">
        <f>I124+J124</f>
        <v>150</v>
      </c>
      <c r="L124" s="123">
        <f t="shared" si="16"/>
        <v>19.5</v>
      </c>
      <c r="M124" s="123">
        <f t="shared" si="17"/>
        <v>130.5</v>
      </c>
      <c r="N124" s="168">
        <v>15</v>
      </c>
      <c r="O124" s="168">
        <v>14</v>
      </c>
      <c r="P124" s="123">
        <f t="shared" si="18"/>
        <v>29</v>
      </c>
      <c r="Q124" s="165">
        <f t="shared" si="23"/>
        <v>45</v>
      </c>
      <c r="R124" s="165">
        <f t="shared" si="24"/>
        <v>76</v>
      </c>
      <c r="S124" s="123">
        <f t="shared" si="26"/>
        <v>121</v>
      </c>
      <c r="T124" s="123">
        <f t="shared" si="27"/>
        <v>150</v>
      </c>
      <c r="U124" s="168"/>
      <c r="V124" s="35"/>
      <c r="W124" s="35"/>
      <c r="X124" s="35"/>
      <c r="Y124" s="35"/>
      <c r="Z124" s="170"/>
      <c r="AA124" s="170"/>
    </row>
    <row r="125" spans="1:27" x14ac:dyDescent="0.25">
      <c r="A125" s="35"/>
      <c r="B125" s="112">
        <v>43548</v>
      </c>
      <c r="C125" s="23" t="s">
        <v>1041</v>
      </c>
      <c r="D125" s="35" t="s">
        <v>650</v>
      </c>
      <c r="E125" s="35"/>
      <c r="F125" s="35" t="s">
        <v>1042</v>
      </c>
      <c r="G125" s="35"/>
      <c r="H125" s="35" t="s">
        <v>28</v>
      </c>
      <c r="I125" s="168"/>
      <c r="J125" s="168">
        <v>5</v>
      </c>
      <c r="K125" s="123">
        <v>5</v>
      </c>
      <c r="L125" s="123">
        <f t="shared" si="16"/>
        <v>0.65</v>
      </c>
      <c r="M125" s="123">
        <f t="shared" si="17"/>
        <v>4.3499999999999996</v>
      </c>
      <c r="N125" s="168"/>
      <c r="O125" s="168"/>
      <c r="P125" s="123">
        <f t="shared" si="18"/>
        <v>0</v>
      </c>
      <c r="Q125" s="165">
        <f t="shared" si="23"/>
        <v>0</v>
      </c>
      <c r="R125" s="165">
        <f t="shared" si="24"/>
        <v>5</v>
      </c>
      <c r="S125" s="123">
        <f t="shared" si="26"/>
        <v>5</v>
      </c>
      <c r="T125" s="123">
        <f t="shared" si="27"/>
        <v>5</v>
      </c>
      <c r="U125" s="168"/>
      <c r="V125" s="35"/>
      <c r="W125" s="35"/>
      <c r="X125" s="35"/>
      <c r="Y125" s="35"/>
      <c r="Z125" s="170"/>
      <c r="AA125" s="170"/>
    </row>
    <row r="126" spans="1:27" ht="27" x14ac:dyDescent="0.25">
      <c r="A126" s="35"/>
      <c r="B126" s="112">
        <v>43548</v>
      </c>
      <c r="C126" s="23" t="s">
        <v>1043</v>
      </c>
      <c r="D126" s="35" t="s">
        <v>650</v>
      </c>
      <c r="E126" s="35"/>
      <c r="F126" s="35" t="s">
        <v>1044</v>
      </c>
      <c r="G126" s="35" t="s">
        <v>1045</v>
      </c>
      <c r="H126" s="35" t="s">
        <v>337</v>
      </c>
      <c r="I126" s="168">
        <v>225</v>
      </c>
      <c r="J126" s="168">
        <v>225</v>
      </c>
      <c r="K126" s="123">
        <v>450</v>
      </c>
      <c r="L126" s="123">
        <f t="shared" si="16"/>
        <v>58.5</v>
      </c>
      <c r="M126" s="123">
        <f t="shared" si="17"/>
        <v>391.5</v>
      </c>
      <c r="N126" s="168">
        <v>60</v>
      </c>
      <c r="O126" s="168"/>
      <c r="P126" s="123">
        <f t="shared" si="18"/>
        <v>60</v>
      </c>
      <c r="Q126" s="165">
        <f t="shared" si="23"/>
        <v>165</v>
      </c>
      <c r="R126" s="165">
        <f t="shared" si="24"/>
        <v>225</v>
      </c>
      <c r="S126" s="123">
        <f t="shared" si="26"/>
        <v>390</v>
      </c>
      <c r="T126" s="123">
        <f t="shared" si="27"/>
        <v>450</v>
      </c>
      <c r="U126" s="168"/>
      <c r="V126" s="35"/>
      <c r="W126" s="35"/>
      <c r="X126" s="35"/>
      <c r="Y126" s="35"/>
      <c r="Z126" s="170"/>
      <c r="AA126" s="170"/>
    </row>
    <row r="127" spans="1:27" x14ac:dyDescent="0.25">
      <c r="A127" s="35"/>
      <c r="B127" s="112">
        <v>43548</v>
      </c>
      <c r="C127" s="23" t="s">
        <v>1046</v>
      </c>
      <c r="D127" s="35" t="s">
        <v>650</v>
      </c>
      <c r="E127" s="35"/>
      <c r="F127" s="35"/>
      <c r="G127" s="35" t="s">
        <v>1047</v>
      </c>
      <c r="H127" s="35" t="s">
        <v>863</v>
      </c>
      <c r="I127" s="168"/>
      <c r="J127" s="168">
        <v>100</v>
      </c>
      <c r="K127" s="123">
        <v>100</v>
      </c>
      <c r="L127" s="123">
        <f t="shared" si="16"/>
        <v>13</v>
      </c>
      <c r="M127" s="123">
        <f t="shared" si="17"/>
        <v>87</v>
      </c>
      <c r="N127" s="168">
        <v>15</v>
      </c>
      <c r="O127" s="168">
        <v>14</v>
      </c>
      <c r="P127" s="123">
        <f t="shared" si="18"/>
        <v>29</v>
      </c>
      <c r="Q127" s="165">
        <f t="shared" si="23"/>
        <v>-15</v>
      </c>
      <c r="R127" s="165">
        <f t="shared" si="24"/>
        <v>86</v>
      </c>
      <c r="S127" s="123">
        <f t="shared" si="26"/>
        <v>71</v>
      </c>
      <c r="T127" s="123">
        <f t="shared" si="27"/>
        <v>100</v>
      </c>
      <c r="U127" s="168"/>
      <c r="V127" s="35"/>
      <c r="W127" s="35"/>
      <c r="X127" s="35"/>
      <c r="Y127" s="35"/>
      <c r="Z127" s="170"/>
      <c r="AA127" s="170"/>
    </row>
    <row r="128" spans="1:27" ht="27" x14ac:dyDescent="0.25">
      <c r="A128" s="35"/>
      <c r="B128" s="112" t="s">
        <v>1048</v>
      </c>
      <c r="C128" s="23" t="s">
        <v>1049</v>
      </c>
      <c r="D128" s="35" t="s">
        <v>650</v>
      </c>
      <c r="E128" s="35"/>
      <c r="F128" s="35" t="s">
        <v>1050</v>
      </c>
      <c r="G128" s="35" t="s">
        <v>1051</v>
      </c>
      <c r="H128" s="35" t="s">
        <v>1052</v>
      </c>
      <c r="I128" s="168"/>
      <c r="J128" s="168">
        <v>100</v>
      </c>
      <c r="K128" s="123">
        <v>100</v>
      </c>
      <c r="L128" s="123">
        <f t="shared" si="16"/>
        <v>13</v>
      </c>
      <c r="M128" s="123">
        <f t="shared" si="17"/>
        <v>87</v>
      </c>
      <c r="N128" s="168">
        <v>15</v>
      </c>
      <c r="O128" s="168">
        <v>14</v>
      </c>
      <c r="P128" s="123">
        <f t="shared" si="18"/>
        <v>29</v>
      </c>
      <c r="Q128" s="165">
        <f t="shared" si="23"/>
        <v>-15</v>
      </c>
      <c r="R128" s="165">
        <f t="shared" si="24"/>
        <v>86</v>
      </c>
      <c r="S128" s="123">
        <f t="shared" si="26"/>
        <v>71</v>
      </c>
      <c r="T128" s="123">
        <f t="shared" si="27"/>
        <v>100</v>
      </c>
      <c r="U128" s="168"/>
      <c r="V128" s="35"/>
      <c r="W128" s="35"/>
      <c r="X128" s="35"/>
      <c r="Y128" s="35"/>
      <c r="Z128" s="170"/>
      <c r="AA128" s="170"/>
    </row>
    <row r="129" spans="1:27" x14ac:dyDescent="0.25">
      <c r="A129" s="35"/>
      <c r="B129" s="112">
        <v>43548</v>
      </c>
      <c r="C129" s="23" t="s">
        <v>1053</v>
      </c>
      <c r="D129" s="35" t="s">
        <v>650</v>
      </c>
      <c r="E129" s="35"/>
      <c r="F129" s="35" t="s">
        <v>1054</v>
      </c>
      <c r="G129" s="35" t="s">
        <v>1055</v>
      </c>
      <c r="H129" s="35" t="s">
        <v>863</v>
      </c>
      <c r="I129" s="168"/>
      <c r="J129" s="168">
        <v>100</v>
      </c>
      <c r="K129" s="123">
        <v>100</v>
      </c>
      <c r="L129" s="123">
        <f t="shared" si="16"/>
        <v>13</v>
      </c>
      <c r="M129" s="123">
        <f t="shared" si="17"/>
        <v>87</v>
      </c>
      <c r="N129" s="168">
        <v>10</v>
      </c>
      <c r="O129" s="168">
        <v>14</v>
      </c>
      <c r="P129" s="123">
        <f t="shared" si="18"/>
        <v>24</v>
      </c>
      <c r="Q129" s="165">
        <f t="shared" si="23"/>
        <v>-10</v>
      </c>
      <c r="R129" s="165">
        <f t="shared" si="24"/>
        <v>86</v>
      </c>
      <c r="S129" s="123">
        <f t="shared" si="26"/>
        <v>76</v>
      </c>
      <c r="T129" s="123">
        <f t="shared" si="27"/>
        <v>100</v>
      </c>
      <c r="U129" s="168"/>
      <c r="V129" s="35"/>
      <c r="W129" s="35"/>
      <c r="X129" s="35"/>
      <c r="Y129" s="35"/>
      <c r="Z129" s="170"/>
      <c r="AA129" s="170"/>
    </row>
    <row r="130" spans="1:27" ht="27" x14ac:dyDescent="0.25">
      <c r="A130" s="35"/>
      <c r="B130" s="112">
        <v>43549</v>
      </c>
      <c r="C130" s="23" t="s">
        <v>1056</v>
      </c>
      <c r="D130" s="23" t="s">
        <v>650</v>
      </c>
      <c r="E130" s="23"/>
      <c r="F130" s="23"/>
      <c r="G130" s="23" t="s">
        <v>1057</v>
      </c>
      <c r="H130" s="23" t="s">
        <v>1058</v>
      </c>
      <c r="I130" s="165">
        <v>180</v>
      </c>
      <c r="J130" s="165">
        <v>70</v>
      </c>
      <c r="K130" s="123">
        <f>I130+J130</f>
        <v>250</v>
      </c>
      <c r="L130" s="123">
        <f t="shared" si="16"/>
        <v>32.5</v>
      </c>
      <c r="M130" s="123">
        <f t="shared" si="17"/>
        <v>217.5</v>
      </c>
      <c r="N130" s="168">
        <v>45</v>
      </c>
      <c r="O130" s="168"/>
      <c r="P130" s="123">
        <f t="shared" si="18"/>
        <v>45</v>
      </c>
      <c r="Q130" s="165">
        <f t="shared" si="23"/>
        <v>135</v>
      </c>
      <c r="R130" s="165">
        <f t="shared" si="24"/>
        <v>70</v>
      </c>
      <c r="S130" s="123">
        <f t="shared" si="26"/>
        <v>205</v>
      </c>
      <c r="T130" s="123">
        <f t="shared" si="27"/>
        <v>250</v>
      </c>
      <c r="U130" s="168"/>
      <c r="V130" s="35"/>
      <c r="W130" s="35"/>
      <c r="X130" s="35"/>
      <c r="Y130" s="35"/>
      <c r="Z130" s="170"/>
      <c r="AA130" s="170"/>
    </row>
    <row r="131" spans="1:27" x14ac:dyDescent="0.25">
      <c r="A131" s="35"/>
      <c r="B131" s="112">
        <v>43549</v>
      </c>
      <c r="C131" s="23" t="s">
        <v>1059</v>
      </c>
      <c r="D131" s="23" t="s">
        <v>650</v>
      </c>
      <c r="E131" s="23"/>
      <c r="F131" s="23" t="s">
        <v>1060</v>
      </c>
      <c r="G131" s="23"/>
      <c r="H131" s="23" t="s">
        <v>1061</v>
      </c>
      <c r="I131" s="165"/>
      <c r="J131" s="165">
        <v>3</v>
      </c>
      <c r="K131" s="123">
        <f>I131+J131</f>
        <v>3</v>
      </c>
      <c r="L131" s="123">
        <f t="shared" si="16"/>
        <v>0.39</v>
      </c>
      <c r="M131" s="123">
        <f t="shared" si="17"/>
        <v>2.61</v>
      </c>
      <c r="N131" s="168"/>
      <c r="O131" s="168"/>
      <c r="P131" s="123">
        <f t="shared" si="18"/>
        <v>0</v>
      </c>
      <c r="Q131" s="165">
        <f t="shared" si="23"/>
        <v>0</v>
      </c>
      <c r="R131" s="165">
        <f t="shared" si="24"/>
        <v>3</v>
      </c>
      <c r="S131" s="123">
        <f t="shared" si="26"/>
        <v>3</v>
      </c>
      <c r="T131" s="123">
        <f t="shared" si="27"/>
        <v>3</v>
      </c>
      <c r="U131" s="168"/>
      <c r="V131" s="35"/>
      <c r="W131" s="35"/>
      <c r="X131" s="35"/>
      <c r="Y131" s="35"/>
      <c r="Z131" s="170"/>
      <c r="AA131" s="170"/>
    </row>
    <row r="132" spans="1:27" x14ac:dyDescent="0.25">
      <c r="A132" s="35"/>
      <c r="B132" s="112">
        <v>43549</v>
      </c>
      <c r="C132" s="23" t="s">
        <v>1062</v>
      </c>
      <c r="D132" s="23" t="s">
        <v>650</v>
      </c>
      <c r="E132" s="23"/>
      <c r="F132" s="23" t="s">
        <v>1063</v>
      </c>
      <c r="G132" s="23" t="s">
        <v>1064</v>
      </c>
      <c r="H132" s="23" t="s">
        <v>853</v>
      </c>
      <c r="I132" s="165"/>
      <c r="J132" s="165">
        <v>100</v>
      </c>
      <c r="K132" s="123">
        <f>I132+J132</f>
        <v>100</v>
      </c>
      <c r="L132" s="123">
        <f t="shared" si="16"/>
        <v>13</v>
      </c>
      <c r="M132" s="123">
        <f t="shared" si="17"/>
        <v>87</v>
      </c>
      <c r="N132" s="168">
        <v>10</v>
      </c>
      <c r="O132" s="168">
        <v>14</v>
      </c>
      <c r="P132" s="123">
        <f t="shared" si="18"/>
        <v>24</v>
      </c>
      <c r="Q132" s="165">
        <f t="shared" si="23"/>
        <v>-10</v>
      </c>
      <c r="R132" s="165">
        <f t="shared" si="24"/>
        <v>86</v>
      </c>
      <c r="S132" s="123">
        <f t="shared" si="26"/>
        <v>76</v>
      </c>
      <c r="T132" s="123">
        <f t="shared" si="27"/>
        <v>100</v>
      </c>
      <c r="U132" s="168"/>
      <c r="V132" s="35"/>
      <c r="W132" s="35"/>
      <c r="X132" s="35"/>
      <c r="Y132" s="35"/>
      <c r="Z132" s="170"/>
      <c r="AA132" s="170"/>
    </row>
    <row r="133" spans="1:27" x14ac:dyDescent="0.25">
      <c r="A133" s="35"/>
      <c r="B133" s="112">
        <v>43549</v>
      </c>
      <c r="C133" s="23" t="s">
        <v>1065</v>
      </c>
      <c r="D133" s="35" t="s">
        <v>650</v>
      </c>
      <c r="E133" s="35"/>
      <c r="F133" s="35" t="s">
        <v>1066</v>
      </c>
      <c r="G133" s="35"/>
      <c r="H133" s="35" t="s">
        <v>399</v>
      </c>
      <c r="I133" s="168"/>
      <c r="J133" s="168">
        <v>5</v>
      </c>
      <c r="K133" s="123">
        <f>I133+J133</f>
        <v>5</v>
      </c>
      <c r="L133" s="123">
        <f t="shared" ref="L133:L166" si="30">K133*13%</f>
        <v>0.65</v>
      </c>
      <c r="M133" s="123">
        <f t="shared" ref="M133:M166" si="31">K133-L133</f>
        <v>4.3499999999999996</v>
      </c>
      <c r="N133" s="168"/>
      <c r="O133" s="168"/>
      <c r="P133" s="123">
        <f t="shared" si="18"/>
        <v>0</v>
      </c>
      <c r="Q133" s="165">
        <f t="shared" si="23"/>
        <v>0</v>
      </c>
      <c r="R133" s="165">
        <f t="shared" si="24"/>
        <v>5</v>
      </c>
      <c r="S133" s="123">
        <f t="shared" si="26"/>
        <v>5</v>
      </c>
      <c r="T133" s="123">
        <f t="shared" si="27"/>
        <v>5</v>
      </c>
      <c r="U133" s="168"/>
      <c r="V133" s="35"/>
      <c r="W133" s="35"/>
      <c r="X133" s="35"/>
      <c r="Y133" s="35"/>
      <c r="Z133" s="170"/>
      <c r="AA133" s="170"/>
    </row>
    <row r="134" spans="1:27" x14ac:dyDescent="0.25">
      <c r="A134" s="35"/>
      <c r="B134" s="112">
        <v>43549</v>
      </c>
      <c r="C134" s="23" t="s">
        <v>1067</v>
      </c>
      <c r="D134" s="35" t="s">
        <v>650</v>
      </c>
      <c r="E134" s="35"/>
      <c r="F134" s="35"/>
      <c r="G134" s="35" t="s">
        <v>1068</v>
      </c>
      <c r="H134" s="35"/>
      <c r="I134" s="168"/>
      <c r="J134" s="168">
        <v>20</v>
      </c>
      <c r="K134" s="123">
        <v>20</v>
      </c>
      <c r="L134" s="123">
        <f t="shared" si="30"/>
        <v>2.6</v>
      </c>
      <c r="M134" s="123">
        <f t="shared" si="31"/>
        <v>17.399999999999999</v>
      </c>
      <c r="N134" s="168"/>
      <c r="O134" s="168"/>
      <c r="P134" s="123">
        <f t="shared" si="18"/>
        <v>0</v>
      </c>
      <c r="Q134" s="165">
        <f t="shared" ref="Q134:Q166" si="32">I134-N134</f>
        <v>0</v>
      </c>
      <c r="R134" s="165">
        <f t="shared" ref="R134:R166" si="33">J134-O134</f>
        <v>20</v>
      </c>
      <c r="S134" s="123">
        <f t="shared" si="26"/>
        <v>20</v>
      </c>
      <c r="T134" s="123">
        <f t="shared" si="27"/>
        <v>20</v>
      </c>
      <c r="U134" s="168"/>
      <c r="V134" s="35"/>
      <c r="W134" s="35"/>
      <c r="X134" s="35"/>
      <c r="Y134" s="35"/>
      <c r="Z134" s="170"/>
      <c r="AA134" s="170"/>
    </row>
    <row r="135" spans="1:27" ht="27" x14ac:dyDescent="0.25">
      <c r="A135" s="35" t="s">
        <v>1027</v>
      </c>
      <c r="B135" s="112">
        <v>43549</v>
      </c>
      <c r="C135" s="23" t="s">
        <v>1069</v>
      </c>
      <c r="D135" s="35" t="s">
        <v>650</v>
      </c>
      <c r="E135" s="35"/>
      <c r="F135" s="35" t="s">
        <v>1070</v>
      </c>
      <c r="G135" s="35" t="s">
        <v>1071</v>
      </c>
      <c r="H135" s="35" t="s">
        <v>341</v>
      </c>
      <c r="I135" s="168"/>
      <c r="J135" s="168">
        <v>100</v>
      </c>
      <c r="K135" s="123">
        <v>100</v>
      </c>
      <c r="L135" s="123">
        <f t="shared" si="30"/>
        <v>13</v>
      </c>
      <c r="M135" s="123">
        <f t="shared" si="31"/>
        <v>87</v>
      </c>
      <c r="N135" s="168">
        <v>15</v>
      </c>
      <c r="O135" s="168">
        <v>14</v>
      </c>
      <c r="P135" s="123">
        <f t="shared" si="18"/>
        <v>29</v>
      </c>
      <c r="Q135" s="165">
        <f t="shared" si="32"/>
        <v>-15</v>
      </c>
      <c r="R135" s="165">
        <f t="shared" si="33"/>
        <v>86</v>
      </c>
      <c r="S135" s="123">
        <f t="shared" si="26"/>
        <v>71</v>
      </c>
      <c r="T135" s="123">
        <f t="shared" si="27"/>
        <v>100</v>
      </c>
      <c r="U135" s="168"/>
      <c r="V135" s="35"/>
      <c r="W135" s="35"/>
      <c r="X135" s="35"/>
      <c r="Y135" s="35"/>
      <c r="Z135" s="170"/>
      <c r="AA135" s="170"/>
    </row>
    <row r="136" spans="1:27" ht="27" x14ac:dyDescent="0.25">
      <c r="A136" s="35"/>
      <c r="B136" s="112">
        <v>43549</v>
      </c>
      <c r="C136" s="23" t="s">
        <v>1072</v>
      </c>
      <c r="D136" s="35" t="s">
        <v>650</v>
      </c>
      <c r="E136" s="35"/>
      <c r="F136" s="35"/>
      <c r="G136" s="35" t="s">
        <v>1073</v>
      </c>
      <c r="H136" s="35" t="s">
        <v>481</v>
      </c>
      <c r="I136" s="168">
        <v>60</v>
      </c>
      <c r="J136" s="168">
        <v>140</v>
      </c>
      <c r="K136" s="123">
        <f t="shared" ref="K136:K141" si="34">I136+J136</f>
        <v>200</v>
      </c>
      <c r="L136" s="123">
        <f t="shared" si="30"/>
        <v>26</v>
      </c>
      <c r="M136" s="123">
        <f t="shared" si="31"/>
        <v>174</v>
      </c>
      <c r="N136" s="168"/>
      <c r="O136" s="168"/>
      <c r="P136" s="123">
        <f t="shared" si="18"/>
        <v>0</v>
      </c>
      <c r="Q136" s="165">
        <f t="shared" si="32"/>
        <v>60</v>
      </c>
      <c r="R136" s="165">
        <f t="shared" si="33"/>
        <v>140</v>
      </c>
      <c r="S136" s="123">
        <f t="shared" si="26"/>
        <v>200</v>
      </c>
      <c r="T136" s="123">
        <f t="shared" si="27"/>
        <v>200</v>
      </c>
      <c r="U136" s="168"/>
      <c r="V136" s="35"/>
      <c r="W136" s="35"/>
      <c r="X136" s="35"/>
      <c r="Y136" s="35"/>
      <c r="Z136" s="170"/>
      <c r="AA136" s="170"/>
    </row>
    <row r="137" spans="1:27" ht="27" x14ac:dyDescent="0.25">
      <c r="A137" s="35">
        <v>89</v>
      </c>
      <c r="B137" s="112">
        <v>43550</v>
      </c>
      <c r="C137" s="23" t="s">
        <v>1121</v>
      </c>
      <c r="D137" s="23" t="s">
        <v>650</v>
      </c>
      <c r="E137" s="23"/>
      <c r="F137" s="23" t="s">
        <v>1122</v>
      </c>
      <c r="G137" s="23" t="s">
        <v>1123</v>
      </c>
      <c r="H137" s="23" t="s">
        <v>1124</v>
      </c>
      <c r="I137" s="165">
        <v>40</v>
      </c>
      <c r="J137" s="165">
        <v>300</v>
      </c>
      <c r="K137" s="123">
        <f t="shared" si="34"/>
        <v>340</v>
      </c>
      <c r="L137" s="123">
        <f t="shared" si="30"/>
        <v>44.2</v>
      </c>
      <c r="M137" s="123">
        <f t="shared" si="31"/>
        <v>295.8</v>
      </c>
      <c r="N137" s="168"/>
      <c r="O137" s="168"/>
      <c r="P137" s="123">
        <f t="shared" si="18"/>
        <v>0</v>
      </c>
      <c r="Q137" s="165">
        <f t="shared" si="32"/>
        <v>40</v>
      </c>
      <c r="R137" s="165">
        <f t="shared" si="33"/>
        <v>300</v>
      </c>
      <c r="S137" s="123">
        <f t="shared" si="26"/>
        <v>340</v>
      </c>
      <c r="T137" s="123">
        <f t="shared" si="27"/>
        <v>340</v>
      </c>
      <c r="U137" s="168"/>
      <c r="V137" s="35"/>
      <c r="W137" s="35"/>
      <c r="X137" s="35"/>
      <c r="Y137" s="35"/>
      <c r="Z137" s="170">
        <f>U137+W137</f>
        <v>0</v>
      </c>
      <c r="AA137" s="170">
        <f>T137-Z137</f>
        <v>340</v>
      </c>
    </row>
    <row r="138" spans="1:27" ht="27" x14ac:dyDescent="0.25">
      <c r="A138" s="35">
        <v>90</v>
      </c>
      <c r="B138" s="112">
        <v>43550</v>
      </c>
      <c r="C138" s="23" t="s">
        <v>1125</v>
      </c>
      <c r="D138" s="23" t="s">
        <v>650</v>
      </c>
      <c r="E138" s="23"/>
      <c r="F138" s="23"/>
      <c r="G138" s="23"/>
      <c r="H138" s="23" t="s">
        <v>341</v>
      </c>
      <c r="I138" s="165"/>
      <c r="J138" s="165">
        <v>75</v>
      </c>
      <c r="K138" s="123">
        <f t="shared" si="34"/>
        <v>75</v>
      </c>
      <c r="L138" s="123">
        <f t="shared" si="30"/>
        <v>9.75</v>
      </c>
      <c r="M138" s="123">
        <f t="shared" si="31"/>
        <v>65.25</v>
      </c>
      <c r="N138" s="168"/>
      <c r="O138" s="168">
        <v>14</v>
      </c>
      <c r="P138" s="123">
        <f t="shared" si="18"/>
        <v>14</v>
      </c>
      <c r="Q138" s="165">
        <f t="shared" si="32"/>
        <v>0</v>
      </c>
      <c r="R138" s="165">
        <f t="shared" si="33"/>
        <v>61</v>
      </c>
      <c r="S138" s="123">
        <f t="shared" si="26"/>
        <v>61</v>
      </c>
      <c r="T138" s="123">
        <f t="shared" si="27"/>
        <v>75</v>
      </c>
      <c r="U138" s="168"/>
      <c r="V138" s="35"/>
      <c r="W138" s="35"/>
      <c r="X138" s="35"/>
      <c r="Y138" s="35"/>
      <c r="Z138" s="170">
        <f>U138+W138</f>
        <v>0</v>
      </c>
      <c r="AA138" s="170">
        <f>T138-Z138</f>
        <v>75</v>
      </c>
    </row>
    <row r="139" spans="1:27" x14ac:dyDescent="0.25">
      <c r="A139" s="35"/>
      <c r="B139" s="112">
        <v>43550</v>
      </c>
      <c r="C139" s="23" t="s">
        <v>1126</v>
      </c>
      <c r="D139" s="23" t="s">
        <v>650</v>
      </c>
      <c r="E139" s="23"/>
      <c r="F139" s="23"/>
      <c r="G139" s="23"/>
      <c r="H139" s="23" t="s">
        <v>161</v>
      </c>
      <c r="I139" s="165"/>
      <c r="J139" s="165">
        <v>3</v>
      </c>
      <c r="K139" s="123">
        <f t="shared" si="34"/>
        <v>3</v>
      </c>
      <c r="L139" s="123">
        <f t="shared" si="30"/>
        <v>0.39</v>
      </c>
      <c r="M139" s="123">
        <f t="shared" si="31"/>
        <v>2.61</v>
      </c>
      <c r="N139" s="168"/>
      <c r="O139" s="168"/>
      <c r="P139" s="123">
        <f t="shared" si="18"/>
        <v>0</v>
      </c>
      <c r="Q139" s="165">
        <f t="shared" si="32"/>
        <v>0</v>
      </c>
      <c r="R139" s="165">
        <f t="shared" si="33"/>
        <v>3</v>
      </c>
      <c r="S139" s="123">
        <f t="shared" si="26"/>
        <v>3</v>
      </c>
      <c r="T139" s="123">
        <f t="shared" si="27"/>
        <v>3</v>
      </c>
      <c r="U139" s="168"/>
      <c r="V139" s="35"/>
      <c r="W139" s="35"/>
      <c r="X139" s="35"/>
      <c r="Y139" s="35"/>
      <c r="Z139" s="170"/>
      <c r="AA139" s="170"/>
    </row>
    <row r="140" spans="1:27" ht="27" x14ac:dyDescent="0.25">
      <c r="A140" s="35"/>
      <c r="B140" s="112">
        <v>43550</v>
      </c>
      <c r="C140" s="23" t="s">
        <v>1127</v>
      </c>
      <c r="D140" s="35" t="s">
        <v>650</v>
      </c>
      <c r="E140" s="35"/>
      <c r="F140" s="35"/>
      <c r="G140" s="35" t="s">
        <v>1128</v>
      </c>
      <c r="H140" s="35" t="s">
        <v>341</v>
      </c>
      <c r="I140" s="168"/>
      <c r="J140" s="168">
        <v>95</v>
      </c>
      <c r="K140" s="123">
        <f t="shared" si="34"/>
        <v>95</v>
      </c>
      <c r="L140" s="123">
        <f t="shared" si="30"/>
        <v>12.35</v>
      </c>
      <c r="M140" s="123">
        <f t="shared" si="31"/>
        <v>82.65</v>
      </c>
      <c r="N140" s="168">
        <v>15</v>
      </c>
      <c r="O140" s="168">
        <v>14</v>
      </c>
      <c r="P140" s="123">
        <f t="shared" si="18"/>
        <v>29</v>
      </c>
      <c r="Q140" s="165">
        <f t="shared" si="32"/>
        <v>-15</v>
      </c>
      <c r="R140" s="165">
        <f t="shared" si="33"/>
        <v>81</v>
      </c>
      <c r="S140" s="123">
        <f t="shared" si="26"/>
        <v>66</v>
      </c>
      <c r="T140" s="123">
        <f t="shared" si="27"/>
        <v>95</v>
      </c>
      <c r="U140" s="168"/>
      <c r="V140" s="35"/>
      <c r="W140" s="35"/>
      <c r="X140" s="35"/>
      <c r="Y140" s="35"/>
      <c r="Z140" s="170"/>
      <c r="AA140" s="170"/>
    </row>
    <row r="141" spans="1:27" x14ac:dyDescent="0.25">
      <c r="A141" s="35"/>
      <c r="B141" s="112">
        <v>43550</v>
      </c>
      <c r="C141" s="23" t="s">
        <v>1129</v>
      </c>
      <c r="D141" s="35" t="s">
        <v>650</v>
      </c>
      <c r="E141" s="35"/>
      <c r="F141" s="35"/>
      <c r="G141" s="35"/>
      <c r="H141" s="35" t="s">
        <v>1130</v>
      </c>
      <c r="I141" s="168"/>
      <c r="J141" s="168">
        <v>10</v>
      </c>
      <c r="K141" s="123">
        <f t="shared" si="34"/>
        <v>10</v>
      </c>
      <c r="L141" s="123">
        <f t="shared" si="30"/>
        <v>1.3</v>
      </c>
      <c r="M141" s="123">
        <f t="shared" si="31"/>
        <v>8.6999999999999993</v>
      </c>
      <c r="N141" s="168"/>
      <c r="O141" s="168"/>
      <c r="P141" s="123">
        <f t="shared" si="18"/>
        <v>0</v>
      </c>
      <c r="Q141" s="165">
        <f t="shared" si="32"/>
        <v>0</v>
      </c>
      <c r="R141" s="165">
        <f t="shared" si="33"/>
        <v>10</v>
      </c>
      <c r="S141" s="123">
        <f t="shared" si="26"/>
        <v>10</v>
      </c>
      <c r="T141" s="123">
        <f t="shared" si="27"/>
        <v>10</v>
      </c>
      <c r="U141" s="168"/>
      <c r="V141" s="35"/>
      <c r="W141" s="35"/>
      <c r="X141" s="35"/>
      <c r="Y141" s="35"/>
      <c r="Z141" s="170"/>
      <c r="AA141" s="170"/>
    </row>
    <row r="142" spans="1:27" ht="27" x14ac:dyDescent="0.25">
      <c r="A142" s="35"/>
      <c r="B142" s="112">
        <v>43550</v>
      </c>
      <c r="C142" s="23" t="s">
        <v>1131</v>
      </c>
      <c r="D142" s="35" t="s">
        <v>650</v>
      </c>
      <c r="E142" s="35"/>
      <c r="F142" s="35" t="s">
        <v>1132</v>
      </c>
      <c r="G142" s="35" t="s">
        <v>1133</v>
      </c>
      <c r="H142" s="35" t="s">
        <v>341</v>
      </c>
      <c r="I142" s="168">
        <v>225</v>
      </c>
      <c r="J142" s="168">
        <v>75</v>
      </c>
      <c r="K142" s="123">
        <v>300</v>
      </c>
      <c r="L142" s="123">
        <f t="shared" si="30"/>
        <v>39</v>
      </c>
      <c r="M142" s="123">
        <f t="shared" si="31"/>
        <v>261</v>
      </c>
      <c r="N142" s="168">
        <v>35</v>
      </c>
      <c r="O142" s="168">
        <v>14</v>
      </c>
      <c r="P142" s="123">
        <f t="shared" si="18"/>
        <v>49</v>
      </c>
      <c r="Q142" s="165">
        <f t="shared" si="32"/>
        <v>190</v>
      </c>
      <c r="R142" s="165">
        <f t="shared" si="33"/>
        <v>61</v>
      </c>
      <c r="S142" s="123">
        <f t="shared" si="26"/>
        <v>251</v>
      </c>
      <c r="T142" s="123">
        <f t="shared" si="27"/>
        <v>300</v>
      </c>
      <c r="U142" s="168"/>
      <c r="V142" s="35"/>
      <c r="W142" s="35"/>
      <c r="X142" s="35"/>
      <c r="Y142" s="35"/>
      <c r="Z142" s="170"/>
      <c r="AA142" s="170"/>
    </row>
    <row r="143" spans="1:27" x14ac:dyDescent="0.25">
      <c r="A143" s="35"/>
      <c r="B143" s="112">
        <v>43551</v>
      </c>
      <c r="C143" s="23" t="s">
        <v>1137</v>
      </c>
      <c r="D143" s="23" t="s">
        <v>650</v>
      </c>
      <c r="E143" s="23"/>
      <c r="F143" s="23"/>
      <c r="G143" s="23"/>
      <c r="H143" s="23" t="s">
        <v>497</v>
      </c>
      <c r="I143" s="165"/>
      <c r="J143" s="165">
        <v>1</v>
      </c>
      <c r="K143" s="123">
        <f t="shared" ref="K143:K149" si="35">I143+J143</f>
        <v>1</v>
      </c>
      <c r="L143" s="123">
        <f t="shared" si="30"/>
        <v>0.13</v>
      </c>
      <c r="M143" s="123">
        <f t="shared" si="31"/>
        <v>0.87</v>
      </c>
      <c r="N143" s="168"/>
      <c r="O143" s="168"/>
      <c r="P143" s="123">
        <f t="shared" si="18"/>
        <v>0</v>
      </c>
      <c r="Q143" s="165">
        <f t="shared" si="32"/>
        <v>0</v>
      </c>
      <c r="R143" s="165">
        <f t="shared" si="33"/>
        <v>1</v>
      </c>
      <c r="S143" s="123">
        <f t="shared" si="26"/>
        <v>1</v>
      </c>
      <c r="T143" s="123">
        <f t="shared" si="27"/>
        <v>1</v>
      </c>
      <c r="U143" s="168"/>
      <c r="V143" s="35"/>
      <c r="W143" s="35"/>
      <c r="X143" s="35"/>
      <c r="Y143" s="35"/>
      <c r="Z143" s="170"/>
      <c r="AA143" s="170"/>
    </row>
    <row r="144" spans="1:27" ht="27" x14ac:dyDescent="0.25">
      <c r="A144" s="35"/>
      <c r="B144" s="112">
        <v>43551</v>
      </c>
      <c r="C144" s="23" t="s">
        <v>1138</v>
      </c>
      <c r="D144" s="23" t="s">
        <v>650</v>
      </c>
      <c r="E144" s="23"/>
      <c r="F144" s="23"/>
      <c r="G144" s="23" t="s">
        <v>1139</v>
      </c>
      <c r="H144" s="23"/>
      <c r="I144" s="165">
        <v>25</v>
      </c>
      <c r="J144" s="165"/>
      <c r="K144" s="123">
        <f t="shared" si="35"/>
        <v>25</v>
      </c>
      <c r="L144" s="123">
        <f t="shared" si="30"/>
        <v>3.25</v>
      </c>
      <c r="M144" s="123">
        <f t="shared" si="31"/>
        <v>21.75</v>
      </c>
      <c r="N144" s="168"/>
      <c r="O144" s="168"/>
      <c r="P144" s="123">
        <f t="shared" si="18"/>
        <v>0</v>
      </c>
      <c r="Q144" s="165">
        <f t="shared" si="32"/>
        <v>25</v>
      </c>
      <c r="R144" s="165">
        <f t="shared" si="33"/>
        <v>0</v>
      </c>
      <c r="S144" s="123">
        <f t="shared" si="26"/>
        <v>25</v>
      </c>
      <c r="T144" s="123">
        <f t="shared" si="27"/>
        <v>25</v>
      </c>
      <c r="U144" s="168"/>
      <c r="V144" s="35"/>
      <c r="W144" s="35"/>
      <c r="X144" s="35"/>
      <c r="Y144" s="35"/>
      <c r="Z144" s="170"/>
      <c r="AA144" s="170"/>
    </row>
    <row r="145" spans="1:27" ht="27" x14ac:dyDescent="0.25">
      <c r="A145" s="35"/>
      <c r="B145" s="112">
        <v>43551</v>
      </c>
      <c r="C145" s="23" t="s">
        <v>1140</v>
      </c>
      <c r="D145" s="23" t="s">
        <v>650</v>
      </c>
      <c r="E145" s="23"/>
      <c r="F145" s="23" t="s">
        <v>1141</v>
      </c>
      <c r="G145" s="23" t="s">
        <v>1142</v>
      </c>
      <c r="H145" s="23" t="s">
        <v>1143</v>
      </c>
      <c r="I145" s="165"/>
      <c r="J145" s="165">
        <v>100</v>
      </c>
      <c r="K145" s="123">
        <f t="shared" si="35"/>
        <v>100</v>
      </c>
      <c r="L145" s="123">
        <f t="shared" si="30"/>
        <v>13</v>
      </c>
      <c r="M145" s="123">
        <f t="shared" si="31"/>
        <v>87</v>
      </c>
      <c r="N145" s="168">
        <v>15</v>
      </c>
      <c r="O145" s="168">
        <v>19.5</v>
      </c>
      <c r="P145" s="123">
        <f t="shared" si="18"/>
        <v>34.5</v>
      </c>
      <c r="Q145" s="165">
        <f t="shared" si="32"/>
        <v>-15</v>
      </c>
      <c r="R145" s="165">
        <f t="shared" si="33"/>
        <v>80.5</v>
      </c>
      <c r="S145" s="123">
        <f t="shared" si="26"/>
        <v>65.5</v>
      </c>
      <c r="T145" s="123">
        <f t="shared" si="27"/>
        <v>100</v>
      </c>
      <c r="U145" s="168"/>
      <c r="V145" s="35"/>
      <c r="W145" s="35"/>
      <c r="X145" s="35"/>
      <c r="Y145" s="35"/>
      <c r="Z145" s="170"/>
      <c r="AA145" s="170"/>
    </row>
    <row r="146" spans="1:27" x14ac:dyDescent="0.25">
      <c r="A146" s="35"/>
      <c r="B146" s="112">
        <v>43552</v>
      </c>
      <c r="C146" s="23" t="s">
        <v>1144</v>
      </c>
      <c r="D146" s="23" t="s">
        <v>650</v>
      </c>
      <c r="E146" s="23"/>
      <c r="F146" s="23"/>
      <c r="G146" s="23"/>
      <c r="H146" s="23" t="s">
        <v>1145</v>
      </c>
      <c r="I146" s="165"/>
      <c r="J146" s="165">
        <v>10</v>
      </c>
      <c r="K146" s="123">
        <f t="shared" si="35"/>
        <v>10</v>
      </c>
      <c r="L146" s="123">
        <f t="shared" si="30"/>
        <v>1.3</v>
      </c>
      <c r="M146" s="123">
        <f t="shared" si="31"/>
        <v>8.6999999999999993</v>
      </c>
      <c r="N146" s="168"/>
      <c r="O146" s="168"/>
      <c r="P146" s="123">
        <f t="shared" si="18"/>
        <v>0</v>
      </c>
      <c r="Q146" s="165">
        <f t="shared" si="32"/>
        <v>0</v>
      </c>
      <c r="R146" s="165">
        <f t="shared" si="33"/>
        <v>10</v>
      </c>
      <c r="S146" s="123">
        <f t="shared" si="26"/>
        <v>10</v>
      </c>
      <c r="T146" s="123">
        <f t="shared" si="27"/>
        <v>10</v>
      </c>
      <c r="U146" s="168"/>
      <c r="V146" s="35"/>
      <c r="W146" s="35"/>
      <c r="X146" s="35"/>
      <c r="Y146" s="35"/>
      <c r="Z146" s="170"/>
      <c r="AA146" s="170"/>
    </row>
    <row r="147" spans="1:27" ht="27" x14ac:dyDescent="0.25">
      <c r="A147" s="35"/>
      <c r="B147" s="112">
        <v>43552</v>
      </c>
      <c r="C147" s="23" t="s">
        <v>1146</v>
      </c>
      <c r="D147" s="23" t="s">
        <v>650</v>
      </c>
      <c r="E147" s="23"/>
      <c r="F147" s="23"/>
      <c r="G147" s="23"/>
      <c r="H147" s="23" t="s">
        <v>1147</v>
      </c>
      <c r="I147" s="165"/>
      <c r="J147" s="165">
        <v>100</v>
      </c>
      <c r="K147" s="123">
        <f t="shared" si="35"/>
        <v>100</v>
      </c>
      <c r="L147" s="123">
        <f t="shared" si="30"/>
        <v>13</v>
      </c>
      <c r="M147" s="123">
        <f t="shared" si="31"/>
        <v>87</v>
      </c>
      <c r="N147" s="168"/>
      <c r="O147" s="168"/>
      <c r="P147" s="123">
        <f t="shared" si="18"/>
        <v>0</v>
      </c>
      <c r="Q147" s="165">
        <f t="shared" si="32"/>
        <v>0</v>
      </c>
      <c r="R147" s="165">
        <f t="shared" si="33"/>
        <v>100</v>
      </c>
      <c r="S147" s="123">
        <f t="shared" si="26"/>
        <v>100</v>
      </c>
      <c r="T147" s="123">
        <f t="shared" si="27"/>
        <v>100</v>
      </c>
      <c r="U147" s="168"/>
      <c r="V147" s="35"/>
      <c r="W147" s="35"/>
      <c r="X147" s="35"/>
      <c r="Y147" s="35"/>
      <c r="Z147" s="170"/>
      <c r="AA147" s="170"/>
    </row>
    <row r="148" spans="1:27" x14ac:dyDescent="0.25">
      <c r="A148" s="35"/>
      <c r="B148" s="112">
        <v>43552</v>
      </c>
      <c r="C148" s="23" t="s">
        <v>1148</v>
      </c>
      <c r="D148" s="23" t="s">
        <v>650</v>
      </c>
      <c r="E148" s="23"/>
      <c r="F148" s="23"/>
      <c r="G148" s="23" t="s">
        <v>999</v>
      </c>
      <c r="H148" s="23"/>
      <c r="I148" s="165">
        <v>40</v>
      </c>
      <c r="J148" s="165"/>
      <c r="K148" s="123">
        <f t="shared" si="35"/>
        <v>40</v>
      </c>
      <c r="L148" s="123">
        <f t="shared" si="30"/>
        <v>5.2</v>
      </c>
      <c r="M148" s="123">
        <f t="shared" si="31"/>
        <v>34.799999999999997</v>
      </c>
      <c r="N148" s="168">
        <v>10</v>
      </c>
      <c r="O148" s="168"/>
      <c r="P148" s="123">
        <f t="shared" si="18"/>
        <v>10</v>
      </c>
      <c r="Q148" s="165">
        <f t="shared" si="32"/>
        <v>30</v>
      </c>
      <c r="R148" s="165">
        <f t="shared" si="33"/>
        <v>0</v>
      </c>
      <c r="S148" s="123">
        <f t="shared" si="26"/>
        <v>30</v>
      </c>
      <c r="T148" s="123">
        <f t="shared" si="27"/>
        <v>40</v>
      </c>
      <c r="U148" s="168"/>
      <c r="V148" s="35"/>
      <c r="W148" s="35"/>
      <c r="X148" s="35"/>
      <c r="Y148" s="35"/>
      <c r="Z148" s="170"/>
      <c r="AA148" s="170"/>
    </row>
    <row r="149" spans="1:27" x14ac:dyDescent="0.25">
      <c r="A149" s="35"/>
      <c r="B149" s="112">
        <v>43552</v>
      </c>
      <c r="C149" s="23" t="s">
        <v>1149</v>
      </c>
      <c r="D149" s="35" t="s">
        <v>650</v>
      </c>
      <c r="E149" s="35"/>
      <c r="F149" s="35"/>
      <c r="G149" s="35"/>
      <c r="H149" s="35" t="s">
        <v>734</v>
      </c>
      <c r="I149" s="168"/>
      <c r="J149" s="168">
        <v>3</v>
      </c>
      <c r="K149" s="123">
        <f t="shared" si="35"/>
        <v>3</v>
      </c>
      <c r="L149" s="123">
        <f t="shared" si="30"/>
        <v>0.39</v>
      </c>
      <c r="M149" s="123">
        <f t="shared" si="31"/>
        <v>2.61</v>
      </c>
      <c r="N149" s="168"/>
      <c r="O149" s="168"/>
      <c r="P149" s="123">
        <f t="shared" si="18"/>
        <v>0</v>
      </c>
      <c r="Q149" s="165">
        <f t="shared" si="32"/>
        <v>0</v>
      </c>
      <c r="R149" s="165">
        <f t="shared" si="33"/>
        <v>3</v>
      </c>
      <c r="S149" s="123">
        <f t="shared" si="26"/>
        <v>3</v>
      </c>
      <c r="T149" s="123">
        <f t="shared" si="27"/>
        <v>3</v>
      </c>
      <c r="U149" s="168"/>
      <c r="V149" s="35"/>
      <c r="W149" s="35"/>
      <c r="X149" s="35"/>
      <c r="Y149" s="35"/>
      <c r="Z149" s="170"/>
      <c r="AA149" s="170"/>
    </row>
    <row r="150" spans="1:27" ht="27" x14ac:dyDescent="0.25">
      <c r="A150" s="35"/>
      <c r="B150" s="112">
        <v>43552</v>
      </c>
      <c r="C150" s="23" t="s">
        <v>1150</v>
      </c>
      <c r="D150" s="35" t="s">
        <v>650</v>
      </c>
      <c r="E150" s="35"/>
      <c r="F150" s="35" t="s">
        <v>1151</v>
      </c>
      <c r="G150" s="35" t="s">
        <v>1152</v>
      </c>
      <c r="H150" s="35" t="s">
        <v>657</v>
      </c>
      <c r="I150" s="168">
        <v>50</v>
      </c>
      <c r="J150" s="168">
        <v>150</v>
      </c>
      <c r="K150" s="123">
        <v>200</v>
      </c>
      <c r="L150" s="123">
        <f t="shared" si="30"/>
        <v>26</v>
      </c>
      <c r="M150" s="123">
        <f t="shared" si="31"/>
        <v>174</v>
      </c>
      <c r="N150" s="168">
        <v>10</v>
      </c>
      <c r="O150" s="168"/>
      <c r="P150" s="123">
        <f t="shared" si="18"/>
        <v>10</v>
      </c>
      <c r="Q150" s="165">
        <f t="shared" si="32"/>
        <v>40</v>
      </c>
      <c r="R150" s="165">
        <f t="shared" si="33"/>
        <v>150</v>
      </c>
      <c r="S150" s="123">
        <f t="shared" si="26"/>
        <v>190</v>
      </c>
      <c r="T150" s="123">
        <f t="shared" si="27"/>
        <v>200</v>
      </c>
      <c r="U150" s="168"/>
      <c r="V150" s="35"/>
      <c r="W150" s="35"/>
      <c r="X150" s="35"/>
      <c r="Y150" s="35"/>
      <c r="Z150" s="170"/>
      <c r="AA150" s="170"/>
    </row>
    <row r="151" spans="1:27" ht="27" x14ac:dyDescent="0.25">
      <c r="A151" s="35" t="s">
        <v>1027</v>
      </c>
      <c r="B151" s="112">
        <v>43552</v>
      </c>
      <c r="C151" s="23" t="s">
        <v>1153</v>
      </c>
      <c r="D151" s="35" t="s">
        <v>650</v>
      </c>
      <c r="E151" s="35"/>
      <c r="F151" s="35" t="s">
        <v>1154</v>
      </c>
      <c r="G151" s="35" t="s">
        <v>1155</v>
      </c>
      <c r="H151" s="35" t="s">
        <v>1156</v>
      </c>
      <c r="I151" s="168">
        <v>300</v>
      </c>
      <c r="J151" s="168">
        <v>600</v>
      </c>
      <c r="K151" s="123">
        <f>I151+J151</f>
        <v>900</v>
      </c>
      <c r="L151" s="123">
        <f t="shared" si="30"/>
        <v>117</v>
      </c>
      <c r="M151" s="123">
        <f t="shared" si="31"/>
        <v>783</v>
      </c>
      <c r="N151" s="168">
        <v>45</v>
      </c>
      <c r="O151" s="168"/>
      <c r="P151" s="123">
        <f t="shared" si="18"/>
        <v>45</v>
      </c>
      <c r="Q151" s="165">
        <f t="shared" si="32"/>
        <v>255</v>
      </c>
      <c r="R151" s="165">
        <f t="shared" si="33"/>
        <v>600</v>
      </c>
      <c r="S151" s="123">
        <f t="shared" si="26"/>
        <v>855</v>
      </c>
      <c r="T151" s="123">
        <f t="shared" si="27"/>
        <v>900</v>
      </c>
      <c r="U151" s="168"/>
      <c r="V151" s="35"/>
      <c r="W151" s="35"/>
      <c r="X151" s="35"/>
      <c r="Y151" s="35"/>
      <c r="Z151" s="170"/>
      <c r="AA151" s="170"/>
    </row>
    <row r="152" spans="1:27" x14ac:dyDescent="0.25">
      <c r="A152" s="35"/>
      <c r="B152" s="112">
        <v>43553</v>
      </c>
      <c r="C152" s="23" t="s">
        <v>1157</v>
      </c>
      <c r="D152" s="23" t="s">
        <v>650</v>
      </c>
      <c r="E152" s="23"/>
      <c r="F152" s="23"/>
      <c r="G152" s="23"/>
      <c r="H152" s="23" t="s">
        <v>161</v>
      </c>
      <c r="I152" s="165"/>
      <c r="J152" s="165">
        <v>5</v>
      </c>
      <c r="K152" s="123">
        <f>I152+J152</f>
        <v>5</v>
      </c>
      <c r="L152" s="123">
        <f t="shared" si="30"/>
        <v>0.65</v>
      </c>
      <c r="M152" s="123">
        <f t="shared" si="31"/>
        <v>4.3499999999999996</v>
      </c>
      <c r="N152" s="168"/>
      <c r="O152" s="168"/>
      <c r="P152" s="123">
        <f t="shared" si="18"/>
        <v>0</v>
      </c>
      <c r="Q152" s="165">
        <f t="shared" si="32"/>
        <v>0</v>
      </c>
      <c r="R152" s="165">
        <f t="shared" si="33"/>
        <v>5</v>
      </c>
      <c r="S152" s="123">
        <f t="shared" si="26"/>
        <v>5</v>
      </c>
      <c r="T152" s="123">
        <f t="shared" si="27"/>
        <v>5</v>
      </c>
      <c r="U152" s="168"/>
      <c r="V152" s="35"/>
      <c r="W152" s="35"/>
      <c r="X152" s="35"/>
      <c r="Y152" s="35"/>
      <c r="Z152" s="170"/>
      <c r="AA152" s="170"/>
    </row>
    <row r="153" spans="1:27" x14ac:dyDescent="0.25">
      <c r="A153" s="35"/>
      <c r="B153" s="112">
        <v>43553</v>
      </c>
      <c r="C153" s="23" t="s">
        <v>1158</v>
      </c>
      <c r="D153" s="23" t="s">
        <v>650</v>
      </c>
      <c r="E153" s="23"/>
      <c r="F153" s="23"/>
      <c r="G153" s="23" t="s">
        <v>1159</v>
      </c>
      <c r="H153" s="23"/>
      <c r="I153" s="165">
        <v>35</v>
      </c>
      <c r="J153" s="165"/>
      <c r="K153" s="123">
        <f>I153+J153</f>
        <v>35</v>
      </c>
      <c r="L153" s="123">
        <f t="shared" si="30"/>
        <v>4.55</v>
      </c>
      <c r="M153" s="123">
        <f t="shared" si="31"/>
        <v>30.45</v>
      </c>
      <c r="N153" s="168">
        <v>15</v>
      </c>
      <c r="O153" s="168"/>
      <c r="P153" s="123">
        <f t="shared" si="18"/>
        <v>15</v>
      </c>
      <c r="Q153" s="165">
        <f t="shared" si="32"/>
        <v>20</v>
      </c>
      <c r="R153" s="165">
        <f t="shared" si="33"/>
        <v>0</v>
      </c>
      <c r="S153" s="123">
        <f t="shared" si="26"/>
        <v>20</v>
      </c>
      <c r="T153" s="123">
        <f t="shared" si="27"/>
        <v>35</v>
      </c>
      <c r="U153" s="168"/>
      <c r="V153" s="35"/>
      <c r="W153" s="35"/>
      <c r="X153" s="35"/>
      <c r="Y153" s="35"/>
      <c r="Z153" s="170"/>
      <c r="AA153" s="170"/>
    </row>
    <row r="154" spans="1:27" x14ac:dyDescent="0.25">
      <c r="A154" s="35"/>
      <c r="B154" s="112">
        <v>43553</v>
      </c>
      <c r="C154" s="23" t="s">
        <v>1160</v>
      </c>
      <c r="D154" s="23" t="s">
        <v>650</v>
      </c>
      <c r="E154" s="23"/>
      <c r="F154" s="23"/>
      <c r="G154" s="23"/>
      <c r="H154" s="23" t="s">
        <v>1130</v>
      </c>
      <c r="I154" s="165"/>
      <c r="J154" s="165">
        <v>10</v>
      </c>
      <c r="K154" s="123">
        <f>I154+J154</f>
        <v>10</v>
      </c>
      <c r="L154" s="123">
        <f t="shared" si="30"/>
        <v>1.3</v>
      </c>
      <c r="M154" s="123">
        <f t="shared" si="31"/>
        <v>8.6999999999999993</v>
      </c>
      <c r="N154" s="168"/>
      <c r="O154" s="168"/>
      <c r="P154" s="123">
        <f t="shared" si="18"/>
        <v>0</v>
      </c>
      <c r="Q154" s="165">
        <f t="shared" si="32"/>
        <v>0</v>
      </c>
      <c r="R154" s="165">
        <f t="shared" si="33"/>
        <v>10</v>
      </c>
      <c r="S154" s="123">
        <f t="shared" si="26"/>
        <v>10</v>
      </c>
      <c r="T154" s="123">
        <f t="shared" si="27"/>
        <v>10</v>
      </c>
      <c r="U154" s="168"/>
      <c r="V154" s="35"/>
      <c r="W154" s="35"/>
      <c r="X154" s="35"/>
      <c r="Y154" s="35"/>
      <c r="Z154" s="170"/>
      <c r="AA154" s="170"/>
    </row>
    <row r="155" spans="1:27" x14ac:dyDescent="0.25">
      <c r="A155" s="35"/>
      <c r="B155" s="112">
        <v>43554</v>
      </c>
      <c r="C155" s="23" t="s">
        <v>1164</v>
      </c>
      <c r="D155" s="23" t="s">
        <v>650</v>
      </c>
      <c r="E155" s="23"/>
      <c r="F155" s="23" t="s">
        <v>1165</v>
      </c>
      <c r="G155" s="23" t="s">
        <v>1166</v>
      </c>
      <c r="H155" s="23" t="s">
        <v>975</v>
      </c>
      <c r="I155" s="165">
        <v>25</v>
      </c>
      <c r="J155" s="165">
        <v>210</v>
      </c>
      <c r="K155" s="123">
        <f t="shared" ref="K155:K160" si="36">I155+J155</f>
        <v>235</v>
      </c>
      <c r="L155" s="123">
        <f t="shared" si="30"/>
        <v>30.55</v>
      </c>
      <c r="M155" s="123">
        <f t="shared" si="31"/>
        <v>204.45</v>
      </c>
      <c r="N155" s="168">
        <v>10</v>
      </c>
      <c r="O155" s="168"/>
      <c r="P155" s="123">
        <f t="shared" si="18"/>
        <v>10</v>
      </c>
      <c r="Q155" s="165">
        <f t="shared" si="32"/>
        <v>15</v>
      </c>
      <c r="R155" s="165">
        <f t="shared" si="33"/>
        <v>210</v>
      </c>
      <c r="S155" s="123">
        <f t="shared" ref="S155:S166" si="37">Q155+R155</f>
        <v>225</v>
      </c>
      <c r="T155" s="123">
        <f t="shared" ref="T155:T166" si="38">P155+S155</f>
        <v>235</v>
      </c>
      <c r="U155" s="168"/>
      <c r="V155" s="35"/>
      <c r="W155" s="35"/>
      <c r="X155" s="35"/>
      <c r="Y155" s="35"/>
      <c r="Z155" s="170"/>
      <c r="AA155" s="170"/>
    </row>
    <row r="156" spans="1:27" ht="27" x14ac:dyDescent="0.25">
      <c r="A156" s="35"/>
      <c r="B156" s="112">
        <v>43554</v>
      </c>
      <c r="C156" s="23" t="s">
        <v>1167</v>
      </c>
      <c r="D156" s="23" t="s">
        <v>650</v>
      </c>
      <c r="E156" s="23"/>
      <c r="F156" s="23" t="s">
        <v>1168</v>
      </c>
      <c r="G156" s="23" t="s">
        <v>1169</v>
      </c>
      <c r="H156" s="23" t="s">
        <v>481</v>
      </c>
      <c r="I156" s="165">
        <v>180</v>
      </c>
      <c r="J156" s="165">
        <v>140</v>
      </c>
      <c r="K156" s="123">
        <f t="shared" si="36"/>
        <v>320</v>
      </c>
      <c r="L156" s="123">
        <f t="shared" si="30"/>
        <v>41.6</v>
      </c>
      <c r="M156" s="123">
        <f t="shared" si="31"/>
        <v>278.39999999999998</v>
      </c>
      <c r="N156" s="168">
        <v>45</v>
      </c>
      <c r="O156" s="168"/>
      <c r="P156" s="123">
        <f t="shared" si="18"/>
        <v>45</v>
      </c>
      <c r="Q156" s="165">
        <f t="shared" si="32"/>
        <v>135</v>
      </c>
      <c r="R156" s="165">
        <f t="shared" si="33"/>
        <v>140</v>
      </c>
      <c r="S156" s="123">
        <f t="shared" si="37"/>
        <v>275</v>
      </c>
      <c r="T156" s="123">
        <f t="shared" si="38"/>
        <v>320</v>
      </c>
      <c r="U156" s="168"/>
      <c r="V156" s="35"/>
      <c r="W156" s="35"/>
      <c r="X156" s="35"/>
      <c r="Y156" s="35"/>
      <c r="Z156" s="170"/>
      <c r="AA156" s="170"/>
    </row>
    <row r="157" spans="1:27" ht="27" x14ac:dyDescent="0.25">
      <c r="A157" s="35">
        <v>89</v>
      </c>
      <c r="B157" s="112">
        <v>43554</v>
      </c>
      <c r="C157" s="23" t="s">
        <v>1170</v>
      </c>
      <c r="D157" s="23" t="s">
        <v>650</v>
      </c>
      <c r="E157" s="23"/>
      <c r="F157" s="23" t="s">
        <v>1171</v>
      </c>
      <c r="G157" s="23" t="s">
        <v>1172</v>
      </c>
      <c r="H157" s="23" t="s">
        <v>1173</v>
      </c>
      <c r="I157" s="165">
        <v>125</v>
      </c>
      <c r="J157" s="165">
        <v>75</v>
      </c>
      <c r="K157" s="123">
        <f t="shared" si="36"/>
        <v>200</v>
      </c>
      <c r="L157" s="123">
        <f t="shared" si="30"/>
        <v>26</v>
      </c>
      <c r="M157" s="123">
        <f t="shared" si="31"/>
        <v>174</v>
      </c>
      <c r="N157" s="168"/>
      <c r="O157" s="168"/>
      <c r="P157" s="123">
        <f t="shared" si="18"/>
        <v>0</v>
      </c>
      <c r="Q157" s="165">
        <f t="shared" si="32"/>
        <v>125</v>
      </c>
      <c r="R157" s="165">
        <f t="shared" si="33"/>
        <v>75</v>
      </c>
      <c r="S157" s="123">
        <f t="shared" si="37"/>
        <v>200</v>
      </c>
      <c r="T157" s="123">
        <f t="shared" si="38"/>
        <v>200</v>
      </c>
      <c r="U157" s="168"/>
      <c r="V157" s="35"/>
      <c r="W157" s="35"/>
      <c r="X157" s="35"/>
      <c r="Y157" s="35"/>
      <c r="Z157" s="170">
        <f>U157+W157</f>
        <v>0</v>
      </c>
      <c r="AA157" s="170">
        <f>T157-Z157</f>
        <v>200</v>
      </c>
    </row>
    <row r="158" spans="1:27" x14ac:dyDescent="0.25">
      <c r="A158" s="35">
        <v>90</v>
      </c>
      <c r="B158" s="112">
        <v>43554</v>
      </c>
      <c r="C158" s="23" t="s">
        <v>1174</v>
      </c>
      <c r="D158" s="35" t="s">
        <v>650</v>
      </c>
      <c r="E158" s="35"/>
      <c r="F158" s="35" t="s">
        <v>1175</v>
      </c>
      <c r="G158" s="35"/>
      <c r="H158" s="35" t="s">
        <v>161</v>
      </c>
      <c r="I158" s="168"/>
      <c r="J158" s="168">
        <v>3</v>
      </c>
      <c r="K158" s="123">
        <f t="shared" si="36"/>
        <v>3</v>
      </c>
      <c r="L158" s="123">
        <f t="shared" si="30"/>
        <v>0.39</v>
      </c>
      <c r="M158" s="123">
        <f t="shared" si="31"/>
        <v>2.61</v>
      </c>
      <c r="N158" s="168"/>
      <c r="O158" s="168"/>
      <c r="P158" s="123">
        <f t="shared" si="18"/>
        <v>0</v>
      </c>
      <c r="Q158" s="165">
        <f t="shared" si="32"/>
        <v>0</v>
      </c>
      <c r="R158" s="165">
        <f t="shared" si="33"/>
        <v>3</v>
      </c>
      <c r="S158" s="123">
        <f t="shared" si="37"/>
        <v>3</v>
      </c>
      <c r="T158" s="123">
        <f t="shared" si="38"/>
        <v>3</v>
      </c>
      <c r="U158" s="168"/>
      <c r="V158" s="35"/>
      <c r="W158" s="35"/>
      <c r="X158" s="35"/>
      <c r="Y158" s="35"/>
      <c r="Z158" s="170">
        <f>U158+W158</f>
        <v>0</v>
      </c>
      <c r="AA158" s="170">
        <f>T158-Z158</f>
        <v>3</v>
      </c>
    </row>
    <row r="159" spans="1:27" ht="40.5" x14ac:dyDescent="0.25">
      <c r="A159" s="35"/>
      <c r="B159" s="112">
        <v>43554</v>
      </c>
      <c r="C159" s="23" t="s">
        <v>1176</v>
      </c>
      <c r="D159" s="35" t="s">
        <v>650</v>
      </c>
      <c r="E159" s="35"/>
      <c r="F159" s="35" t="s">
        <v>1177</v>
      </c>
      <c r="G159" s="35" t="s">
        <v>1178</v>
      </c>
      <c r="H159" s="35" t="s">
        <v>1179</v>
      </c>
      <c r="I159" s="168">
        <v>90</v>
      </c>
      <c r="J159" s="168">
        <v>100</v>
      </c>
      <c r="K159" s="123">
        <f t="shared" si="36"/>
        <v>190</v>
      </c>
      <c r="L159" s="123">
        <f t="shared" si="30"/>
        <v>24.7</v>
      </c>
      <c r="M159" s="123">
        <f t="shared" si="31"/>
        <v>165.3</v>
      </c>
      <c r="N159" s="168"/>
      <c r="O159" s="168"/>
      <c r="P159" s="123">
        <f t="shared" si="18"/>
        <v>0</v>
      </c>
      <c r="Q159" s="165">
        <f t="shared" si="32"/>
        <v>90</v>
      </c>
      <c r="R159" s="165">
        <f t="shared" si="33"/>
        <v>100</v>
      </c>
      <c r="S159" s="123">
        <f t="shared" si="37"/>
        <v>190</v>
      </c>
      <c r="T159" s="123">
        <f t="shared" si="38"/>
        <v>190</v>
      </c>
      <c r="U159" s="168"/>
      <c r="V159" s="35"/>
      <c r="W159" s="35"/>
      <c r="X159" s="35"/>
      <c r="Y159" s="35"/>
      <c r="Z159" s="170"/>
      <c r="AA159" s="170"/>
    </row>
    <row r="160" spans="1:27" ht="27" x14ac:dyDescent="0.25">
      <c r="A160" s="35"/>
      <c r="B160" s="112">
        <v>43554</v>
      </c>
      <c r="C160" s="23" t="s">
        <v>1180</v>
      </c>
      <c r="D160" s="23" t="s">
        <v>650</v>
      </c>
      <c r="E160" s="165"/>
      <c r="F160" s="35" t="s">
        <v>1181</v>
      </c>
      <c r="G160" s="35" t="s">
        <v>1182</v>
      </c>
      <c r="H160" s="23" t="s">
        <v>1183</v>
      </c>
      <c r="I160" s="165">
        <v>225</v>
      </c>
      <c r="J160" s="165">
        <v>255</v>
      </c>
      <c r="K160" s="123">
        <f t="shared" si="36"/>
        <v>480</v>
      </c>
      <c r="L160" s="123">
        <f t="shared" si="30"/>
        <v>62.400000000000006</v>
      </c>
      <c r="M160" s="123">
        <f t="shared" si="31"/>
        <v>417.6</v>
      </c>
      <c r="N160" s="168"/>
      <c r="O160" s="168"/>
      <c r="P160" s="123">
        <f t="shared" si="18"/>
        <v>0</v>
      </c>
      <c r="Q160" s="165">
        <f t="shared" si="32"/>
        <v>225</v>
      </c>
      <c r="R160" s="165">
        <f t="shared" si="33"/>
        <v>255</v>
      </c>
      <c r="S160" s="123">
        <f t="shared" si="37"/>
        <v>480</v>
      </c>
      <c r="T160" s="123">
        <f t="shared" si="38"/>
        <v>480</v>
      </c>
      <c r="U160" s="168"/>
      <c r="V160" s="35"/>
      <c r="W160" s="35"/>
      <c r="X160" s="35"/>
      <c r="Y160" s="35"/>
      <c r="Z160" s="170"/>
      <c r="AA160" s="170"/>
    </row>
    <row r="161" spans="1:27" ht="27" x14ac:dyDescent="0.25">
      <c r="A161" s="35"/>
      <c r="B161" s="112">
        <v>43554</v>
      </c>
      <c r="C161" s="23" t="s">
        <v>1184</v>
      </c>
      <c r="D161" s="23" t="s">
        <v>650</v>
      </c>
      <c r="E161" s="165"/>
      <c r="F161" s="35" t="s">
        <v>1185</v>
      </c>
      <c r="G161" s="35" t="s">
        <v>1186</v>
      </c>
      <c r="H161" s="23" t="s">
        <v>341</v>
      </c>
      <c r="I161" s="165">
        <v>180</v>
      </c>
      <c r="J161" s="165">
        <v>75</v>
      </c>
      <c r="K161" s="123">
        <v>255</v>
      </c>
      <c r="L161" s="123">
        <f t="shared" si="30"/>
        <v>33.15</v>
      </c>
      <c r="M161" s="123">
        <f t="shared" si="31"/>
        <v>221.85</v>
      </c>
      <c r="N161" s="168"/>
      <c r="O161" s="168"/>
      <c r="P161" s="123">
        <f t="shared" si="18"/>
        <v>0</v>
      </c>
      <c r="Q161" s="165">
        <f t="shared" si="32"/>
        <v>180</v>
      </c>
      <c r="R161" s="165">
        <f t="shared" si="33"/>
        <v>75</v>
      </c>
      <c r="S161" s="123">
        <f t="shared" si="37"/>
        <v>255</v>
      </c>
      <c r="T161" s="123">
        <f t="shared" si="38"/>
        <v>255</v>
      </c>
      <c r="U161" s="168"/>
      <c r="V161" s="35"/>
      <c r="W161" s="35"/>
      <c r="X161" s="35"/>
      <c r="Y161" s="35"/>
      <c r="Z161" s="170"/>
      <c r="AA161" s="170"/>
    </row>
    <row r="162" spans="1:27" x14ac:dyDescent="0.25">
      <c r="A162" s="35"/>
      <c r="B162" s="112">
        <v>43554</v>
      </c>
      <c r="C162" s="23" t="s">
        <v>1187</v>
      </c>
      <c r="D162" s="23" t="s">
        <v>650</v>
      </c>
      <c r="E162" s="165"/>
      <c r="F162" s="35" t="s">
        <v>1188</v>
      </c>
      <c r="G162" s="35"/>
      <c r="H162" s="23" t="s">
        <v>1189</v>
      </c>
      <c r="I162" s="165"/>
      <c r="J162" s="165">
        <v>6</v>
      </c>
      <c r="K162" s="123">
        <v>6</v>
      </c>
      <c r="L162" s="123">
        <f t="shared" si="30"/>
        <v>0.78</v>
      </c>
      <c r="M162" s="123">
        <f t="shared" si="31"/>
        <v>5.22</v>
      </c>
      <c r="N162" s="168"/>
      <c r="O162" s="168"/>
      <c r="P162" s="123">
        <f t="shared" si="18"/>
        <v>0</v>
      </c>
      <c r="Q162" s="165">
        <f t="shared" si="32"/>
        <v>0</v>
      </c>
      <c r="R162" s="165">
        <f t="shared" si="33"/>
        <v>6</v>
      </c>
      <c r="S162" s="123">
        <f t="shared" si="37"/>
        <v>6</v>
      </c>
      <c r="T162" s="123">
        <f t="shared" si="38"/>
        <v>6</v>
      </c>
      <c r="U162" s="168"/>
      <c r="V162" s="35"/>
      <c r="W162" s="35"/>
      <c r="X162" s="35"/>
      <c r="Y162" s="35"/>
      <c r="Z162" s="170"/>
      <c r="AA162" s="170"/>
    </row>
    <row r="163" spans="1:27" ht="27" x14ac:dyDescent="0.25">
      <c r="A163" s="35"/>
      <c r="B163" s="112">
        <v>43554</v>
      </c>
      <c r="C163" s="23" t="s">
        <v>1190</v>
      </c>
      <c r="D163" s="23" t="s">
        <v>650</v>
      </c>
      <c r="E163" s="165"/>
      <c r="F163" s="35" t="s">
        <v>1191</v>
      </c>
      <c r="G163" s="35" t="s">
        <v>1192</v>
      </c>
      <c r="H163" s="23" t="s">
        <v>1193</v>
      </c>
      <c r="I163" s="165">
        <v>60</v>
      </c>
      <c r="J163" s="165">
        <v>165</v>
      </c>
      <c r="K163" s="165">
        <v>225</v>
      </c>
      <c r="L163" s="123">
        <f t="shared" si="30"/>
        <v>29.25</v>
      </c>
      <c r="M163" s="123">
        <f t="shared" si="31"/>
        <v>195.75</v>
      </c>
      <c r="N163" s="168"/>
      <c r="O163" s="168"/>
      <c r="P163" s="123">
        <f t="shared" si="18"/>
        <v>0</v>
      </c>
      <c r="Q163" s="165">
        <f t="shared" si="32"/>
        <v>60</v>
      </c>
      <c r="R163" s="165">
        <f t="shared" si="33"/>
        <v>165</v>
      </c>
      <c r="S163" s="123">
        <f t="shared" si="37"/>
        <v>225</v>
      </c>
      <c r="T163" s="123">
        <f t="shared" si="38"/>
        <v>225</v>
      </c>
      <c r="U163" s="168"/>
      <c r="V163" s="35"/>
      <c r="W163" s="35"/>
      <c r="X163" s="35"/>
      <c r="Y163" s="35"/>
      <c r="Z163" s="170"/>
      <c r="AA163" s="170"/>
    </row>
    <row r="164" spans="1:27" x14ac:dyDescent="0.25">
      <c r="A164" s="35"/>
      <c r="B164" s="112">
        <v>43555</v>
      </c>
      <c r="C164" s="23" t="s">
        <v>1194</v>
      </c>
      <c r="D164" s="23" t="s">
        <v>650</v>
      </c>
      <c r="E164" s="23"/>
      <c r="F164" s="23"/>
      <c r="G164" s="23"/>
      <c r="H164" s="23" t="s">
        <v>734</v>
      </c>
      <c r="I164" s="165"/>
      <c r="J164" s="165">
        <v>3</v>
      </c>
      <c r="K164" s="123">
        <f>I164+J164</f>
        <v>3</v>
      </c>
      <c r="L164" s="123">
        <f t="shared" si="30"/>
        <v>0.39</v>
      </c>
      <c r="M164" s="123">
        <f t="shared" si="31"/>
        <v>2.61</v>
      </c>
      <c r="N164" s="168"/>
      <c r="O164" s="168"/>
      <c r="P164" s="123">
        <f t="shared" si="18"/>
        <v>0</v>
      </c>
      <c r="Q164" s="165">
        <f t="shared" si="32"/>
        <v>0</v>
      </c>
      <c r="R164" s="165">
        <f t="shared" si="33"/>
        <v>3</v>
      </c>
      <c r="S164" s="123">
        <f t="shared" si="37"/>
        <v>3</v>
      </c>
      <c r="T164" s="123">
        <f t="shared" si="38"/>
        <v>3</v>
      </c>
      <c r="U164" s="168"/>
      <c r="V164" s="35"/>
      <c r="W164" s="35"/>
      <c r="X164" s="35"/>
      <c r="Y164" s="35"/>
      <c r="Z164" s="170"/>
      <c r="AA164" s="170"/>
    </row>
    <row r="165" spans="1:27" x14ac:dyDescent="0.25">
      <c r="A165" s="35">
        <v>89</v>
      </c>
      <c r="B165" s="35"/>
      <c r="C165" s="35"/>
      <c r="D165" s="35"/>
      <c r="E165" s="35"/>
      <c r="F165" s="35"/>
      <c r="G165" s="168"/>
      <c r="H165" s="168"/>
      <c r="I165" s="168"/>
      <c r="J165" s="168"/>
      <c r="K165" s="123">
        <f>G165+H165</f>
        <v>0</v>
      </c>
      <c r="L165" s="123">
        <f t="shared" si="30"/>
        <v>0</v>
      </c>
      <c r="M165" s="123">
        <f t="shared" si="31"/>
        <v>0</v>
      </c>
      <c r="N165" s="168"/>
      <c r="O165" s="168"/>
      <c r="P165" s="123">
        <f t="shared" si="18"/>
        <v>0</v>
      </c>
      <c r="Q165" s="165">
        <f t="shared" si="32"/>
        <v>0</v>
      </c>
      <c r="R165" s="165">
        <f t="shared" si="33"/>
        <v>0</v>
      </c>
      <c r="S165" s="123">
        <f t="shared" si="37"/>
        <v>0</v>
      </c>
      <c r="T165" s="123">
        <f t="shared" si="38"/>
        <v>0</v>
      </c>
      <c r="U165" s="168"/>
      <c r="V165" s="35"/>
      <c r="W165" s="35"/>
      <c r="X165" s="35"/>
      <c r="Y165" s="35"/>
      <c r="Z165" s="170">
        <f>U165+W165</f>
        <v>0</v>
      </c>
      <c r="AA165" s="170">
        <f>T165-Z165</f>
        <v>0</v>
      </c>
    </row>
    <row r="166" spans="1:27" x14ac:dyDescent="0.25">
      <c r="A166" s="35">
        <v>90</v>
      </c>
      <c r="B166" s="35"/>
      <c r="C166" s="35"/>
      <c r="D166" s="35"/>
      <c r="E166" s="35"/>
      <c r="F166" s="35"/>
      <c r="G166" s="168"/>
      <c r="H166" s="168"/>
      <c r="I166" s="168"/>
      <c r="J166" s="168"/>
      <c r="K166" s="123">
        <f>G166+H166</f>
        <v>0</v>
      </c>
      <c r="L166" s="123">
        <f t="shared" si="30"/>
        <v>0</v>
      </c>
      <c r="M166" s="123">
        <f t="shared" si="31"/>
        <v>0</v>
      </c>
      <c r="N166" s="168"/>
      <c r="O166" s="168"/>
      <c r="P166" s="123">
        <f t="shared" si="18"/>
        <v>0</v>
      </c>
      <c r="Q166" s="165">
        <f t="shared" si="32"/>
        <v>0</v>
      </c>
      <c r="R166" s="165">
        <f t="shared" si="33"/>
        <v>0</v>
      </c>
      <c r="S166" s="123">
        <f t="shared" si="37"/>
        <v>0</v>
      </c>
      <c r="T166" s="123">
        <f t="shared" si="38"/>
        <v>0</v>
      </c>
      <c r="U166" s="168"/>
      <c r="V166" s="35"/>
      <c r="W166" s="35"/>
      <c r="X166" s="35"/>
      <c r="Y166" s="35"/>
      <c r="Z166" s="170">
        <f>U166+W166</f>
        <v>0</v>
      </c>
      <c r="AA166" s="170">
        <f>T166-Z166</f>
        <v>0</v>
      </c>
    </row>
    <row r="167" spans="1:27" x14ac:dyDescent="0.25">
      <c r="A167" s="119"/>
      <c r="B167" s="119"/>
      <c r="C167" s="119"/>
      <c r="D167" s="119"/>
      <c r="E167" s="119"/>
      <c r="F167" s="119"/>
      <c r="G167" s="119">
        <f>SUM(G5:G166)</f>
        <v>0</v>
      </c>
      <c r="H167" s="119">
        <f>SUM(H5:H166)</f>
        <v>0</v>
      </c>
      <c r="I167" s="119"/>
      <c r="J167" s="119"/>
      <c r="K167" s="119">
        <f>SUM(K5:K166)</f>
        <v>20931</v>
      </c>
      <c r="L167" s="119">
        <f>K167*13%</f>
        <v>2721.03</v>
      </c>
      <c r="M167" s="119">
        <f>K167-L167</f>
        <v>18209.97</v>
      </c>
      <c r="N167" s="119">
        <f>SUM(N5:N166)</f>
        <v>1658.25</v>
      </c>
      <c r="O167" s="119">
        <f>SUM(O5:O166)</f>
        <v>841.21</v>
      </c>
      <c r="P167" s="119" t="e">
        <f>SUM(P5:P166)</f>
        <v>#VALUE!</v>
      </c>
      <c r="Q167" s="119">
        <f>SUM(Q5:Q166)</f>
        <v>5965.75</v>
      </c>
      <c r="R167" s="119" t="e">
        <f>SUM(R5:R166)</f>
        <v>#VALUE!</v>
      </c>
      <c r="S167" s="119"/>
      <c r="T167" s="119"/>
      <c r="U167" s="119">
        <f>SUM(U5:U166)</f>
        <v>0</v>
      </c>
      <c r="V167" s="119"/>
      <c r="W167" s="119"/>
      <c r="X167" s="119"/>
      <c r="Y167" s="119"/>
      <c r="Z167" s="119">
        <f>SUM(Z5:Z166)</f>
        <v>0</v>
      </c>
      <c r="AA167" s="119">
        <f>T167-Z167</f>
        <v>0</v>
      </c>
    </row>
    <row r="168" spans="1:27" ht="18" x14ac:dyDescent="0.25">
      <c r="A168" s="191" t="s">
        <v>571</v>
      </c>
      <c r="B168" s="191"/>
      <c r="C168" s="191"/>
      <c r="D168" s="191"/>
      <c r="E168" s="191"/>
      <c r="F168" s="191"/>
      <c r="G168" s="191"/>
      <c r="H168" s="191"/>
      <c r="I168" s="191"/>
      <c r="J168" s="191"/>
      <c r="K168" s="191"/>
      <c r="L168" s="191"/>
      <c r="M168" s="191"/>
      <c r="N168" s="191"/>
      <c r="O168" s="191"/>
      <c r="P168" s="191"/>
      <c r="Q168" s="191"/>
      <c r="R168" s="191"/>
      <c r="S168" s="191"/>
      <c r="T168" s="191"/>
      <c r="U168" s="191"/>
      <c r="V168" s="191"/>
      <c r="W168" s="191"/>
      <c r="X168" s="191"/>
      <c r="Y168" s="191"/>
      <c r="Z168" s="191"/>
      <c r="AA168" s="191"/>
    </row>
    <row r="169" spans="1:27" x14ac:dyDescent="0.25">
      <c r="A169" s="193" t="s">
        <v>0</v>
      </c>
      <c r="B169" s="194"/>
      <c r="C169" s="194"/>
      <c r="D169" s="194"/>
      <c r="E169" s="195" t="s">
        <v>1</v>
      </c>
      <c r="F169" s="195"/>
      <c r="G169" s="194"/>
      <c r="H169" s="194"/>
      <c r="I169" s="194"/>
      <c r="J169" s="194"/>
      <c r="K169" s="194"/>
      <c r="L169" s="148"/>
      <c r="M169" s="148"/>
      <c r="N169" s="194" t="s">
        <v>2</v>
      </c>
      <c r="O169" s="194"/>
      <c r="P169" s="194"/>
      <c r="Q169" s="194" t="s">
        <v>3</v>
      </c>
      <c r="R169" s="194"/>
      <c r="S169" s="194"/>
      <c r="T169" s="195" t="s">
        <v>4</v>
      </c>
      <c r="U169" s="194"/>
      <c r="V169" s="194"/>
      <c r="W169" s="194"/>
      <c r="X169" s="148"/>
      <c r="Y169" s="78"/>
      <c r="Z169" s="78"/>
      <c r="AA169" s="78"/>
    </row>
    <row r="170" spans="1:27" ht="25.5" x14ac:dyDescent="0.25">
      <c r="A170" s="111" t="s">
        <v>5</v>
      </c>
      <c r="B170" s="80" t="s">
        <v>6</v>
      </c>
      <c r="C170" s="80" t="s">
        <v>7</v>
      </c>
      <c r="D170" s="80" t="s">
        <v>8</v>
      </c>
      <c r="E170" s="80" t="s">
        <v>9</v>
      </c>
      <c r="F170" s="80" t="s">
        <v>10</v>
      </c>
      <c r="G170" s="80" t="s">
        <v>29</v>
      </c>
      <c r="H170" s="80" t="s">
        <v>30</v>
      </c>
      <c r="I170" s="80"/>
      <c r="J170" s="80"/>
      <c r="K170" s="80" t="s">
        <v>11</v>
      </c>
      <c r="L170" s="80" t="s">
        <v>12</v>
      </c>
      <c r="M170" s="80" t="s">
        <v>13</v>
      </c>
      <c r="N170" s="80" t="s">
        <v>14</v>
      </c>
      <c r="O170" s="80" t="s">
        <v>15</v>
      </c>
      <c r="P170" s="80" t="s">
        <v>16</v>
      </c>
      <c r="Q170" s="80" t="s">
        <v>17</v>
      </c>
      <c r="R170" s="80" t="s">
        <v>18</v>
      </c>
      <c r="S170" s="80" t="s">
        <v>19</v>
      </c>
      <c r="T170" s="196"/>
      <c r="U170" s="80" t="s">
        <v>20</v>
      </c>
      <c r="V170" s="80" t="s">
        <v>21</v>
      </c>
      <c r="W170" s="81" t="s">
        <v>20</v>
      </c>
      <c r="X170" s="82" t="s">
        <v>21</v>
      </c>
      <c r="Y170" s="80" t="s">
        <v>22</v>
      </c>
      <c r="Z170" s="80" t="s">
        <v>23</v>
      </c>
      <c r="AA170" s="80" t="s">
        <v>24</v>
      </c>
    </row>
    <row r="171" spans="1:27" ht="27" x14ac:dyDescent="0.25">
      <c r="A171" s="36"/>
      <c r="B171" s="83">
        <v>43526</v>
      </c>
      <c r="C171" s="23" t="s">
        <v>730</v>
      </c>
      <c r="D171" s="23" t="s">
        <v>650</v>
      </c>
      <c r="E171" s="23" t="s">
        <v>731</v>
      </c>
      <c r="F171" s="23">
        <v>76663999</v>
      </c>
      <c r="G171" s="23"/>
      <c r="H171" s="23" t="s">
        <v>732</v>
      </c>
      <c r="I171" s="22">
        <v>90</v>
      </c>
      <c r="J171" s="22">
        <v>470</v>
      </c>
      <c r="K171" s="14">
        <f t="shared" ref="K171:K180" si="39">I171+J171</f>
        <v>560</v>
      </c>
      <c r="L171" s="14">
        <f t="shared" ref="L171:L186" si="40">K171*13%</f>
        <v>72.8</v>
      </c>
      <c r="M171" s="14">
        <f t="shared" ref="M171:M186" si="41">K171-L171</f>
        <v>487.2</v>
      </c>
      <c r="N171" s="34"/>
      <c r="O171" s="34"/>
      <c r="P171" s="14"/>
      <c r="Q171" s="22"/>
      <c r="R171" s="22"/>
      <c r="S171" s="14"/>
      <c r="T171" s="14"/>
      <c r="U171" s="34"/>
      <c r="V171" s="35"/>
      <c r="W171" s="36"/>
      <c r="X171" s="37"/>
      <c r="Y171" s="37"/>
      <c r="Z171" s="24">
        <f t="shared" ref="Z171:Z202" si="42">U171+W171</f>
        <v>0</v>
      </c>
      <c r="AA171" s="24">
        <f t="shared" ref="AA171:AA202" si="43">T171-Z171</f>
        <v>0</v>
      </c>
    </row>
    <row r="172" spans="1:27" ht="27" x14ac:dyDescent="0.25">
      <c r="A172" s="36"/>
      <c r="B172" s="83">
        <v>43528</v>
      </c>
      <c r="C172" s="23" t="s">
        <v>750</v>
      </c>
      <c r="D172" s="23" t="s">
        <v>650</v>
      </c>
      <c r="E172" s="23" t="s">
        <v>751</v>
      </c>
      <c r="F172" s="23" t="s">
        <v>752</v>
      </c>
      <c r="G172" s="23" t="s">
        <v>753</v>
      </c>
      <c r="H172" s="23" t="s">
        <v>341</v>
      </c>
      <c r="I172" s="22">
        <v>180</v>
      </c>
      <c r="J172" s="22">
        <v>75</v>
      </c>
      <c r="K172" s="14">
        <f t="shared" si="39"/>
        <v>255</v>
      </c>
      <c r="L172" s="14">
        <f t="shared" si="40"/>
        <v>33.15</v>
      </c>
      <c r="M172" s="14">
        <f t="shared" si="41"/>
        <v>221.85</v>
      </c>
      <c r="N172" s="34"/>
      <c r="O172" s="34"/>
      <c r="P172" s="14"/>
      <c r="Q172" s="22"/>
      <c r="R172" s="22"/>
      <c r="S172" s="14"/>
      <c r="T172" s="14"/>
      <c r="U172" s="34"/>
      <c r="V172" s="35"/>
      <c r="W172" s="36"/>
      <c r="X172" s="37"/>
      <c r="Y172" s="37"/>
      <c r="Z172" s="24">
        <f t="shared" si="42"/>
        <v>0</v>
      </c>
      <c r="AA172" s="24">
        <f t="shared" si="43"/>
        <v>0</v>
      </c>
    </row>
    <row r="173" spans="1:27" x14ac:dyDescent="0.25">
      <c r="A173" s="36"/>
      <c r="B173" s="83">
        <v>43535</v>
      </c>
      <c r="C173" s="23" t="s">
        <v>838</v>
      </c>
      <c r="D173" s="23" t="s">
        <v>650</v>
      </c>
      <c r="E173" s="23"/>
      <c r="F173" s="23" t="s">
        <v>839</v>
      </c>
      <c r="G173" s="23"/>
      <c r="H173" s="23" t="s">
        <v>770</v>
      </c>
      <c r="I173" s="22"/>
      <c r="J173" s="22">
        <v>150</v>
      </c>
      <c r="K173" s="14">
        <f t="shared" si="39"/>
        <v>150</v>
      </c>
      <c r="L173" s="14">
        <f t="shared" si="40"/>
        <v>19.5</v>
      </c>
      <c r="M173" s="14">
        <f t="shared" si="41"/>
        <v>130.5</v>
      </c>
      <c r="N173" s="34"/>
      <c r="O173" s="34"/>
      <c r="P173" s="14"/>
      <c r="Q173" s="22"/>
      <c r="R173" s="22"/>
      <c r="S173" s="14"/>
      <c r="T173" s="14"/>
      <c r="U173" s="34"/>
      <c r="V173" s="35"/>
      <c r="W173" s="36"/>
      <c r="X173" s="37"/>
      <c r="Y173" s="37"/>
      <c r="Z173" s="24">
        <f t="shared" si="42"/>
        <v>0</v>
      </c>
      <c r="AA173" s="24">
        <f t="shared" si="43"/>
        <v>0</v>
      </c>
    </row>
    <row r="174" spans="1:27" ht="27" x14ac:dyDescent="0.25">
      <c r="A174" s="36"/>
      <c r="B174" s="83">
        <v>43535</v>
      </c>
      <c r="C174" s="23" t="s">
        <v>840</v>
      </c>
      <c r="D174" s="23" t="s">
        <v>650</v>
      </c>
      <c r="E174" s="23"/>
      <c r="F174" s="23">
        <v>61762956</v>
      </c>
      <c r="G174" s="23" t="s">
        <v>693</v>
      </c>
      <c r="H174" s="23" t="s">
        <v>341</v>
      </c>
      <c r="I174" s="22">
        <v>50</v>
      </c>
      <c r="J174" s="22">
        <v>75</v>
      </c>
      <c r="K174" s="14">
        <f t="shared" si="39"/>
        <v>125</v>
      </c>
      <c r="L174" s="14">
        <f t="shared" si="40"/>
        <v>16.25</v>
      </c>
      <c r="M174" s="14">
        <f t="shared" si="41"/>
        <v>108.75</v>
      </c>
      <c r="N174" s="34"/>
      <c r="O174" s="34"/>
      <c r="P174" s="14"/>
      <c r="Q174" s="22"/>
      <c r="R174" s="22"/>
      <c r="S174" s="14"/>
      <c r="T174" s="14"/>
      <c r="U174" s="34"/>
      <c r="V174" s="35"/>
      <c r="W174" s="36"/>
      <c r="X174" s="37"/>
      <c r="Y174" s="37"/>
      <c r="Z174" s="24">
        <f t="shared" si="42"/>
        <v>0</v>
      </c>
      <c r="AA174" s="24">
        <f t="shared" si="43"/>
        <v>0</v>
      </c>
    </row>
    <row r="175" spans="1:27" s="181" customFormat="1" x14ac:dyDescent="0.25">
      <c r="A175" s="182"/>
      <c r="B175" s="183">
        <v>43540</v>
      </c>
      <c r="C175" s="176" t="s">
        <v>908</v>
      </c>
      <c r="D175" s="176" t="s">
        <v>650</v>
      </c>
      <c r="E175" s="176"/>
      <c r="F175" s="176" t="s">
        <v>909</v>
      </c>
      <c r="G175" s="176"/>
      <c r="H175" s="176"/>
      <c r="I175" s="175">
        <v>210</v>
      </c>
      <c r="J175" s="175">
        <v>330</v>
      </c>
      <c r="K175" s="184">
        <f t="shared" si="39"/>
        <v>540</v>
      </c>
      <c r="L175" s="184">
        <f t="shared" si="40"/>
        <v>70.2</v>
      </c>
      <c r="M175" s="184">
        <f t="shared" si="41"/>
        <v>469.8</v>
      </c>
      <c r="N175" s="175"/>
      <c r="O175" s="175"/>
      <c r="P175" s="184"/>
      <c r="Q175" s="175"/>
      <c r="R175" s="175"/>
      <c r="S175" s="184"/>
      <c r="T175" s="184"/>
      <c r="U175" s="175"/>
      <c r="V175" s="176"/>
      <c r="W175" s="182"/>
      <c r="X175" s="185"/>
      <c r="Y175" s="185"/>
      <c r="Z175" s="186">
        <f t="shared" si="42"/>
        <v>0</v>
      </c>
      <c r="AA175" s="186">
        <f t="shared" si="43"/>
        <v>0</v>
      </c>
    </row>
    <row r="176" spans="1:27" ht="27" x14ac:dyDescent="0.25">
      <c r="A176" s="36">
        <v>6</v>
      </c>
      <c r="B176" s="83">
        <v>43541</v>
      </c>
      <c r="C176" s="23" t="s">
        <v>930</v>
      </c>
      <c r="D176" s="23" t="s">
        <v>650</v>
      </c>
      <c r="E176" s="23"/>
      <c r="F176" s="23" t="s">
        <v>931</v>
      </c>
      <c r="G176" s="23" t="s">
        <v>852</v>
      </c>
      <c r="H176" s="23" t="s">
        <v>932</v>
      </c>
      <c r="I176" s="22">
        <v>50</v>
      </c>
      <c r="J176" s="22">
        <v>250</v>
      </c>
      <c r="K176" s="14">
        <f t="shared" si="39"/>
        <v>300</v>
      </c>
      <c r="L176" s="14">
        <f t="shared" si="40"/>
        <v>39</v>
      </c>
      <c r="M176" s="14">
        <f t="shared" si="41"/>
        <v>261</v>
      </c>
      <c r="N176" s="34"/>
      <c r="O176" s="34"/>
      <c r="P176" s="14"/>
      <c r="Q176" s="22"/>
      <c r="R176" s="22"/>
      <c r="S176" s="14"/>
      <c r="T176" s="14"/>
      <c r="U176" s="34"/>
      <c r="V176" s="35"/>
      <c r="W176" s="36"/>
      <c r="X176" s="37"/>
      <c r="Y176" s="37"/>
      <c r="Z176" s="24">
        <f t="shared" si="42"/>
        <v>0</v>
      </c>
      <c r="AA176" s="24">
        <f t="shared" si="43"/>
        <v>0</v>
      </c>
    </row>
    <row r="177" spans="1:27" ht="27" x14ac:dyDescent="0.25">
      <c r="A177" s="36">
        <v>7</v>
      </c>
      <c r="B177" s="83">
        <v>43549</v>
      </c>
      <c r="C177" s="23" t="s">
        <v>1074</v>
      </c>
      <c r="D177" s="23" t="s">
        <v>650</v>
      </c>
      <c r="E177" s="23"/>
      <c r="F177" s="23">
        <v>77247211</v>
      </c>
      <c r="G177" s="23" t="s">
        <v>1075</v>
      </c>
      <c r="H177" s="23" t="s">
        <v>1076</v>
      </c>
      <c r="I177" s="22">
        <v>115</v>
      </c>
      <c r="J177" s="22">
        <v>75</v>
      </c>
      <c r="K177" s="14">
        <f t="shared" si="39"/>
        <v>190</v>
      </c>
      <c r="L177" s="14">
        <f t="shared" si="40"/>
        <v>24.7</v>
      </c>
      <c r="M177" s="14">
        <f t="shared" si="41"/>
        <v>165.3</v>
      </c>
      <c r="N177" s="34"/>
      <c r="O177" s="34"/>
      <c r="P177" s="14"/>
      <c r="Q177" s="22"/>
      <c r="R177" s="22"/>
      <c r="S177" s="14"/>
      <c r="T177" s="14"/>
      <c r="U177" s="34"/>
      <c r="V177" s="35"/>
      <c r="W177" s="36"/>
      <c r="X177" s="37"/>
      <c r="Y177" s="37"/>
      <c r="Z177" s="24">
        <f t="shared" si="42"/>
        <v>0</v>
      </c>
      <c r="AA177" s="24">
        <f t="shared" si="43"/>
        <v>0</v>
      </c>
    </row>
    <row r="178" spans="1:27" ht="27" x14ac:dyDescent="0.25">
      <c r="A178" s="36">
        <v>8</v>
      </c>
      <c r="B178" s="83">
        <v>43549</v>
      </c>
      <c r="C178" s="23" t="s">
        <v>1077</v>
      </c>
      <c r="D178" s="23" t="s">
        <v>650</v>
      </c>
      <c r="E178" s="23"/>
      <c r="F178" s="23" t="s">
        <v>1078</v>
      </c>
      <c r="G178" s="23" t="s">
        <v>1079</v>
      </c>
      <c r="H178" s="23" t="s">
        <v>1076</v>
      </c>
      <c r="I178" s="22">
        <v>200</v>
      </c>
      <c r="J178" s="22">
        <v>75</v>
      </c>
      <c r="K178" s="14">
        <f t="shared" si="39"/>
        <v>275</v>
      </c>
      <c r="L178" s="14">
        <f t="shared" si="40"/>
        <v>35.75</v>
      </c>
      <c r="M178" s="14">
        <f t="shared" si="41"/>
        <v>239.25</v>
      </c>
      <c r="N178" s="34"/>
      <c r="O178" s="34"/>
      <c r="P178" s="14"/>
      <c r="Q178" s="22"/>
      <c r="R178" s="22"/>
      <c r="S178" s="14"/>
      <c r="T178" s="14"/>
      <c r="U178" s="34"/>
      <c r="V178" s="35"/>
      <c r="W178" s="36"/>
      <c r="X178" s="37"/>
      <c r="Y178" s="37"/>
      <c r="Z178" s="24">
        <f t="shared" si="42"/>
        <v>0</v>
      </c>
      <c r="AA178" s="24">
        <f t="shared" si="43"/>
        <v>0</v>
      </c>
    </row>
    <row r="179" spans="1:27" ht="27" x14ac:dyDescent="0.25">
      <c r="A179" s="36"/>
      <c r="B179" s="83">
        <v>43553</v>
      </c>
      <c r="C179" s="23" t="s">
        <v>1161</v>
      </c>
      <c r="D179" s="23" t="s">
        <v>650</v>
      </c>
      <c r="E179" s="23"/>
      <c r="F179" s="23" t="s">
        <v>1162</v>
      </c>
      <c r="G179" s="23" t="s">
        <v>957</v>
      </c>
      <c r="H179" s="23" t="s">
        <v>1163</v>
      </c>
      <c r="I179" s="22">
        <v>65</v>
      </c>
      <c r="J179" s="22">
        <v>260</v>
      </c>
      <c r="K179" s="14">
        <f t="shared" si="39"/>
        <v>325</v>
      </c>
      <c r="L179" s="14"/>
      <c r="M179" s="14"/>
      <c r="N179" s="34"/>
      <c r="O179" s="34"/>
      <c r="P179" s="14"/>
      <c r="Q179" s="22"/>
      <c r="R179" s="22"/>
      <c r="S179" s="14"/>
      <c r="T179" s="14"/>
      <c r="U179" s="34"/>
      <c r="V179" s="35"/>
      <c r="W179" s="36"/>
      <c r="X179" s="37"/>
      <c r="Y179" s="37"/>
      <c r="Z179" s="24"/>
      <c r="AA179" s="24"/>
    </row>
    <row r="180" spans="1:27" ht="27" x14ac:dyDescent="0.25">
      <c r="A180" s="36"/>
      <c r="B180" s="83">
        <v>43555</v>
      </c>
      <c r="C180" s="23" t="s">
        <v>1134</v>
      </c>
      <c r="D180" s="23" t="s">
        <v>650</v>
      </c>
      <c r="E180" s="23" t="s">
        <v>1195</v>
      </c>
      <c r="F180" s="23" t="s">
        <v>1196</v>
      </c>
      <c r="G180" s="23" t="s">
        <v>1197</v>
      </c>
      <c r="H180" s="23" t="s">
        <v>341</v>
      </c>
      <c r="I180" s="22">
        <v>200</v>
      </c>
      <c r="J180" s="22">
        <v>100</v>
      </c>
      <c r="K180" s="14">
        <f t="shared" si="39"/>
        <v>300</v>
      </c>
      <c r="L180" s="14"/>
      <c r="M180" s="14"/>
      <c r="N180" s="34"/>
      <c r="O180" s="34"/>
      <c r="P180" s="14"/>
      <c r="Q180" s="22"/>
      <c r="R180" s="22"/>
      <c r="S180" s="14"/>
      <c r="T180" s="14"/>
      <c r="U180" s="34"/>
      <c r="V180" s="35"/>
      <c r="W180" s="36"/>
      <c r="X180" s="37"/>
      <c r="Y180" s="37"/>
      <c r="Z180" s="24"/>
      <c r="AA180" s="24"/>
    </row>
    <row r="181" spans="1:27" x14ac:dyDescent="0.25">
      <c r="A181" s="36"/>
      <c r="B181" s="83"/>
      <c r="C181" s="23"/>
      <c r="D181" s="23"/>
      <c r="E181" s="23"/>
      <c r="F181" s="23"/>
      <c r="G181" s="23"/>
      <c r="H181" s="23"/>
      <c r="I181" s="22"/>
      <c r="J181" s="22"/>
      <c r="K181" s="14"/>
      <c r="L181" s="14"/>
      <c r="M181" s="14"/>
      <c r="N181" s="34"/>
      <c r="O181" s="34"/>
      <c r="P181" s="14"/>
      <c r="Q181" s="22"/>
      <c r="R181" s="22"/>
      <c r="S181" s="14"/>
      <c r="T181" s="14"/>
      <c r="U181" s="34"/>
      <c r="V181" s="35"/>
      <c r="W181" s="36"/>
      <c r="X181" s="37"/>
      <c r="Y181" s="37"/>
      <c r="Z181" s="24"/>
      <c r="AA181" s="24"/>
    </row>
    <row r="182" spans="1:27" x14ac:dyDescent="0.25">
      <c r="A182" s="36"/>
      <c r="B182" s="83"/>
      <c r="C182" s="23"/>
      <c r="D182" s="23"/>
      <c r="E182" s="23"/>
      <c r="F182" s="23"/>
      <c r="G182" s="23"/>
      <c r="H182" s="23"/>
      <c r="I182" s="22"/>
      <c r="J182" s="22"/>
      <c r="K182" s="14"/>
      <c r="L182" s="14"/>
      <c r="M182" s="14"/>
      <c r="N182" s="34"/>
      <c r="O182" s="34"/>
      <c r="P182" s="14"/>
      <c r="Q182" s="22"/>
      <c r="R182" s="22"/>
      <c r="S182" s="14"/>
      <c r="T182" s="14"/>
      <c r="U182" s="34"/>
      <c r="V182" s="35"/>
      <c r="W182" s="36"/>
      <c r="X182" s="37"/>
      <c r="Y182" s="37"/>
      <c r="Z182" s="24"/>
      <c r="AA182" s="24"/>
    </row>
    <row r="183" spans="1:27" x14ac:dyDescent="0.25">
      <c r="A183" s="36"/>
      <c r="B183" s="83"/>
      <c r="C183" s="23"/>
      <c r="D183" s="23"/>
      <c r="E183" s="23"/>
      <c r="F183" s="23"/>
      <c r="G183" s="23"/>
      <c r="H183" s="23"/>
      <c r="I183" s="22"/>
      <c r="J183" s="22"/>
      <c r="K183" s="14"/>
      <c r="L183" s="14"/>
      <c r="M183" s="14"/>
      <c r="N183" s="34"/>
      <c r="O183" s="34"/>
      <c r="P183" s="14"/>
      <c r="Q183" s="22"/>
      <c r="R183" s="22"/>
      <c r="S183" s="14"/>
      <c r="T183" s="14"/>
      <c r="U183" s="34"/>
      <c r="V183" s="35"/>
      <c r="W183" s="36"/>
      <c r="X183" s="37"/>
      <c r="Y183" s="37"/>
      <c r="Z183" s="24"/>
      <c r="AA183" s="24"/>
    </row>
    <row r="184" spans="1:27" x14ac:dyDescent="0.25">
      <c r="A184" s="36"/>
      <c r="B184" s="83"/>
      <c r="C184" s="23"/>
      <c r="D184" s="23"/>
      <c r="E184" s="23"/>
      <c r="F184" s="23"/>
      <c r="G184" s="23"/>
      <c r="H184" s="23"/>
      <c r="I184" s="22"/>
      <c r="J184" s="22"/>
      <c r="K184" s="14"/>
      <c r="L184" s="14"/>
      <c r="M184" s="14"/>
      <c r="N184" s="34"/>
      <c r="O184" s="34"/>
      <c r="P184" s="14"/>
      <c r="Q184" s="22"/>
      <c r="R184" s="22"/>
      <c r="S184" s="14"/>
      <c r="T184" s="14"/>
      <c r="U184" s="34"/>
      <c r="V184" s="35"/>
      <c r="W184" s="36"/>
      <c r="X184" s="37"/>
      <c r="Y184" s="37"/>
      <c r="Z184" s="24"/>
      <c r="AA184" s="24"/>
    </row>
    <row r="185" spans="1:27" x14ac:dyDescent="0.25">
      <c r="A185" s="36"/>
      <c r="B185" s="83"/>
      <c r="C185" s="23"/>
      <c r="D185" s="23"/>
      <c r="E185" s="23"/>
      <c r="F185" s="23"/>
      <c r="G185" s="23"/>
      <c r="H185" s="23"/>
      <c r="I185" s="22"/>
      <c r="J185" s="22"/>
      <c r="K185" s="14"/>
      <c r="L185" s="14"/>
      <c r="M185" s="14"/>
      <c r="N185" s="34"/>
      <c r="O185" s="34"/>
      <c r="P185" s="14"/>
      <c r="Q185" s="22"/>
      <c r="R185" s="22"/>
      <c r="S185" s="14"/>
      <c r="T185" s="14"/>
      <c r="U185" s="34"/>
      <c r="V185" s="35"/>
      <c r="W185" s="36"/>
      <c r="X185" s="37"/>
      <c r="Y185" s="37"/>
      <c r="Z185" s="24"/>
      <c r="AA185" s="24"/>
    </row>
    <row r="186" spans="1:27" x14ac:dyDescent="0.25">
      <c r="A186" s="36">
        <v>9</v>
      </c>
      <c r="B186" s="87"/>
      <c r="C186" s="35"/>
      <c r="D186" s="35"/>
      <c r="E186" s="35"/>
      <c r="F186" s="35"/>
      <c r="G186" s="34"/>
      <c r="H186" s="34"/>
      <c r="I186" s="34"/>
      <c r="J186" s="34"/>
      <c r="K186" s="14"/>
      <c r="L186" s="14">
        <f t="shared" si="40"/>
        <v>0</v>
      </c>
      <c r="M186" s="14">
        <f t="shared" si="41"/>
        <v>0</v>
      </c>
      <c r="N186" s="34"/>
      <c r="O186" s="34"/>
      <c r="P186" s="14">
        <f>N186+O186</f>
        <v>0</v>
      </c>
      <c r="Q186" s="22">
        <f>G186-N186</f>
        <v>0</v>
      </c>
      <c r="R186" s="22">
        <f>H186-O186</f>
        <v>0</v>
      </c>
      <c r="S186" s="14">
        <f>Q186+R186</f>
        <v>0</v>
      </c>
      <c r="T186" s="14">
        <f>P186+S186</f>
        <v>0</v>
      </c>
      <c r="U186" s="34"/>
      <c r="V186" s="35"/>
      <c r="W186" s="36"/>
      <c r="X186" s="37"/>
      <c r="Y186" s="37"/>
      <c r="Z186" s="24">
        <f t="shared" si="42"/>
        <v>0</v>
      </c>
      <c r="AA186" s="24">
        <f t="shared" si="43"/>
        <v>0</v>
      </c>
    </row>
    <row r="187" spans="1:27" x14ac:dyDescent="0.25">
      <c r="A187" s="50"/>
      <c r="B187" s="52"/>
      <c r="C187" s="49"/>
      <c r="D187" s="49"/>
      <c r="E187" s="49"/>
      <c r="F187" s="49"/>
      <c r="G187" s="48">
        <f t="shared" ref="G187:O187" si="44">SUM(G171:G186)</f>
        <v>0</v>
      </c>
      <c r="H187" s="48">
        <f t="shared" si="44"/>
        <v>0</v>
      </c>
      <c r="I187" s="48"/>
      <c r="J187" s="48"/>
      <c r="K187" s="48">
        <f t="shared" si="44"/>
        <v>3020</v>
      </c>
      <c r="L187" s="48">
        <f t="shared" si="44"/>
        <v>311.34999999999997</v>
      </c>
      <c r="M187" s="48">
        <f t="shared" si="44"/>
        <v>2083.6499999999996</v>
      </c>
      <c r="N187" s="48">
        <f t="shared" si="44"/>
        <v>0</v>
      </c>
      <c r="O187" s="48">
        <f t="shared" si="44"/>
        <v>0</v>
      </c>
      <c r="P187" s="48">
        <f>N187+O187</f>
        <v>0</v>
      </c>
      <c r="Q187" s="48">
        <f>G187-N187</f>
        <v>0</v>
      </c>
      <c r="R187" s="48">
        <f>H187-O187</f>
        <v>0</v>
      </c>
      <c r="S187" s="48">
        <f>Q187+R187</f>
        <v>0</v>
      </c>
      <c r="T187" s="48">
        <f>P187+S187</f>
        <v>0</v>
      </c>
      <c r="U187" s="48"/>
      <c r="V187" s="49"/>
      <c r="W187" s="50"/>
      <c r="X187" s="50"/>
      <c r="Y187" s="50"/>
      <c r="Z187" s="51">
        <f t="shared" si="42"/>
        <v>0</v>
      </c>
      <c r="AA187" s="51">
        <f t="shared" si="43"/>
        <v>0</v>
      </c>
    </row>
    <row r="188" spans="1:27" ht="18" x14ac:dyDescent="0.25">
      <c r="A188" s="191" t="s">
        <v>572</v>
      </c>
      <c r="B188" s="191"/>
      <c r="C188" s="191"/>
      <c r="D188" s="191"/>
      <c r="E188" s="191"/>
      <c r="F188" s="191"/>
      <c r="G188" s="191"/>
      <c r="H188" s="191"/>
      <c r="I188" s="191"/>
      <c r="J188" s="191"/>
      <c r="K188" s="191"/>
      <c r="L188" s="191"/>
      <c r="M188" s="191"/>
      <c r="N188" s="191"/>
      <c r="O188" s="191"/>
      <c r="P188" s="191"/>
      <c r="Q188" s="191"/>
      <c r="R188" s="191"/>
      <c r="S188" s="191"/>
      <c r="T188" s="191"/>
      <c r="U188" s="191"/>
      <c r="V188" s="191"/>
      <c r="W188" s="191"/>
      <c r="X188" s="191"/>
      <c r="Y188" s="191"/>
      <c r="Z188" s="191"/>
      <c r="AA188" s="191"/>
    </row>
    <row r="189" spans="1:27" x14ac:dyDescent="0.25">
      <c r="A189" s="193" t="s">
        <v>0</v>
      </c>
      <c r="B189" s="194"/>
      <c r="C189" s="194"/>
      <c r="D189" s="194"/>
      <c r="E189" s="195" t="s">
        <v>1</v>
      </c>
      <c r="F189" s="195"/>
      <c r="G189" s="194"/>
      <c r="H189" s="194"/>
      <c r="I189" s="194"/>
      <c r="J189" s="194"/>
      <c r="K189" s="194"/>
      <c r="L189" s="148"/>
      <c r="M189" s="148"/>
      <c r="N189" s="194" t="s">
        <v>2</v>
      </c>
      <c r="O189" s="194"/>
      <c r="P189" s="194"/>
      <c r="Q189" s="194" t="s">
        <v>3</v>
      </c>
      <c r="R189" s="194"/>
      <c r="S189" s="194"/>
      <c r="T189" s="195" t="s">
        <v>4</v>
      </c>
      <c r="U189" s="194"/>
      <c r="V189" s="194"/>
      <c r="W189" s="194"/>
      <c r="X189" s="148"/>
      <c r="Y189" s="78"/>
      <c r="Z189" s="78"/>
      <c r="AA189" s="78"/>
    </row>
    <row r="190" spans="1:27" ht="25.5" x14ac:dyDescent="0.25">
      <c r="A190" s="111" t="s">
        <v>5</v>
      </c>
      <c r="B190" s="80" t="s">
        <v>6</v>
      </c>
      <c r="C190" s="80" t="s">
        <v>7</v>
      </c>
      <c r="D190" s="80" t="s">
        <v>333</v>
      </c>
      <c r="E190" s="80" t="s">
        <v>575</v>
      </c>
      <c r="F190" s="80" t="s">
        <v>10</v>
      </c>
      <c r="G190" s="80" t="s">
        <v>29</v>
      </c>
      <c r="H190" s="80" t="s">
        <v>30</v>
      </c>
      <c r="I190" s="80"/>
      <c r="J190" s="80"/>
      <c r="K190" s="80" t="s">
        <v>11</v>
      </c>
      <c r="L190" s="80" t="s">
        <v>12</v>
      </c>
      <c r="M190" s="80" t="s">
        <v>13</v>
      </c>
      <c r="N190" s="80" t="s">
        <v>14</v>
      </c>
      <c r="O190" s="80" t="s">
        <v>15</v>
      </c>
      <c r="P190" s="80" t="s">
        <v>16</v>
      </c>
      <c r="Q190" s="80" t="s">
        <v>17</v>
      </c>
      <c r="R190" s="80" t="s">
        <v>18</v>
      </c>
      <c r="S190" s="80" t="s">
        <v>19</v>
      </c>
      <c r="T190" s="196"/>
      <c r="U190" s="80" t="s">
        <v>20</v>
      </c>
      <c r="V190" s="80" t="s">
        <v>21</v>
      </c>
      <c r="W190" s="81" t="s">
        <v>20</v>
      </c>
      <c r="X190" s="82" t="s">
        <v>21</v>
      </c>
      <c r="Y190" s="80" t="s">
        <v>22</v>
      </c>
      <c r="Z190" s="80" t="s">
        <v>23</v>
      </c>
      <c r="AA190" s="80" t="s">
        <v>24</v>
      </c>
    </row>
    <row r="191" spans="1:27" ht="48" customHeight="1" x14ac:dyDescent="0.25">
      <c r="A191" s="96"/>
      <c r="B191" s="83">
        <v>43525</v>
      </c>
      <c r="C191" s="23" t="s">
        <v>659</v>
      </c>
      <c r="D191" s="23" t="s">
        <v>660</v>
      </c>
      <c r="E191" s="23" t="s">
        <v>660</v>
      </c>
      <c r="F191" s="23"/>
      <c r="G191" s="23" t="s">
        <v>661</v>
      </c>
      <c r="H191" s="23" t="s">
        <v>662</v>
      </c>
      <c r="I191" s="22">
        <v>35</v>
      </c>
      <c r="J191" s="22">
        <v>140</v>
      </c>
      <c r="K191" s="14">
        <f>I191+J191</f>
        <v>175</v>
      </c>
      <c r="L191" s="14"/>
      <c r="M191" s="14"/>
      <c r="N191" s="22"/>
      <c r="O191" s="22"/>
      <c r="P191" s="14">
        <f t="shared" ref="P191:P201" si="45">N191+O191</f>
        <v>0</v>
      </c>
      <c r="Q191" s="22" t="e">
        <f>#REF!-N191</f>
        <v>#REF!</v>
      </c>
      <c r="R191" s="22" t="e">
        <f>#REF!-O191</f>
        <v>#REF!</v>
      </c>
      <c r="S191" s="14" t="e">
        <f t="shared" ref="S191:S202" si="46">Q191+R191</f>
        <v>#REF!</v>
      </c>
      <c r="T191" s="14" t="e">
        <f t="shared" ref="T191:T202" si="47">P191+S191</f>
        <v>#REF!</v>
      </c>
      <c r="U191" s="22"/>
      <c r="V191" s="96"/>
      <c r="W191" s="22"/>
      <c r="X191" s="84"/>
      <c r="Y191" s="85"/>
      <c r="Z191" s="97">
        <f>U191+W191</f>
        <v>0</v>
      </c>
      <c r="AA191" s="98" t="e">
        <f>T191-Z191</f>
        <v>#REF!</v>
      </c>
    </row>
    <row r="192" spans="1:27" ht="40.5" customHeight="1" x14ac:dyDescent="0.25">
      <c r="A192" s="96"/>
      <c r="B192" s="83">
        <v>43525</v>
      </c>
      <c r="C192" s="23" t="s">
        <v>663</v>
      </c>
      <c r="D192" s="23" t="s">
        <v>664</v>
      </c>
      <c r="E192" s="23" t="s">
        <v>664</v>
      </c>
      <c r="F192" s="23" t="s">
        <v>665</v>
      </c>
      <c r="G192" s="23" t="s">
        <v>666</v>
      </c>
      <c r="H192" s="23" t="s">
        <v>341</v>
      </c>
      <c r="I192" s="22">
        <v>160</v>
      </c>
      <c r="J192" s="22">
        <v>65</v>
      </c>
      <c r="K192" s="14">
        <f>I192+J192</f>
        <v>225</v>
      </c>
      <c r="L192" s="14"/>
      <c r="M192" s="14"/>
      <c r="N192" s="34"/>
      <c r="O192" s="34"/>
      <c r="P192" s="14">
        <f t="shared" si="45"/>
        <v>0</v>
      </c>
      <c r="Q192" s="22" t="e">
        <f>#REF!-N192</f>
        <v>#REF!</v>
      </c>
      <c r="R192" s="22" t="e">
        <f>#REF!-O192</f>
        <v>#REF!</v>
      </c>
      <c r="S192" s="14" t="e">
        <f t="shared" si="46"/>
        <v>#REF!</v>
      </c>
      <c r="T192" s="14" t="e">
        <f t="shared" si="47"/>
        <v>#REF!</v>
      </c>
      <c r="U192" s="34"/>
      <c r="V192" s="35"/>
      <c r="W192" s="36"/>
      <c r="X192" s="37"/>
      <c r="Y192" s="37"/>
      <c r="Z192" s="24">
        <f t="shared" si="42"/>
        <v>0</v>
      </c>
      <c r="AA192" s="24" t="e">
        <f t="shared" si="43"/>
        <v>#REF!</v>
      </c>
    </row>
    <row r="193" spans="1:27" ht="33.75" customHeight="1" x14ac:dyDescent="0.25">
      <c r="A193" s="96"/>
      <c r="B193" s="83">
        <v>43525</v>
      </c>
      <c r="C193" s="23" t="s">
        <v>667</v>
      </c>
      <c r="D193" s="23" t="s">
        <v>664</v>
      </c>
      <c r="E193" s="23" t="s">
        <v>664</v>
      </c>
      <c r="F193" s="23"/>
      <c r="G193" s="23" t="s">
        <v>668</v>
      </c>
      <c r="H193" s="23" t="s">
        <v>669</v>
      </c>
      <c r="I193" s="22">
        <v>200</v>
      </c>
      <c r="J193" s="22">
        <v>330</v>
      </c>
      <c r="K193" s="14">
        <f>I193+J193</f>
        <v>530</v>
      </c>
      <c r="L193" s="14"/>
      <c r="M193" s="14"/>
      <c r="N193" s="34"/>
      <c r="O193" s="34"/>
      <c r="P193" s="14">
        <f t="shared" si="45"/>
        <v>0</v>
      </c>
      <c r="Q193" s="22" t="e">
        <f>#REF!-N193</f>
        <v>#REF!</v>
      </c>
      <c r="R193" s="22" t="e">
        <f>#REF!-O193</f>
        <v>#REF!</v>
      </c>
      <c r="S193" s="14" t="e">
        <f t="shared" si="46"/>
        <v>#REF!</v>
      </c>
      <c r="T193" s="14" t="e">
        <f t="shared" si="47"/>
        <v>#REF!</v>
      </c>
      <c r="U193" s="34"/>
      <c r="V193" s="35"/>
      <c r="W193" s="36"/>
      <c r="X193" s="37"/>
      <c r="Y193" s="37"/>
      <c r="Z193" s="24">
        <f t="shared" si="42"/>
        <v>0</v>
      </c>
      <c r="AA193" s="24" t="e">
        <f t="shared" si="43"/>
        <v>#REF!</v>
      </c>
    </row>
    <row r="194" spans="1:27" ht="33.75" customHeight="1" x14ac:dyDescent="0.25">
      <c r="A194" s="96"/>
      <c r="B194" s="83">
        <v>43525</v>
      </c>
      <c r="C194" s="23" t="s">
        <v>670</v>
      </c>
      <c r="D194" s="35" t="s">
        <v>664</v>
      </c>
      <c r="E194" s="35" t="s">
        <v>664</v>
      </c>
      <c r="F194" s="35" t="s">
        <v>671</v>
      </c>
      <c r="G194" s="35" t="s">
        <v>672</v>
      </c>
      <c r="H194" s="35" t="s">
        <v>341</v>
      </c>
      <c r="I194" s="34">
        <v>150</v>
      </c>
      <c r="J194" s="34">
        <v>75</v>
      </c>
      <c r="K194" s="14">
        <f>I194+J194</f>
        <v>225</v>
      </c>
      <c r="L194" s="14"/>
      <c r="M194" s="14"/>
      <c r="N194" s="34"/>
      <c r="O194" s="34"/>
      <c r="P194" s="14">
        <f t="shared" si="45"/>
        <v>0</v>
      </c>
      <c r="Q194" s="22" t="e">
        <f>#REF!-N194</f>
        <v>#REF!</v>
      </c>
      <c r="R194" s="22" t="e">
        <f>#REF!-O194</f>
        <v>#REF!</v>
      </c>
      <c r="S194" s="14" t="e">
        <f t="shared" si="46"/>
        <v>#REF!</v>
      </c>
      <c r="T194" s="14" t="e">
        <f t="shared" si="47"/>
        <v>#REF!</v>
      </c>
      <c r="U194" s="34"/>
      <c r="V194" s="35"/>
      <c r="W194" s="36"/>
      <c r="X194" s="37"/>
      <c r="Y194" s="37"/>
      <c r="Z194" s="24">
        <f t="shared" si="42"/>
        <v>0</v>
      </c>
      <c r="AA194" s="24" t="e">
        <f t="shared" si="43"/>
        <v>#REF!</v>
      </c>
    </row>
    <row r="195" spans="1:27" ht="33.75" customHeight="1" x14ac:dyDescent="0.25">
      <c r="A195" s="96"/>
      <c r="B195" s="83">
        <v>43525</v>
      </c>
      <c r="C195" s="23" t="s">
        <v>673</v>
      </c>
      <c r="D195" s="35" t="s">
        <v>664</v>
      </c>
      <c r="E195" s="35" t="s">
        <v>664</v>
      </c>
      <c r="F195" s="35" t="s">
        <v>674</v>
      </c>
      <c r="G195" s="35" t="s">
        <v>675</v>
      </c>
      <c r="H195" s="35" t="s">
        <v>676</v>
      </c>
      <c r="I195" s="34"/>
      <c r="J195" s="34">
        <v>90</v>
      </c>
      <c r="K195" s="14">
        <v>90</v>
      </c>
      <c r="L195" s="14"/>
      <c r="M195" s="14"/>
      <c r="N195" s="34"/>
      <c r="O195" s="34"/>
      <c r="P195" s="14">
        <f t="shared" si="45"/>
        <v>0</v>
      </c>
      <c r="Q195" s="22" t="e">
        <f>#REF!-N195</f>
        <v>#REF!</v>
      </c>
      <c r="R195" s="22" t="e">
        <f>#REF!-O195</f>
        <v>#REF!</v>
      </c>
      <c r="S195" s="14" t="e">
        <f t="shared" si="46"/>
        <v>#REF!</v>
      </c>
      <c r="T195" s="14" t="e">
        <f t="shared" si="47"/>
        <v>#REF!</v>
      </c>
      <c r="U195" s="34"/>
      <c r="V195" s="35"/>
      <c r="W195" s="36"/>
      <c r="X195" s="37"/>
      <c r="Y195" s="37"/>
      <c r="Z195" s="24">
        <f t="shared" si="42"/>
        <v>0</v>
      </c>
      <c r="AA195" s="24" t="e">
        <f t="shared" si="43"/>
        <v>#REF!</v>
      </c>
    </row>
    <row r="196" spans="1:27" ht="33.75" customHeight="1" x14ac:dyDescent="0.25">
      <c r="A196" s="96">
        <v>6</v>
      </c>
      <c r="B196" s="83">
        <v>43525</v>
      </c>
      <c r="C196" s="23" t="s">
        <v>677</v>
      </c>
      <c r="D196" s="35" t="s">
        <v>664</v>
      </c>
      <c r="E196" s="35" t="s">
        <v>664</v>
      </c>
      <c r="F196" s="35" t="s">
        <v>678</v>
      </c>
      <c r="G196" s="35" t="s">
        <v>679</v>
      </c>
      <c r="H196" s="35" t="s">
        <v>657</v>
      </c>
      <c r="I196" s="34">
        <v>100</v>
      </c>
      <c r="J196" s="34">
        <v>85</v>
      </c>
      <c r="K196" s="14">
        <v>185</v>
      </c>
      <c r="L196" s="14"/>
      <c r="M196" s="14"/>
      <c r="N196" s="34"/>
      <c r="O196" s="34"/>
      <c r="P196" s="14">
        <f t="shared" si="45"/>
        <v>0</v>
      </c>
      <c r="Q196" s="22" t="e">
        <f>#REF!-N196</f>
        <v>#REF!</v>
      </c>
      <c r="R196" s="22" t="e">
        <f>#REF!-O196</f>
        <v>#REF!</v>
      </c>
      <c r="S196" s="14" t="e">
        <f t="shared" si="46"/>
        <v>#REF!</v>
      </c>
      <c r="T196" s="14" t="e">
        <f t="shared" si="47"/>
        <v>#REF!</v>
      </c>
      <c r="U196" s="34"/>
      <c r="V196" s="35"/>
      <c r="W196" s="36"/>
      <c r="X196" s="37"/>
      <c r="Y196" s="37"/>
      <c r="Z196" s="24">
        <f t="shared" si="42"/>
        <v>0</v>
      </c>
      <c r="AA196" s="24" t="e">
        <f t="shared" si="43"/>
        <v>#REF!</v>
      </c>
    </row>
    <row r="197" spans="1:27" ht="33.75" customHeight="1" x14ac:dyDescent="0.25">
      <c r="A197" s="96">
        <v>7</v>
      </c>
      <c r="B197" s="83">
        <v>43525</v>
      </c>
      <c r="C197" s="23" t="s">
        <v>680</v>
      </c>
      <c r="D197" s="35" t="s">
        <v>664</v>
      </c>
      <c r="E197" s="35" t="s">
        <v>664</v>
      </c>
      <c r="F197" s="35" t="s">
        <v>681</v>
      </c>
      <c r="G197" s="35" t="s">
        <v>682</v>
      </c>
      <c r="H197" s="35" t="s">
        <v>657</v>
      </c>
      <c r="I197" s="34">
        <v>200</v>
      </c>
      <c r="J197" s="34">
        <v>150</v>
      </c>
      <c r="K197" s="14">
        <v>350</v>
      </c>
      <c r="L197" s="14"/>
      <c r="M197" s="14"/>
      <c r="N197" s="34"/>
      <c r="O197" s="34"/>
      <c r="P197" s="14">
        <f t="shared" si="45"/>
        <v>0</v>
      </c>
      <c r="Q197" s="22" t="e">
        <f>#REF!-N197</f>
        <v>#REF!</v>
      </c>
      <c r="R197" s="22" t="e">
        <f>#REF!-O197</f>
        <v>#REF!</v>
      </c>
      <c r="S197" s="14" t="e">
        <f t="shared" si="46"/>
        <v>#REF!</v>
      </c>
      <c r="T197" s="14" t="e">
        <f t="shared" si="47"/>
        <v>#REF!</v>
      </c>
      <c r="U197" s="34"/>
      <c r="V197" s="35"/>
      <c r="W197" s="36"/>
      <c r="X197" s="37"/>
      <c r="Y197" s="37"/>
      <c r="Z197" s="24">
        <f t="shared" si="42"/>
        <v>0</v>
      </c>
      <c r="AA197" s="24" t="e">
        <f t="shared" si="43"/>
        <v>#REF!</v>
      </c>
    </row>
    <row r="198" spans="1:27" ht="33.75" customHeight="1" x14ac:dyDescent="0.25">
      <c r="A198" s="96">
        <v>8</v>
      </c>
      <c r="B198" s="83">
        <v>43525</v>
      </c>
      <c r="C198" s="23" t="s">
        <v>683</v>
      </c>
      <c r="D198" s="35" t="s">
        <v>664</v>
      </c>
      <c r="E198" s="35" t="s">
        <v>664</v>
      </c>
      <c r="F198" s="35" t="s">
        <v>684</v>
      </c>
      <c r="G198" s="35"/>
      <c r="H198" s="35" t="s">
        <v>341</v>
      </c>
      <c r="I198" s="34"/>
      <c r="J198" s="34">
        <v>150</v>
      </c>
      <c r="K198" s="14">
        <v>150</v>
      </c>
      <c r="L198" s="14"/>
      <c r="M198" s="14"/>
      <c r="N198" s="34"/>
      <c r="O198" s="34"/>
      <c r="P198" s="14">
        <f t="shared" si="45"/>
        <v>0</v>
      </c>
      <c r="Q198" s="22" t="e">
        <f>#REF!-N198</f>
        <v>#REF!</v>
      </c>
      <c r="R198" s="22" t="e">
        <f>#REF!-O198</f>
        <v>#REF!</v>
      </c>
      <c r="S198" s="14" t="e">
        <f t="shared" si="46"/>
        <v>#REF!</v>
      </c>
      <c r="T198" s="14" t="e">
        <f t="shared" si="47"/>
        <v>#REF!</v>
      </c>
      <c r="U198" s="34"/>
      <c r="V198" s="36"/>
      <c r="W198" s="36"/>
      <c r="X198" s="37"/>
      <c r="Y198" s="37"/>
      <c r="Z198" s="97">
        <f t="shared" si="42"/>
        <v>0</v>
      </c>
      <c r="AA198" s="97" t="e">
        <f t="shared" si="43"/>
        <v>#REF!</v>
      </c>
    </row>
    <row r="199" spans="1:27" ht="33.75" customHeight="1" x14ac:dyDescent="0.25">
      <c r="A199" s="96">
        <v>9</v>
      </c>
      <c r="B199" s="83">
        <v>43525</v>
      </c>
      <c r="C199" s="23" t="s">
        <v>685</v>
      </c>
      <c r="D199" s="35" t="s">
        <v>664</v>
      </c>
      <c r="E199" s="35" t="s">
        <v>664</v>
      </c>
      <c r="F199" s="35" t="s">
        <v>686</v>
      </c>
      <c r="G199" s="35" t="s">
        <v>687</v>
      </c>
      <c r="H199" s="35" t="s">
        <v>341</v>
      </c>
      <c r="I199" s="34"/>
      <c r="J199" s="34">
        <v>100</v>
      </c>
      <c r="K199" s="14">
        <v>100</v>
      </c>
      <c r="L199" s="14"/>
      <c r="M199" s="14"/>
      <c r="N199" s="34"/>
      <c r="O199" s="34"/>
      <c r="P199" s="14">
        <f t="shared" si="45"/>
        <v>0</v>
      </c>
      <c r="Q199" s="22" t="e">
        <f>#REF!-N199</f>
        <v>#REF!</v>
      </c>
      <c r="R199" s="22" t="e">
        <f>#REF!-O199</f>
        <v>#REF!</v>
      </c>
      <c r="S199" s="14" t="e">
        <f t="shared" si="46"/>
        <v>#REF!</v>
      </c>
      <c r="T199" s="14" t="e">
        <f t="shared" si="47"/>
        <v>#REF!</v>
      </c>
      <c r="U199" s="34"/>
      <c r="V199" s="36"/>
      <c r="W199" s="36"/>
      <c r="X199" s="37"/>
      <c r="Y199" s="37"/>
      <c r="Z199" s="97">
        <f t="shared" si="42"/>
        <v>0</v>
      </c>
      <c r="AA199" s="97" t="e">
        <f t="shared" si="43"/>
        <v>#REF!</v>
      </c>
    </row>
    <row r="200" spans="1:27" ht="33.75" customHeight="1" x14ac:dyDescent="0.25">
      <c r="A200" s="96">
        <v>10</v>
      </c>
      <c r="B200" s="83">
        <v>43525</v>
      </c>
      <c r="C200" s="23" t="s">
        <v>688</v>
      </c>
      <c r="D200" s="35" t="s">
        <v>664</v>
      </c>
      <c r="E200" s="35" t="s">
        <v>664</v>
      </c>
      <c r="F200" s="35" t="s">
        <v>689</v>
      </c>
      <c r="G200" s="35" t="s">
        <v>690</v>
      </c>
      <c r="H200" s="35" t="s">
        <v>341</v>
      </c>
      <c r="I200" s="34">
        <v>200</v>
      </c>
      <c r="J200" s="34">
        <v>75</v>
      </c>
      <c r="K200" s="14">
        <v>275</v>
      </c>
      <c r="L200" s="14"/>
      <c r="M200" s="14"/>
      <c r="N200" s="34"/>
      <c r="O200" s="34"/>
      <c r="P200" s="14">
        <f t="shared" si="45"/>
        <v>0</v>
      </c>
      <c r="Q200" s="22" t="e">
        <f>#REF!-N200</f>
        <v>#REF!</v>
      </c>
      <c r="R200" s="22" t="e">
        <f>#REF!-O200</f>
        <v>#REF!</v>
      </c>
      <c r="S200" s="14" t="e">
        <f t="shared" si="46"/>
        <v>#REF!</v>
      </c>
      <c r="T200" s="14" t="e">
        <f t="shared" si="47"/>
        <v>#REF!</v>
      </c>
      <c r="U200" s="34"/>
      <c r="V200" s="35"/>
      <c r="W200" s="36"/>
      <c r="X200" s="37"/>
      <c r="Y200" s="37"/>
      <c r="Z200" s="24">
        <f t="shared" si="42"/>
        <v>0</v>
      </c>
      <c r="AA200" s="24" t="e">
        <f t="shared" si="43"/>
        <v>#REF!</v>
      </c>
    </row>
    <row r="201" spans="1:27" ht="33.75" customHeight="1" x14ac:dyDescent="0.25">
      <c r="A201" s="96">
        <v>11</v>
      </c>
      <c r="B201" s="83">
        <v>43525</v>
      </c>
      <c r="C201" s="23" t="s">
        <v>691</v>
      </c>
      <c r="D201" s="35" t="s">
        <v>664</v>
      </c>
      <c r="E201" s="35" t="s">
        <v>664</v>
      </c>
      <c r="F201" s="35" t="s">
        <v>692</v>
      </c>
      <c r="G201" s="35" t="s">
        <v>693</v>
      </c>
      <c r="H201" s="35" t="s">
        <v>694</v>
      </c>
      <c r="I201" s="34">
        <v>50</v>
      </c>
      <c r="J201" s="34">
        <v>150</v>
      </c>
      <c r="K201" s="14">
        <v>200</v>
      </c>
      <c r="L201" s="14"/>
      <c r="M201" s="14"/>
      <c r="N201" s="34"/>
      <c r="O201" s="34"/>
      <c r="P201" s="14">
        <f t="shared" si="45"/>
        <v>0</v>
      </c>
      <c r="Q201" s="22" t="e">
        <f>#REF!-N201</f>
        <v>#REF!</v>
      </c>
      <c r="R201" s="22" t="e">
        <f>#REF!-O201</f>
        <v>#REF!</v>
      </c>
      <c r="S201" s="14" t="e">
        <f t="shared" si="46"/>
        <v>#REF!</v>
      </c>
      <c r="T201" s="14" t="e">
        <f t="shared" si="47"/>
        <v>#REF!</v>
      </c>
      <c r="U201" s="34"/>
      <c r="V201" s="35"/>
      <c r="W201" s="36"/>
      <c r="X201" s="37"/>
      <c r="Y201" s="37"/>
      <c r="Z201" s="24">
        <f t="shared" si="42"/>
        <v>0</v>
      </c>
      <c r="AA201" s="24" t="e">
        <f t="shared" si="43"/>
        <v>#REF!</v>
      </c>
    </row>
    <row r="202" spans="1:27" ht="33.75" customHeight="1" x14ac:dyDescent="0.25">
      <c r="A202" s="68"/>
      <c r="B202" s="83">
        <v>43525</v>
      </c>
      <c r="C202" s="23" t="s">
        <v>695</v>
      </c>
      <c r="D202" s="35" t="s">
        <v>664</v>
      </c>
      <c r="E202" s="35" t="s">
        <v>664</v>
      </c>
      <c r="F202" s="35" t="s">
        <v>696</v>
      </c>
      <c r="G202" s="35" t="s">
        <v>697</v>
      </c>
      <c r="H202" s="35" t="s">
        <v>694</v>
      </c>
      <c r="I202" s="34">
        <v>100</v>
      </c>
      <c r="J202" s="34">
        <v>150</v>
      </c>
      <c r="K202" s="14">
        <v>250</v>
      </c>
      <c r="L202" s="66"/>
      <c r="M202" s="66"/>
      <c r="N202" s="66">
        <f>SUM(N191:N201)</f>
        <v>0</v>
      </c>
      <c r="O202" s="66">
        <f>SUM(O191:O201)</f>
        <v>0</v>
      </c>
      <c r="P202" s="66">
        <f>SUM(P191:P201)</f>
        <v>0</v>
      </c>
      <c r="Q202" s="66" t="e">
        <f>SUM(Q191:Q201)</f>
        <v>#REF!</v>
      </c>
      <c r="R202" s="66" t="e">
        <f>SUM(R192:R201)</f>
        <v>#REF!</v>
      </c>
      <c r="S202" s="66" t="e">
        <f t="shared" si="46"/>
        <v>#REF!</v>
      </c>
      <c r="T202" s="66" t="e">
        <f t="shared" si="47"/>
        <v>#REF!</v>
      </c>
      <c r="U202" s="66"/>
      <c r="V202" s="67"/>
      <c r="W202" s="68"/>
      <c r="X202" s="68"/>
      <c r="Y202" s="68"/>
      <c r="Z202" s="69">
        <f t="shared" si="42"/>
        <v>0</v>
      </c>
      <c r="AA202" s="69" t="e">
        <f t="shared" si="43"/>
        <v>#REF!</v>
      </c>
    </row>
    <row r="203" spans="1:27" ht="33.75" customHeight="1" x14ac:dyDescent="0.25">
      <c r="A203" s="114"/>
      <c r="B203" s="83">
        <v>43525</v>
      </c>
      <c r="C203" s="23" t="s">
        <v>698</v>
      </c>
      <c r="D203" s="35" t="s">
        <v>664</v>
      </c>
      <c r="E203" s="35" t="s">
        <v>664</v>
      </c>
      <c r="F203" s="35" t="s">
        <v>699</v>
      </c>
      <c r="G203" s="35" t="s">
        <v>700</v>
      </c>
      <c r="H203" s="35" t="s">
        <v>701</v>
      </c>
      <c r="I203" s="34">
        <v>150</v>
      </c>
      <c r="J203" s="34">
        <v>75</v>
      </c>
      <c r="K203" s="14">
        <v>225</v>
      </c>
      <c r="L203" s="114"/>
      <c r="M203" s="114"/>
      <c r="N203" s="114"/>
      <c r="O203" s="114"/>
      <c r="P203" s="114"/>
      <c r="Q203" s="114"/>
      <c r="R203" s="114"/>
      <c r="S203" s="114"/>
      <c r="T203" s="114"/>
      <c r="U203" s="114"/>
      <c r="V203" s="120"/>
      <c r="W203" s="114"/>
      <c r="X203" s="122"/>
      <c r="Y203" s="122"/>
      <c r="Z203" s="122"/>
      <c r="AA203" s="122"/>
    </row>
    <row r="204" spans="1:27" ht="33.75" customHeight="1" x14ac:dyDescent="0.25">
      <c r="A204" s="151" t="s">
        <v>364</v>
      </c>
      <c r="B204" s="83">
        <v>43525</v>
      </c>
      <c r="C204" s="23" t="s">
        <v>702</v>
      </c>
      <c r="D204" s="35" t="s">
        <v>664</v>
      </c>
      <c r="E204" s="35" t="s">
        <v>664</v>
      </c>
      <c r="F204" s="35" t="s">
        <v>703</v>
      </c>
      <c r="G204" s="35" t="s">
        <v>117</v>
      </c>
      <c r="H204" s="35" t="s">
        <v>704</v>
      </c>
      <c r="I204" s="34">
        <v>200</v>
      </c>
      <c r="J204" s="34">
        <v>190</v>
      </c>
      <c r="K204" s="14">
        <v>390</v>
      </c>
      <c r="L204" s="151"/>
      <c r="M204" s="151"/>
      <c r="N204" s="151"/>
      <c r="O204" s="151"/>
      <c r="P204" s="151"/>
      <c r="Q204" s="151"/>
      <c r="R204" s="151"/>
      <c r="S204" s="151"/>
      <c r="T204" s="151"/>
      <c r="U204" s="151"/>
      <c r="V204" s="151"/>
      <c r="W204" s="151"/>
      <c r="X204" s="151"/>
      <c r="Y204" s="151"/>
      <c r="Z204" s="151"/>
      <c r="AA204" s="151"/>
    </row>
    <row r="205" spans="1:27" ht="33.75" customHeight="1" x14ac:dyDescent="0.25">
      <c r="A205" s="147" t="s">
        <v>0</v>
      </c>
      <c r="B205" s="83">
        <v>43525</v>
      </c>
      <c r="C205" s="23" t="s">
        <v>705</v>
      </c>
      <c r="D205" s="35" t="s">
        <v>664</v>
      </c>
      <c r="E205" s="35" t="s">
        <v>664</v>
      </c>
      <c r="F205" s="35" t="s">
        <v>706</v>
      </c>
      <c r="G205" s="35" t="s">
        <v>707</v>
      </c>
      <c r="H205" s="35" t="s">
        <v>694</v>
      </c>
      <c r="I205" s="34">
        <v>185</v>
      </c>
      <c r="J205" s="34">
        <v>150</v>
      </c>
      <c r="K205" s="14">
        <v>335</v>
      </c>
      <c r="L205" s="148"/>
      <c r="M205" s="148"/>
      <c r="N205" s="148" t="s">
        <v>2</v>
      </c>
      <c r="O205" s="148"/>
      <c r="P205" s="148"/>
      <c r="Q205" s="148" t="s">
        <v>3</v>
      </c>
      <c r="R205" s="148"/>
      <c r="S205" s="148"/>
      <c r="T205" s="149" t="s">
        <v>4</v>
      </c>
      <c r="U205" s="148"/>
      <c r="V205" s="148"/>
      <c r="W205" s="148"/>
      <c r="X205" s="148"/>
      <c r="Y205" s="78"/>
      <c r="Z205" s="78"/>
      <c r="AA205" s="78"/>
    </row>
    <row r="206" spans="1:27" ht="33.75" customHeight="1" x14ac:dyDescent="0.25">
      <c r="A206" s="111" t="s">
        <v>5</v>
      </c>
      <c r="B206" s="83">
        <v>43525</v>
      </c>
      <c r="C206" s="23" t="s">
        <v>708</v>
      </c>
      <c r="D206" s="35" t="s">
        <v>664</v>
      </c>
      <c r="E206" s="35" t="s">
        <v>664</v>
      </c>
      <c r="F206" s="35" t="s">
        <v>709</v>
      </c>
      <c r="G206" s="35" t="s">
        <v>710</v>
      </c>
      <c r="H206" s="35" t="s">
        <v>694</v>
      </c>
      <c r="I206" s="34">
        <v>180</v>
      </c>
      <c r="J206" s="34">
        <v>150</v>
      </c>
      <c r="K206" s="14">
        <v>330</v>
      </c>
      <c r="L206" s="80"/>
      <c r="M206" s="80"/>
      <c r="N206" s="80" t="s">
        <v>14</v>
      </c>
      <c r="O206" s="80" t="s">
        <v>15</v>
      </c>
      <c r="P206" s="80" t="s">
        <v>16</v>
      </c>
      <c r="Q206" s="80" t="s">
        <v>17</v>
      </c>
      <c r="R206" s="80" t="s">
        <v>18</v>
      </c>
      <c r="S206" s="80" t="s">
        <v>19</v>
      </c>
      <c r="T206" s="150"/>
      <c r="U206" s="80" t="s">
        <v>20</v>
      </c>
      <c r="V206" s="80" t="s">
        <v>21</v>
      </c>
      <c r="W206" s="81" t="s">
        <v>20</v>
      </c>
      <c r="X206" s="82" t="s">
        <v>21</v>
      </c>
      <c r="Y206" s="80" t="s">
        <v>22</v>
      </c>
      <c r="Z206" s="80" t="s">
        <v>23</v>
      </c>
      <c r="AA206" s="80" t="s">
        <v>24</v>
      </c>
    </row>
    <row r="207" spans="1:27" ht="33.75" customHeight="1" x14ac:dyDescent="0.25">
      <c r="A207" s="108">
        <v>1</v>
      </c>
      <c r="B207" s="83">
        <v>43525</v>
      </c>
      <c r="C207" s="23" t="s">
        <v>711</v>
      </c>
      <c r="D207" s="35" t="s">
        <v>664</v>
      </c>
      <c r="E207" s="35" t="s">
        <v>664</v>
      </c>
      <c r="F207" s="35" t="s">
        <v>712</v>
      </c>
      <c r="G207" s="35" t="s">
        <v>713</v>
      </c>
      <c r="H207" s="35" t="s">
        <v>701</v>
      </c>
      <c r="I207" s="34"/>
      <c r="J207" s="34">
        <v>100</v>
      </c>
      <c r="K207" s="14">
        <v>100</v>
      </c>
      <c r="L207" s="14"/>
      <c r="M207" s="14"/>
      <c r="N207" s="14">
        <f t="shared" ref="N207:T207" si="48">N167</f>
        <v>1658.25</v>
      </c>
      <c r="O207" s="14">
        <f t="shared" si="48"/>
        <v>841.21</v>
      </c>
      <c r="P207" s="14" t="e">
        <f t="shared" si="48"/>
        <v>#VALUE!</v>
      </c>
      <c r="Q207" s="14">
        <f t="shared" si="48"/>
        <v>5965.75</v>
      </c>
      <c r="R207" s="14" t="e">
        <f t="shared" si="48"/>
        <v>#VALUE!</v>
      </c>
      <c r="S207" s="14">
        <f t="shared" si="48"/>
        <v>0</v>
      </c>
      <c r="T207" s="14">
        <f t="shared" si="48"/>
        <v>0</v>
      </c>
      <c r="U207" s="14"/>
      <c r="V207" s="123"/>
      <c r="W207" s="14"/>
      <c r="X207" s="124"/>
      <c r="Y207" s="124"/>
      <c r="Z207" s="124">
        <f>SUM(Z32:Z206)</f>
        <v>0</v>
      </c>
      <c r="AA207" s="124">
        <f>T207-Z207</f>
        <v>0</v>
      </c>
    </row>
    <row r="208" spans="1:27" ht="33.75" customHeight="1" x14ac:dyDescent="0.25">
      <c r="A208" s="16">
        <v>2</v>
      </c>
      <c r="B208" s="83">
        <v>43525</v>
      </c>
      <c r="C208" s="23" t="s">
        <v>714</v>
      </c>
      <c r="D208" s="35" t="s">
        <v>664</v>
      </c>
      <c r="E208" s="35" t="s">
        <v>664</v>
      </c>
      <c r="F208" s="35" t="s">
        <v>715</v>
      </c>
      <c r="G208" s="35"/>
      <c r="H208" s="35"/>
      <c r="I208" s="34"/>
      <c r="J208" s="34">
        <v>250</v>
      </c>
      <c r="K208" s="14">
        <v>250</v>
      </c>
      <c r="L208" s="14"/>
      <c r="M208" s="14"/>
      <c r="N208" s="14">
        <f t="shared" ref="N208:T208" si="49">N187</f>
        <v>0</v>
      </c>
      <c r="O208" s="14">
        <f t="shared" si="49"/>
        <v>0</v>
      </c>
      <c r="P208" s="14">
        <f t="shared" si="49"/>
        <v>0</v>
      </c>
      <c r="Q208" s="14">
        <f t="shared" si="49"/>
        <v>0</v>
      </c>
      <c r="R208" s="14">
        <f t="shared" si="49"/>
        <v>0</v>
      </c>
      <c r="S208" s="14">
        <f t="shared" si="49"/>
        <v>0</v>
      </c>
      <c r="T208" s="14">
        <f t="shared" si="49"/>
        <v>0</v>
      </c>
      <c r="U208" s="14"/>
      <c r="V208" s="15"/>
      <c r="W208" s="16"/>
      <c r="X208" s="16"/>
      <c r="Y208" s="16"/>
      <c r="Z208" s="17">
        <f>U208+W208</f>
        <v>0</v>
      </c>
      <c r="AA208" s="17">
        <f>T208-Z208</f>
        <v>0</v>
      </c>
    </row>
    <row r="209" spans="1:27" ht="33.75" customHeight="1" x14ac:dyDescent="0.25">
      <c r="A209" s="44">
        <v>3</v>
      </c>
      <c r="B209" s="83">
        <v>43525</v>
      </c>
      <c r="C209" s="23" t="s">
        <v>716</v>
      </c>
      <c r="D209" s="35" t="s">
        <v>664</v>
      </c>
      <c r="E209" s="35" t="s">
        <v>664</v>
      </c>
      <c r="F209" s="35" t="s">
        <v>717</v>
      </c>
      <c r="G209" s="35" t="s">
        <v>718</v>
      </c>
      <c r="H209" s="35" t="s">
        <v>341</v>
      </c>
      <c r="I209" s="34">
        <v>150</v>
      </c>
      <c r="J209" s="34">
        <v>75</v>
      </c>
      <c r="K209" s="14">
        <f t="shared" ref="K209:K221" si="50">I209+J209</f>
        <v>225</v>
      </c>
      <c r="L209" s="14"/>
      <c r="M209" s="14"/>
      <c r="N209" s="42">
        <f>N202</f>
        <v>0</v>
      </c>
      <c r="O209" s="42">
        <f>O202</f>
        <v>0</v>
      </c>
      <c r="P209" s="14">
        <f>N209+O209</f>
        <v>0</v>
      </c>
      <c r="Q209" s="14" t="e">
        <f>Q202</f>
        <v>#REF!</v>
      </c>
      <c r="R209" s="14" t="e">
        <f>R202</f>
        <v>#REF!</v>
      </c>
      <c r="S209" s="14" t="e">
        <f>S202</f>
        <v>#REF!</v>
      </c>
      <c r="T209" s="14" t="e">
        <f>T202</f>
        <v>#REF!</v>
      </c>
      <c r="U209" s="42"/>
      <c r="V209" s="43"/>
      <c r="W209" s="44"/>
      <c r="X209" s="45"/>
      <c r="Y209" s="45"/>
      <c r="Z209" s="17">
        <f>U209+W209</f>
        <v>0</v>
      </c>
      <c r="AA209" s="17" t="e">
        <f>T209-Z209</f>
        <v>#REF!</v>
      </c>
    </row>
    <row r="210" spans="1:27" ht="33.75" customHeight="1" x14ac:dyDescent="0.25">
      <c r="A210" s="83">
        <v>43528</v>
      </c>
      <c r="B210" s="83">
        <v>43528</v>
      </c>
      <c r="C210" s="23" t="s">
        <v>754</v>
      </c>
      <c r="D210" s="23" t="s">
        <v>366</v>
      </c>
      <c r="E210" s="23" t="s">
        <v>366</v>
      </c>
      <c r="F210" s="23" t="s">
        <v>755</v>
      </c>
      <c r="G210" s="23" t="s">
        <v>756</v>
      </c>
      <c r="H210" s="23" t="s">
        <v>701</v>
      </c>
      <c r="I210" s="22">
        <v>200</v>
      </c>
      <c r="J210" s="22">
        <v>75</v>
      </c>
      <c r="K210" s="14">
        <f t="shared" si="50"/>
        <v>275</v>
      </c>
      <c r="M210" s="126">
        <f t="shared" ref="M210:T210" si="51">SUM(M207:M209)</f>
        <v>0</v>
      </c>
      <c r="N210" s="126">
        <f t="shared" si="51"/>
        <v>1658.25</v>
      </c>
      <c r="O210" s="126">
        <f t="shared" si="51"/>
        <v>841.21</v>
      </c>
      <c r="P210" s="126" t="e">
        <f t="shared" si="51"/>
        <v>#VALUE!</v>
      </c>
      <c r="Q210" s="126" t="e">
        <f t="shared" si="51"/>
        <v>#REF!</v>
      </c>
      <c r="R210" s="126" t="e">
        <f t="shared" si="51"/>
        <v>#VALUE!</v>
      </c>
      <c r="S210" s="126" t="e">
        <f t="shared" si="51"/>
        <v>#REF!</v>
      </c>
      <c r="T210" s="126" t="e">
        <f t="shared" si="51"/>
        <v>#REF!</v>
      </c>
      <c r="U210" s="116"/>
      <c r="V210" s="106"/>
      <c r="W210" s="116"/>
      <c r="X210" s="127"/>
      <c r="Y210" s="127"/>
      <c r="Z210" s="128">
        <f>SUM(Z207:Z209)</f>
        <v>0</v>
      </c>
      <c r="AA210" s="128" t="e">
        <f>SUM(AA207:AA209)</f>
        <v>#REF!</v>
      </c>
    </row>
    <row r="211" spans="1:27" ht="33.75" customHeight="1" x14ac:dyDescent="0.25">
      <c r="A211" s="83">
        <v>43541</v>
      </c>
      <c r="B211" s="83">
        <v>43541</v>
      </c>
      <c r="C211" s="23" t="s">
        <v>933</v>
      </c>
      <c r="D211" s="23" t="s">
        <v>751</v>
      </c>
      <c r="E211" s="23" t="s">
        <v>751</v>
      </c>
      <c r="F211" s="23" t="s">
        <v>934</v>
      </c>
      <c r="G211" s="23" t="s">
        <v>935</v>
      </c>
      <c r="H211" s="23" t="s">
        <v>341</v>
      </c>
      <c r="I211" s="22">
        <v>50</v>
      </c>
      <c r="J211" s="22">
        <v>75</v>
      </c>
      <c r="K211" s="14">
        <f t="shared" si="50"/>
        <v>125</v>
      </c>
    </row>
    <row r="212" spans="1:27" ht="33.75" customHeight="1" x14ac:dyDescent="0.25">
      <c r="A212" s="116"/>
      <c r="B212" s="83">
        <v>43543</v>
      </c>
      <c r="C212" s="23" t="s">
        <v>958</v>
      </c>
      <c r="D212" s="23" t="s">
        <v>959</v>
      </c>
      <c r="E212" s="23" t="s">
        <v>959</v>
      </c>
      <c r="F212" s="23" t="s">
        <v>960</v>
      </c>
      <c r="G212" s="23" t="s">
        <v>961</v>
      </c>
      <c r="H212" s="23" t="s">
        <v>962</v>
      </c>
      <c r="I212" s="22">
        <v>275</v>
      </c>
      <c r="J212" s="22">
        <v>175</v>
      </c>
      <c r="K212" s="14">
        <f t="shared" si="50"/>
        <v>450</v>
      </c>
    </row>
    <row r="213" spans="1:27" ht="33.75" customHeight="1" x14ac:dyDescent="0.25">
      <c r="B213" s="83">
        <v>43543</v>
      </c>
      <c r="C213" s="23" t="s">
        <v>963</v>
      </c>
      <c r="D213" s="23" t="s">
        <v>959</v>
      </c>
      <c r="E213" s="23" t="s">
        <v>959</v>
      </c>
      <c r="F213" s="23" t="s">
        <v>964</v>
      </c>
      <c r="G213" s="23" t="s">
        <v>965</v>
      </c>
      <c r="H213" s="23" t="s">
        <v>701</v>
      </c>
      <c r="I213" s="22">
        <v>200</v>
      </c>
      <c r="J213" s="22">
        <v>75</v>
      </c>
      <c r="K213" s="14">
        <f t="shared" si="50"/>
        <v>275</v>
      </c>
    </row>
    <row r="214" spans="1:27" ht="33.75" customHeight="1" x14ac:dyDescent="0.25">
      <c r="B214" s="83">
        <v>43543</v>
      </c>
      <c r="C214" s="23" t="s">
        <v>966</v>
      </c>
      <c r="D214" s="23" t="s">
        <v>967</v>
      </c>
      <c r="E214" s="23" t="s">
        <v>967</v>
      </c>
      <c r="F214" s="23" t="s">
        <v>968</v>
      </c>
      <c r="G214" s="23" t="s">
        <v>969</v>
      </c>
      <c r="H214" s="23" t="s">
        <v>701</v>
      </c>
      <c r="I214" s="22">
        <v>75</v>
      </c>
      <c r="J214" s="22">
        <v>75</v>
      </c>
      <c r="K214" s="14">
        <f t="shared" si="50"/>
        <v>150</v>
      </c>
    </row>
    <row r="215" spans="1:27" ht="33.75" customHeight="1" x14ac:dyDescent="0.25">
      <c r="B215" s="83">
        <v>43545</v>
      </c>
      <c r="C215" s="23" t="s">
        <v>992</v>
      </c>
      <c r="D215" s="23" t="s">
        <v>664</v>
      </c>
      <c r="E215" s="23" t="s">
        <v>664</v>
      </c>
      <c r="F215" s="23" t="s">
        <v>993</v>
      </c>
      <c r="G215" s="23" t="s">
        <v>994</v>
      </c>
      <c r="H215" s="23" t="s">
        <v>995</v>
      </c>
      <c r="I215" s="22">
        <v>185</v>
      </c>
      <c r="J215" s="22">
        <v>375</v>
      </c>
      <c r="K215" s="14">
        <f t="shared" si="50"/>
        <v>560</v>
      </c>
    </row>
    <row r="216" spans="1:27" ht="33.75" customHeight="1" x14ac:dyDescent="0.25">
      <c r="B216" s="83">
        <v>43545</v>
      </c>
      <c r="C216" s="23" t="s">
        <v>996</v>
      </c>
      <c r="D216" s="23" t="s">
        <v>997</v>
      </c>
      <c r="E216" s="23" t="s">
        <v>997</v>
      </c>
      <c r="F216" s="23" t="s">
        <v>998</v>
      </c>
      <c r="G216" s="23" t="s">
        <v>999</v>
      </c>
      <c r="H216" s="23" t="s">
        <v>1000</v>
      </c>
      <c r="I216" s="22">
        <v>25</v>
      </c>
      <c r="J216" s="22">
        <v>215</v>
      </c>
      <c r="K216" s="14">
        <f t="shared" si="50"/>
        <v>240</v>
      </c>
    </row>
    <row r="217" spans="1:27" ht="33.75" customHeight="1" x14ac:dyDescent="0.25">
      <c r="B217" s="83">
        <v>43549</v>
      </c>
      <c r="C217" s="23" t="s">
        <v>1080</v>
      </c>
      <c r="D217" s="23" t="s">
        <v>1081</v>
      </c>
      <c r="E217" s="23" t="s">
        <v>1081</v>
      </c>
      <c r="F217" s="23" t="s">
        <v>1082</v>
      </c>
      <c r="G217" s="23" t="s">
        <v>1083</v>
      </c>
      <c r="H217" s="23" t="s">
        <v>1084</v>
      </c>
      <c r="I217" s="22">
        <v>180</v>
      </c>
      <c r="J217" s="22">
        <v>170</v>
      </c>
      <c r="K217" s="14">
        <f t="shared" si="50"/>
        <v>350</v>
      </c>
    </row>
    <row r="218" spans="1:27" ht="33.75" customHeight="1" x14ac:dyDescent="0.25">
      <c r="B218" s="83">
        <v>43550</v>
      </c>
      <c r="C218" s="23" t="s">
        <v>1085</v>
      </c>
      <c r="D218" s="23" t="s">
        <v>1081</v>
      </c>
      <c r="E218" s="23" t="s">
        <v>1081</v>
      </c>
      <c r="F218" s="23" t="s">
        <v>1086</v>
      </c>
      <c r="G218" s="23"/>
      <c r="H218" s="23"/>
      <c r="I218" s="22"/>
      <c r="J218" s="22">
        <v>100</v>
      </c>
      <c r="K218" s="14">
        <f t="shared" si="50"/>
        <v>100</v>
      </c>
    </row>
    <row r="219" spans="1:27" ht="33.75" customHeight="1" x14ac:dyDescent="0.25">
      <c r="B219" s="83">
        <v>43550</v>
      </c>
      <c r="C219" s="23" t="s">
        <v>1087</v>
      </c>
      <c r="D219" s="23" t="s">
        <v>1081</v>
      </c>
      <c r="E219" s="23" t="s">
        <v>1081</v>
      </c>
      <c r="F219" s="23" t="s">
        <v>1088</v>
      </c>
      <c r="G219" s="23"/>
      <c r="H219" s="23"/>
      <c r="I219" s="22">
        <v>50</v>
      </c>
      <c r="J219" s="22">
        <v>75</v>
      </c>
      <c r="K219" s="14">
        <f t="shared" si="50"/>
        <v>125</v>
      </c>
    </row>
    <row r="220" spans="1:27" ht="33.75" customHeight="1" x14ac:dyDescent="0.25">
      <c r="B220" s="83">
        <v>43550</v>
      </c>
      <c r="C220" s="23" t="s">
        <v>1089</v>
      </c>
      <c r="D220" s="35" t="s">
        <v>1081</v>
      </c>
      <c r="E220" s="35" t="s">
        <v>1081</v>
      </c>
      <c r="F220" s="35" t="s">
        <v>1090</v>
      </c>
      <c r="G220" s="35"/>
      <c r="H220" s="35"/>
      <c r="I220" s="34">
        <v>65</v>
      </c>
      <c r="J220" s="34">
        <v>110</v>
      </c>
      <c r="K220" s="14">
        <f t="shared" si="50"/>
        <v>175</v>
      </c>
    </row>
    <row r="221" spans="1:27" ht="33.75" customHeight="1" x14ac:dyDescent="0.25">
      <c r="B221" s="83">
        <v>43550</v>
      </c>
      <c r="C221" s="23" t="s">
        <v>1091</v>
      </c>
      <c r="D221" s="35" t="s">
        <v>1081</v>
      </c>
      <c r="E221" s="35" t="s">
        <v>1081</v>
      </c>
      <c r="F221" s="35"/>
      <c r="G221" s="35"/>
      <c r="H221" s="35"/>
      <c r="I221" s="34">
        <v>100</v>
      </c>
      <c r="J221" s="34">
        <v>100</v>
      </c>
      <c r="K221" s="14">
        <f t="shared" si="50"/>
        <v>200</v>
      </c>
    </row>
    <row r="222" spans="1:27" ht="33.75" customHeight="1" x14ac:dyDescent="0.25">
      <c r="B222" s="162">
        <v>43549</v>
      </c>
      <c r="C222" s="154" t="s">
        <v>1092</v>
      </c>
      <c r="D222" s="154" t="s">
        <v>1081</v>
      </c>
      <c r="E222" s="154" t="s">
        <v>1081</v>
      </c>
      <c r="F222" s="154" t="s">
        <v>1093</v>
      </c>
      <c r="G222" s="154"/>
      <c r="H222" s="154"/>
      <c r="I222" s="155"/>
      <c r="J222" s="155">
        <v>100</v>
      </c>
      <c r="K222" s="155">
        <v>100</v>
      </c>
    </row>
    <row r="223" spans="1:27" ht="33.75" customHeight="1" x14ac:dyDescent="0.25">
      <c r="B223" s="162">
        <v>43549</v>
      </c>
      <c r="C223" s="154" t="s">
        <v>1094</v>
      </c>
      <c r="D223" s="154" t="s">
        <v>1081</v>
      </c>
      <c r="E223" s="154" t="s">
        <v>1081</v>
      </c>
      <c r="F223" s="154" t="s">
        <v>1095</v>
      </c>
      <c r="G223" s="154" t="s">
        <v>1096</v>
      </c>
      <c r="H223" s="154" t="s">
        <v>341</v>
      </c>
      <c r="I223" s="155"/>
      <c r="J223" s="155">
        <v>100</v>
      </c>
      <c r="K223" s="155">
        <v>100</v>
      </c>
    </row>
    <row r="224" spans="1:27" ht="33.75" customHeight="1" x14ac:dyDescent="0.25">
      <c r="B224" s="162">
        <v>43549</v>
      </c>
      <c r="C224" s="154" t="s">
        <v>1097</v>
      </c>
      <c r="D224" s="154" t="s">
        <v>1081</v>
      </c>
      <c r="E224" s="154" t="s">
        <v>1081</v>
      </c>
      <c r="F224" s="154"/>
      <c r="G224" s="154"/>
      <c r="H224" s="154"/>
      <c r="I224" s="155">
        <v>100</v>
      </c>
      <c r="J224" s="155">
        <v>90</v>
      </c>
      <c r="K224" s="155">
        <v>190</v>
      </c>
    </row>
    <row r="225" spans="1:27" ht="33.75" customHeight="1" x14ac:dyDescent="0.25">
      <c r="B225" s="162">
        <v>43549</v>
      </c>
      <c r="C225" s="154" t="s">
        <v>1098</v>
      </c>
      <c r="D225" s="154" t="s">
        <v>1081</v>
      </c>
      <c r="E225" s="154" t="s">
        <v>1081</v>
      </c>
      <c r="F225" s="154" t="s">
        <v>1099</v>
      </c>
      <c r="G225" s="154" t="s">
        <v>1100</v>
      </c>
      <c r="H225" s="154" t="s">
        <v>1101</v>
      </c>
      <c r="I225" s="155">
        <v>260</v>
      </c>
      <c r="J225" s="155">
        <v>115</v>
      </c>
      <c r="K225" s="155">
        <v>375</v>
      </c>
    </row>
    <row r="226" spans="1:27" ht="33.75" customHeight="1" x14ac:dyDescent="0.25">
      <c r="B226" s="162">
        <v>43549</v>
      </c>
      <c r="C226" s="154" t="s">
        <v>1102</v>
      </c>
      <c r="D226" s="154" t="s">
        <v>1081</v>
      </c>
      <c r="E226" s="154" t="s">
        <v>1081</v>
      </c>
      <c r="F226" s="154" t="s">
        <v>1103</v>
      </c>
      <c r="G226" s="154" t="s">
        <v>117</v>
      </c>
      <c r="H226" s="154" t="s">
        <v>1104</v>
      </c>
      <c r="I226" s="155">
        <v>200</v>
      </c>
      <c r="J226" s="155">
        <v>260</v>
      </c>
      <c r="K226" s="155">
        <v>460</v>
      </c>
    </row>
    <row r="227" spans="1:27" ht="33.75" customHeight="1" x14ac:dyDescent="0.25">
      <c r="B227" s="152">
        <v>43549</v>
      </c>
      <c r="C227" s="163" t="s">
        <v>1105</v>
      </c>
      <c r="D227" s="163" t="s">
        <v>1081</v>
      </c>
      <c r="E227" s="163" t="s">
        <v>1081</v>
      </c>
      <c r="F227" s="163" t="s">
        <v>1106</v>
      </c>
      <c r="G227">
        <v>103447</v>
      </c>
      <c r="H227" s="163" t="s">
        <v>1107</v>
      </c>
      <c r="I227" s="164">
        <v>25</v>
      </c>
      <c r="J227" s="164">
        <v>150</v>
      </c>
      <c r="K227" s="160">
        <v>175</v>
      </c>
    </row>
    <row r="228" spans="1:27" ht="33.75" customHeight="1" x14ac:dyDescent="0.25">
      <c r="B228" s="152">
        <v>43549</v>
      </c>
      <c r="C228" s="163" t="s">
        <v>1108</v>
      </c>
      <c r="D228" s="163" t="s">
        <v>1081</v>
      </c>
      <c r="E228" s="163" t="s">
        <v>1081</v>
      </c>
      <c r="F228" s="163" t="s">
        <v>1109</v>
      </c>
      <c r="H228" s="163" t="s">
        <v>341</v>
      </c>
      <c r="I228" s="164">
        <v>200</v>
      </c>
      <c r="J228" s="164">
        <v>75</v>
      </c>
      <c r="K228" s="160">
        <v>275</v>
      </c>
    </row>
    <row r="229" spans="1:27" ht="33.75" customHeight="1" x14ac:dyDescent="0.25">
      <c r="B229" s="152">
        <v>43549</v>
      </c>
      <c r="C229" s="163" t="s">
        <v>1110</v>
      </c>
      <c r="D229" s="163" t="s">
        <v>1081</v>
      </c>
      <c r="E229" s="163" t="s">
        <v>1081</v>
      </c>
      <c r="F229" s="163" t="s">
        <v>1111</v>
      </c>
      <c r="G229" s="163" t="s">
        <v>1112</v>
      </c>
      <c r="H229" s="163" t="s">
        <v>1113</v>
      </c>
      <c r="I229" s="164">
        <v>150</v>
      </c>
      <c r="J229" s="164">
        <v>160</v>
      </c>
      <c r="K229" s="160">
        <v>310</v>
      </c>
    </row>
    <row r="230" spans="1:27" ht="33.75" customHeight="1" x14ac:dyDescent="0.25">
      <c r="B230" s="152">
        <v>43549</v>
      </c>
      <c r="C230" s="163" t="s">
        <v>1114</v>
      </c>
      <c r="D230" s="163" t="s">
        <v>1081</v>
      </c>
      <c r="E230" s="163" t="s">
        <v>1081</v>
      </c>
      <c r="F230" s="163" t="s">
        <v>1115</v>
      </c>
      <c r="G230" s="163" t="s">
        <v>1116</v>
      </c>
      <c r="H230" s="163" t="s">
        <v>341</v>
      </c>
      <c r="I230" s="164"/>
      <c r="J230" s="164">
        <v>100</v>
      </c>
      <c r="K230" s="160">
        <v>100</v>
      </c>
    </row>
    <row r="231" spans="1:27" ht="33.75" customHeight="1" x14ac:dyDescent="0.25">
      <c r="B231" s="152">
        <v>43549</v>
      </c>
      <c r="C231" s="163" t="s">
        <v>1117</v>
      </c>
      <c r="D231" s="163" t="s">
        <v>1081</v>
      </c>
      <c r="E231" s="163" t="s">
        <v>1081</v>
      </c>
      <c r="F231" s="163" t="s">
        <v>1118</v>
      </c>
      <c r="G231" s="163" t="s">
        <v>1119</v>
      </c>
      <c r="H231" s="163" t="s">
        <v>1120</v>
      </c>
      <c r="I231" s="164">
        <v>50</v>
      </c>
      <c r="J231" s="164">
        <v>100</v>
      </c>
      <c r="K231" s="160">
        <v>150</v>
      </c>
    </row>
    <row r="232" spans="1:27" ht="27" x14ac:dyDescent="0.25">
      <c r="B232" s="83">
        <v>43550</v>
      </c>
      <c r="C232" s="23" t="s">
        <v>1134</v>
      </c>
      <c r="D232" s="23"/>
      <c r="E232" s="23"/>
      <c r="F232" s="23" t="s">
        <v>1135</v>
      </c>
      <c r="G232" s="23" t="s">
        <v>1136</v>
      </c>
      <c r="H232" s="23" t="s">
        <v>962</v>
      </c>
      <c r="I232" s="22">
        <v>400</v>
      </c>
      <c r="J232" s="22">
        <v>125</v>
      </c>
      <c r="K232" s="14">
        <f>I232+J232</f>
        <v>525</v>
      </c>
    </row>
    <row r="233" spans="1:27" x14ac:dyDescent="0.25">
      <c r="A233" s="36">
        <v>22</v>
      </c>
      <c r="B233" s="156">
        <v>43531</v>
      </c>
      <c r="C233" s="157" t="s">
        <v>766</v>
      </c>
      <c r="D233" s="157" t="s">
        <v>767</v>
      </c>
      <c r="E233" s="157" t="s">
        <v>767</v>
      </c>
      <c r="F233" s="157" t="s">
        <v>768</v>
      </c>
      <c r="G233" s="157" t="s">
        <v>769</v>
      </c>
      <c r="H233" s="157" t="s">
        <v>770</v>
      </c>
      <c r="I233" s="158"/>
      <c r="J233" s="158">
        <v>70</v>
      </c>
      <c r="K233" s="159">
        <f>I233+J233</f>
        <v>70</v>
      </c>
      <c r="L233" s="14">
        <f>K208*13%</f>
        <v>32.5</v>
      </c>
      <c r="M233" s="14">
        <f>K208-L233</f>
        <v>217.5</v>
      </c>
      <c r="N233" s="34"/>
      <c r="O233" s="34"/>
      <c r="P233" s="14">
        <f>N233+O233</f>
        <v>0</v>
      </c>
      <c r="Q233" s="22">
        <f>G208-N233</f>
        <v>0</v>
      </c>
      <c r="R233" s="22">
        <f>H208-O233</f>
        <v>0</v>
      </c>
      <c r="S233" s="14">
        <f>Q233+R233</f>
        <v>0</v>
      </c>
      <c r="T233" s="14">
        <f>P233+S233</f>
        <v>0</v>
      </c>
      <c r="U233" s="34">
        <v>175</v>
      </c>
      <c r="V233" s="35">
        <v>1156</v>
      </c>
      <c r="W233" s="36"/>
      <c r="X233" s="37"/>
      <c r="Y233" s="37"/>
      <c r="Z233" s="24">
        <f>U233+W233</f>
        <v>175</v>
      </c>
      <c r="AA233" s="24">
        <f>T233-Z233</f>
        <v>-175</v>
      </c>
    </row>
    <row r="234" spans="1:27" x14ac:dyDescent="0.25">
      <c r="C234" s="163" t="s">
        <v>24</v>
      </c>
      <c r="K234" s="160">
        <f>SUM(K191:K233)</f>
        <v>10465</v>
      </c>
    </row>
    <row r="238" spans="1:27" x14ac:dyDescent="0.25">
      <c r="F238">
        <v>18000</v>
      </c>
      <c r="G238">
        <v>23000</v>
      </c>
      <c r="H238">
        <v>28000</v>
      </c>
      <c r="I238">
        <v>33000</v>
      </c>
      <c r="K238" s="160">
        <f>K167+K187+K234</f>
        <v>34416</v>
      </c>
    </row>
    <row r="239" spans="1:27" x14ac:dyDescent="0.25">
      <c r="K239" s="153">
        <v>6785</v>
      </c>
      <c r="N239" t="s">
        <v>1201</v>
      </c>
    </row>
    <row r="240" spans="1:27" x14ac:dyDescent="0.25">
      <c r="K240" s="160">
        <f>SUM(K238:K239)</f>
        <v>41201</v>
      </c>
      <c r="L240" s="160">
        <f>K240*13%</f>
        <v>5356.13</v>
      </c>
      <c r="M240" s="160">
        <f>K240-L240</f>
        <v>35844.870000000003</v>
      </c>
      <c r="N240" s="160">
        <f>M240*5%</f>
        <v>1792.2435000000003</v>
      </c>
    </row>
    <row r="241" spans="6:15" x14ac:dyDescent="0.25">
      <c r="K241" t="s">
        <v>1199</v>
      </c>
      <c r="L241" t="s">
        <v>12</v>
      </c>
      <c r="M241" t="s">
        <v>1200</v>
      </c>
      <c r="N241" s="153">
        <v>850</v>
      </c>
      <c r="O241" t="s">
        <v>1202</v>
      </c>
    </row>
    <row r="242" spans="6:15" x14ac:dyDescent="0.25">
      <c r="N242" s="160">
        <f>N240-N241</f>
        <v>942.24350000000027</v>
      </c>
    </row>
    <row r="243" spans="6:15" x14ac:dyDescent="0.25">
      <c r="K243" s="160">
        <f>K240*13%</f>
        <v>5356.13</v>
      </c>
      <c r="N243" s="153">
        <v>500</v>
      </c>
    </row>
    <row r="244" spans="6:15" x14ac:dyDescent="0.25">
      <c r="H244" s="166">
        <v>10465</v>
      </c>
      <c r="K244" s="160">
        <f>K240-K243</f>
        <v>35844.870000000003</v>
      </c>
      <c r="N244" s="160">
        <f>N242-N243</f>
        <v>442.24350000000027</v>
      </c>
    </row>
    <row r="245" spans="6:15" x14ac:dyDescent="0.25">
      <c r="H245" s="153">
        <v>3020</v>
      </c>
      <c r="K245" s="160">
        <f>K244*5%</f>
        <v>1792.2435000000003</v>
      </c>
      <c r="N245" s="187">
        <v>242</v>
      </c>
    </row>
    <row r="246" spans="6:15" x14ac:dyDescent="0.25">
      <c r="H246" s="153">
        <v>6000</v>
      </c>
      <c r="K246" s="160">
        <f>K245-400</f>
        <v>1392.2435000000003</v>
      </c>
      <c r="N246" s="160">
        <v>200</v>
      </c>
    </row>
    <row r="247" spans="6:15" x14ac:dyDescent="0.25">
      <c r="H247" s="153">
        <f>SUM(H244:H246)</f>
        <v>19485</v>
      </c>
    </row>
    <row r="248" spans="6:15" x14ac:dyDescent="0.25">
      <c r="H248" s="160">
        <f>H247/12</f>
        <v>1623.75</v>
      </c>
    </row>
    <row r="254" spans="6:15" x14ac:dyDescent="0.25">
      <c r="F254">
        <v>100</v>
      </c>
      <c r="G254">
        <v>100</v>
      </c>
      <c r="H254">
        <v>100</v>
      </c>
      <c r="I254">
        <v>100</v>
      </c>
    </row>
    <row r="255" spans="6:15" x14ac:dyDescent="0.25">
      <c r="F255">
        <v>18000</v>
      </c>
      <c r="G255">
        <v>23000</v>
      </c>
      <c r="H255">
        <v>28000</v>
      </c>
      <c r="I255">
        <v>33000</v>
      </c>
    </row>
    <row r="256" spans="6:15" x14ac:dyDescent="0.25">
      <c r="K256" s="160">
        <f>K167+K187+K234</f>
        <v>34416</v>
      </c>
    </row>
    <row r="257" spans="11:11" x14ac:dyDescent="0.25">
      <c r="K257" s="160">
        <f>K256-[1]MARZO!$K$232</f>
        <v>34416</v>
      </c>
    </row>
  </sheetData>
  <mergeCells count="25">
    <mergeCell ref="A1:AA1"/>
    <mergeCell ref="A2:AA2"/>
    <mergeCell ref="A3:D3"/>
    <mergeCell ref="E3:F3"/>
    <mergeCell ref="G3:M3"/>
    <mergeCell ref="N3:P3"/>
    <mergeCell ref="Q3:S3"/>
    <mergeCell ref="T3:T4"/>
    <mergeCell ref="U3:Y3"/>
    <mergeCell ref="A168:AA168"/>
    <mergeCell ref="A169:D169"/>
    <mergeCell ref="E169:F169"/>
    <mergeCell ref="G169:K169"/>
    <mergeCell ref="N169:P169"/>
    <mergeCell ref="Q169:S169"/>
    <mergeCell ref="T169:T170"/>
    <mergeCell ref="U169:W169"/>
    <mergeCell ref="A188:AA188"/>
    <mergeCell ref="A189:D189"/>
    <mergeCell ref="E189:F189"/>
    <mergeCell ref="G189:K189"/>
    <mergeCell ref="N189:P189"/>
    <mergeCell ref="Q189:S189"/>
    <mergeCell ref="T189:T190"/>
    <mergeCell ref="U189:W18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RESUMEN</vt:lpstr>
      <vt:lpstr>ENERO 19</vt:lpstr>
      <vt:lpstr>FEBRERO 19</vt:lpstr>
      <vt:lpstr>MARZO 19</vt:lpstr>
      <vt:lpstr>'ENERO 19'!Área_de_impresión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cp:lastPrinted>2019-02-01T20:34:38Z</cp:lastPrinted>
  <dcterms:created xsi:type="dcterms:W3CDTF">2019-01-04T18:57:10Z</dcterms:created>
  <dcterms:modified xsi:type="dcterms:W3CDTF">2019-04-29T00:29:55Z</dcterms:modified>
</cp:coreProperties>
</file>