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Hauptseminar(COINs)\"/>
    </mc:Choice>
  </mc:AlternateContent>
  <bookViews>
    <workbookView xWindow="0" yWindow="0" windowWidth="24000" windowHeight="9735"/>
  </bookViews>
  <sheets>
    <sheet name="Tabelle1" sheetId="2" r:id="rId1"/>
    <sheet name="results6_Positivity_corr" sheetId="1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AI29" i="2" l="1"/>
  <c r="AG5" i="2"/>
  <c r="AH5" i="2"/>
  <c r="AG6" i="2"/>
  <c r="AI5" i="2" s="1"/>
  <c r="AH6" i="2"/>
  <c r="AG7" i="2"/>
  <c r="AI7" i="2" s="1"/>
  <c r="AH7" i="2"/>
  <c r="AG8" i="2"/>
  <c r="AH8" i="2"/>
  <c r="AG9" i="2"/>
  <c r="AI8" i="2" s="1"/>
  <c r="AH9" i="2"/>
  <c r="AG10" i="2"/>
  <c r="AI10" i="2" s="1"/>
  <c r="AH10" i="2"/>
  <c r="AG11" i="2"/>
  <c r="AI11" i="2" s="1"/>
  <c r="AH11" i="2"/>
  <c r="AG12" i="2"/>
  <c r="AH12" i="2"/>
  <c r="AI12" i="2"/>
  <c r="AG13" i="2"/>
  <c r="AH13" i="2"/>
  <c r="AI13" i="2"/>
  <c r="AG14" i="2"/>
  <c r="AH14" i="2"/>
  <c r="AI14" i="2"/>
  <c r="AG15" i="2"/>
  <c r="AI15" i="2" s="1"/>
  <c r="AH15" i="2"/>
  <c r="AG16" i="2"/>
  <c r="AH16" i="2"/>
  <c r="AG17" i="2"/>
  <c r="AI16" i="2" s="1"/>
  <c r="AH17" i="2"/>
  <c r="AG18" i="2"/>
  <c r="AI18" i="2" s="1"/>
  <c r="AH18" i="2"/>
  <c r="AG19" i="2"/>
  <c r="AI19" i="2" s="1"/>
  <c r="AH19" i="2"/>
  <c r="AG20" i="2"/>
  <c r="AH20" i="2"/>
  <c r="AI20" i="2"/>
  <c r="AG21" i="2"/>
  <c r="AH21" i="2"/>
  <c r="AI21" i="2"/>
  <c r="AG22" i="2"/>
  <c r="AH22" i="2"/>
  <c r="AI22" i="2"/>
  <c r="AG23" i="2"/>
  <c r="AI23" i="2" s="1"/>
  <c r="AH23" i="2"/>
  <c r="AG24" i="2"/>
  <c r="AH24" i="2"/>
  <c r="AG25" i="2"/>
  <c r="AI24" i="2" s="1"/>
  <c r="AH25" i="2"/>
  <c r="AG26" i="2"/>
  <c r="AI26" i="2" s="1"/>
  <c r="AH26" i="2"/>
  <c r="AG27" i="2"/>
  <c r="AI27" i="2" s="1"/>
  <c r="AH27" i="2"/>
  <c r="AG28" i="2"/>
  <c r="AH28" i="2"/>
  <c r="AI28" i="2"/>
  <c r="AI4" i="2"/>
  <c r="AH4" i="2"/>
  <c r="AG4" i="2"/>
  <c r="AE6" i="2"/>
  <c r="AF6" i="2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E7" i="2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F5" i="2"/>
  <c r="AE5" i="2"/>
  <c r="Z6" i="2"/>
  <c r="Y6" i="2"/>
  <c r="X6" i="2"/>
  <c r="Y4" i="2"/>
  <c r="Y5" i="2" s="1"/>
  <c r="Y8" i="2" s="1"/>
  <c r="X4" i="2"/>
  <c r="Z8" i="2" s="1"/>
  <c r="B31" i="2" a="1"/>
  <c r="A32" i="2" a="1"/>
  <c r="A32" i="2" s="1"/>
  <c r="P19" i="2"/>
  <c r="P17" i="2"/>
  <c r="P7" i="2"/>
  <c r="P3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D28" i="2" s="1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E4" i="2"/>
  <c r="D4" i="2"/>
  <c r="C28" i="2"/>
  <c r="B28" i="2"/>
  <c r="A3" i="2"/>
  <c r="AB5" i="2" a="1"/>
  <c r="U4" i="2" a="1"/>
  <c r="M5" i="2" a="1"/>
  <c r="A4" i="2" a="1"/>
  <c r="AI25" i="2" l="1"/>
  <c r="AI17" i="2"/>
  <c r="AI9" i="2"/>
  <c r="AI6" i="2"/>
  <c r="AC7" i="2"/>
  <c r="AB26" i="2"/>
  <c r="AB5" i="2"/>
  <c r="AD7" i="2"/>
  <c r="AC10" i="2"/>
  <c r="AB13" i="2"/>
  <c r="AD15" i="2"/>
  <c r="AC18" i="2"/>
  <c r="AB21" i="2"/>
  <c r="AD23" i="2"/>
  <c r="AC26" i="2"/>
  <c r="AB25" i="2"/>
  <c r="AC25" i="2"/>
  <c r="AC12" i="2"/>
  <c r="AD25" i="2"/>
  <c r="AC23" i="2"/>
  <c r="AC5" i="2"/>
  <c r="AB8" i="2"/>
  <c r="AD10" i="2"/>
  <c r="AC13" i="2"/>
  <c r="AB16" i="2"/>
  <c r="AD18" i="2"/>
  <c r="AC21" i="2"/>
  <c r="AB24" i="2"/>
  <c r="AD26" i="2"/>
  <c r="AB7" i="2"/>
  <c r="AB23" i="2"/>
  <c r="AB18" i="2"/>
  <c r="AD5" i="2"/>
  <c r="AC8" i="2"/>
  <c r="AB11" i="2"/>
  <c r="AD13" i="2"/>
  <c r="AC16" i="2"/>
  <c r="AB19" i="2"/>
  <c r="AD21" i="2"/>
  <c r="AC24" i="2"/>
  <c r="AB27" i="2"/>
  <c r="AC22" i="2"/>
  <c r="AD22" i="2"/>
  <c r="AD9" i="2"/>
  <c r="AC28" i="2"/>
  <c r="AD20" i="2"/>
  <c r="AB6" i="2"/>
  <c r="AD8" i="2"/>
  <c r="AC11" i="2"/>
  <c r="AB14" i="2"/>
  <c r="AD16" i="2"/>
  <c r="AC19" i="2"/>
  <c r="AB22" i="2"/>
  <c r="AD24" i="2"/>
  <c r="AC27" i="2"/>
  <c r="AB20" i="2"/>
  <c r="AB15" i="2"/>
  <c r="AC15" i="2"/>
  <c r="AC6" i="2"/>
  <c r="AB9" i="2"/>
  <c r="AD11" i="2"/>
  <c r="AC14" i="2"/>
  <c r="AB17" i="2"/>
  <c r="AD19" i="2"/>
  <c r="AD27" i="2"/>
  <c r="AC20" i="2"/>
  <c r="AD12" i="2"/>
  <c r="AD6" i="2"/>
  <c r="AC9" i="2"/>
  <c r="AB12" i="2"/>
  <c r="AD14" i="2"/>
  <c r="AC17" i="2"/>
  <c r="AB28" i="2"/>
  <c r="AD17" i="2"/>
  <c r="AB10" i="2"/>
  <c r="AD28" i="2"/>
  <c r="X5" i="2"/>
  <c r="Z5" i="2" s="1"/>
  <c r="Z4" i="2"/>
  <c r="X8" i="2"/>
  <c r="U4" i="2"/>
  <c r="U5" i="2"/>
  <c r="M5" i="2"/>
  <c r="M6" i="2"/>
  <c r="B31" i="2"/>
  <c r="B32" i="2"/>
  <c r="E19" i="2"/>
  <c r="B6" i="2"/>
  <c r="A9" i="2"/>
  <c r="C11" i="2"/>
  <c r="B14" i="2"/>
  <c r="A17" i="2"/>
  <c r="C19" i="2"/>
  <c r="B22" i="2"/>
  <c r="A25" i="2"/>
  <c r="C27" i="2"/>
  <c r="A4" i="2"/>
  <c r="C6" i="2"/>
  <c r="B9" i="2"/>
  <c r="A12" i="2"/>
  <c r="C14" i="2"/>
  <c r="B17" i="2"/>
  <c r="A20" i="2"/>
  <c r="C22" i="2"/>
  <c r="B25" i="2"/>
  <c r="B4" i="2"/>
  <c r="A7" i="2"/>
  <c r="C9" i="2"/>
  <c r="B12" i="2"/>
  <c r="A15" i="2"/>
  <c r="C17" i="2"/>
  <c r="B20" i="2"/>
  <c r="A23" i="2"/>
  <c r="C25" i="2"/>
  <c r="C4" i="2"/>
  <c r="B7" i="2"/>
  <c r="A10" i="2"/>
  <c r="C12" i="2"/>
  <c r="B15" i="2"/>
  <c r="A18" i="2"/>
  <c r="C20" i="2"/>
  <c r="B23" i="2"/>
  <c r="A26" i="2"/>
  <c r="A5" i="2"/>
  <c r="C7" i="2"/>
  <c r="B10" i="2"/>
  <c r="A13" i="2"/>
  <c r="C15" i="2"/>
  <c r="B18" i="2"/>
  <c r="A21" i="2"/>
  <c r="C23" i="2"/>
  <c r="B26" i="2"/>
  <c r="B5" i="2"/>
  <c r="A8" i="2"/>
  <c r="C10" i="2"/>
  <c r="B13" i="2"/>
  <c r="A16" i="2"/>
  <c r="C18" i="2"/>
  <c r="B21" i="2"/>
  <c r="A24" i="2"/>
  <c r="C26" i="2"/>
  <c r="C5" i="2"/>
  <c r="B8" i="2"/>
  <c r="A11" i="2"/>
  <c r="C13" i="2"/>
  <c r="B16" i="2"/>
  <c r="A19" i="2"/>
  <c r="C21" i="2"/>
  <c r="B24" i="2"/>
  <c r="A27" i="2"/>
  <c r="A6" i="2"/>
  <c r="C8" i="2"/>
  <c r="B11" i="2"/>
  <c r="A14" i="2"/>
  <c r="C16" i="2"/>
  <c r="B19" i="2"/>
  <c r="A22" i="2"/>
  <c r="C24" i="2"/>
  <c r="B27" i="2"/>
  <c r="F31" i="2" l="1"/>
  <c r="F32" i="2"/>
  <c r="F6" i="2"/>
  <c r="F9" i="2"/>
  <c r="F17" i="2"/>
  <c r="F20" i="2"/>
  <c r="F23" i="2"/>
  <c r="F26" i="2"/>
  <c r="F12" i="2"/>
  <c r="F11" i="2"/>
  <c r="F7" i="2"/>
  <c r="F15" i="2"/>
  <c r="F14" i="2"/>
  <c r="F10" i="2"/>
  <c r="F18" i="2"/>
  <c r="F21" i="2"/>
  <c r="F25" i="2"/>
  <c r="F5" i="2"/>
  <c r="F13" i="2"/>
  <c r="F24" i="2"/>
  <c r="F22" i="2"/>
  <c r="F8" i="2"/>
  <c r="F16" i="2"/>
  <c r="F19" i="2"/>
  <c r="F27" i="2"/>
  <c r="F4" i="2"/>
  <c r="G6" i="2" l="1"/>
  <c r="H6" i="2" s="1"/>
  <c r="K6" i="2" s="1"/>
  <c r="J6" i="2"/>
  <c r="I6" i="2"/>
  <c r="J4" i="2"/>
  <c r="I4" i="2"/>
  <c r="G4" i="2"/>
  <c r="G5" i="2"/>
  <c r="I5" i="2"/>
  <c r="J5" i="2"/>
  <c r="J11" i="2"/>
  <c r="G11" i="2"/>
  <c r="H11" i="2" s="1"/>
  <c r="K11" i="2" s="1"/>
  <c r="I11" i="2"/>
  <c r="J27" i="2"/>
  <c r="I27" i="2"/>
  <c r="G27" i="2"/>
  <c r="H27" i="2" s="1"/>
  <c r="K27" i="2" s="1"/>
  <c r="J12" i="2"/>
  <c r="I12" i="2"/>
  <c r="G12" i="2"/>
  <c r="H12" i="2" s="1"/>
  <c r="K12" i="2" s="1"/>
  <c r="J13" i="2"/>
  <c r="I13" i="2"/>
  <c r="G13" i="2"/>
  <c r="H13" i="2" s="1"/>
  <c r="K13" i="2" s="1"/>
  <c r="J25" i="2"/>
  <c r="I25" i="2"/>
  <c r="G25" i="2"/>
  <c r="H25" i="2" s="1"/>
  <c r="K25" i="2" s="1"/>
  <c r="J19" i="2"/>
  <c r="G19" i="2"/>
  <c r="J21" i="2"/>
  <c r="G21" i="2"/>
  <c r="H21" i="2" s="1"/>
  <c r="K21" i="2" s="1"/>
  <c r="I21" i="2"/>
  <c r="J26" i="2"/>
  <c r="I26" i="2"/>
  <c r="G26" i="2"/>
  <c r="H26" i="2" s="1"/>
  <c r="K26" i="2" s="1"/>
  <c r="J16" i="2"/>
  <c r="G16" i="2"/>
  <c r="H16" i="2" s="1"/>
  <c r="K16" i="2" s="1"/>
  <c r="I16" i="2"/>
  <c r="J18" i="2"/>
  <c r="I18" i="2"/>
  <c r="G18" i="2"/>
  <c r="H18" i="2" s="1"/>
  <c r="K18" i="2" s="1"/>
  <c r="J23" i="2"/>
  <c r="G23" i="2"/>
  <c r="H23" i="2" s="1"/>
  <c r="K23" i="2" s="1"/>
  <c r="I23" i="2"/>
  <c r="G7" i="2"/>
  <c r="H7" i="2" s="1"/>
  <c r="K7" i="2" s="1"/>
  <c r="I7" i="2"/>
  <c r="J7" i="2"/>
  <c r="J8" i="2"/>
  <c r="G8" i="2"/>
  <c r="H8" i="2" s="1"/>
  <c r="K8" i="2" s="1"/>
  <c r="I8" i="2"/>
  <c r="J10" i="2"/>
  <c r="G10" i="2"/>
  <c r="H10" i="2" s="1"/>
  <c r="K10" i="2" s="1"/>
  <c r="I10" i="2"/>
  <c r="J20" i="2"/>
  <c r="I20" i="2"/>
  <c r="G20" i="2"/>
  <c r="H20" i="2" s="1"/>
  <c r="K20" i="2" s="1"/>
  <c r="I19" i="2"/>
  <c r="J14" i="2"/>
  <c r="G14" i="2"/>
  <c r="H14" i="2" s="1"/>
  <c r="K14" i="2" s="1"/>
  <c r="I14" i="2"/>
  <c r="J17" i="2"/>
  <c r="I17" i="2"/>
  <c r="G17" i="2"/>
  <c r="H17" i="2" s="1"/>
  <c r="K17" i="2" s="1"/>
  <c r="J22" i="2"/>
  <c r="G22" i="2"/>
  <c r="H22" i="2" s="1"/>
  <c r="K22" i="2" s="1"/>
  <c r="I22" i="2"/>
  <c r="J24" i="2"/>
  <c r="I24" i="2"/>
  <c r="G24" i="2"/>
  <c r="H24" i="2" s="1"/>
  <c r="K24" i="2" s="1"/>
  <c r="J15" i="2"/>
  <c r="G15" i="2"/>
  <c r="H15" i="2" s="1"/>
  <c r="K15" i="2" s="1"/>
  <c r="I15" i="2"/>
  <c r="J9" i="2"/>
  <c r="I9" i="2"/>
  <c r="G9" i="2"/>
  <c r="H5" i="2" l="1"/>
  <c r="K5" i="2" s="1"/>
  <c r="H9" i="2"/>
  <c r="K9" i="2"/>
  <c r="H4" i="2"/>
  <c r="K4" i="2"/>
  <c r="G28" i="2"/>
  <c r="I28" i="2"/>
  <c r="P4" i="2" s="1"/>
  <c r="H19" i="2"/>
  <c r="K19" i="2"/>
  <c r="J28" i="2"/>
  <c r="P6" i="2" l="1"/>
  <c r="P8" i="2" s="1"/>
  <c r="P10" i="2" s="1"/>
  <c r="P13" i="2"/>
  <c r="P14" i="2" s="1"/>
  <c r="P12" i="2"/>
  <c r="H28" i="2"/>
  <c r="K28" i="2"/>
  <c r="P16" i="2" s="1"/>
  <c r="P18" i="2" s="1"/>
  <c r="P20" i="2" s="1"/>
  <c r="R4" i="2" a="1"/>
  <c r="S5" i="2"/>
  <c r="S4" i="2"/>
  <c r="R5" i="2"/>
  <c r="R4" i="2"/>
  <c r="C31" i="2" a="1"/>
  <c r="C31" i="2"/>
  <c r="C32" i="2"/>
  <c r="D31" i="2"/>
  <c r="E31" i="2"/>
  <c r="H32" i="2"/>
  <c r="G32" i="2"/>
  <c r="D32" i="2"/>
  <c r="E32" i="2"/>
</calcChain>
</file>

<file path=xl/sharedStrings.xml><?xml version="1.0" encoding="utf-8"?>
<sst xmlns="http://schemas.openxmlformats.org/spreadsheetml/2006/main" count="116" uniqueCount="106">
  <si>
    <t>year</t>
  </si>
  <si>
    <t>name</t>
  </si>
  <si>
    <t>boxOfficeId</t>
  </si>
  <si>
    <t>twitter_mentions_after_nomination</t>
  </si>
  <si>
    <t>positivity</t>
  </si>
  <si>
    <t>won</t>
  </si>
  <si>
    <t>American Sniper</t>
  </si>
  <si>
    <t>americansniper</t>
  </si>
  <si>
    <t>Boyhood</t>
  </si>
  <si>
    <t>boyhood</t>
  </si>
  <si>
    <t>Dawn of the Planet of the Apes</t>
  </si>
  <si>
    <t>dawnoftheapes</t>
  </si>
  <si>
    <t>Foxcatcher</t>
  </si>
  <si>
    <t>foxcatcher</t>
  </si>
  <si>
    <t>Gone Girl</t>
  </si>
  <si>
    <t>gonegirl</t>
  </si>
  <si>
    <t>The Grand Budapest Hotel</t>
  </si>
  <si>
    <t>grandbudapesthotel</t>
  </si>
  <si>
    <t>The Hobbit: The Battle of the Five Armies</t>
  </si>
  <si>
    <t>hobbit3</t>
  </si>
  <si>
    <t>Ida</t>
  </si>
  <si>
    <t>ida</t>
  </si>
  <si>
    <t>The Imitation Game</t>
  </si>
  <si>
    <t>imitationgame</t>
  </si>
  <si>
    <t>Inherent Vice</t>
  </si>
  <si>
    <t>inherentvice</t>
  </si>
  <si>
    <t>Interstellar</t>
  </si>
  <si>
    <t>interstellar</t>
  </si>
  <si>
    <t>Into the Woods</t>
  </si>
  <si>
    <t>intothewoods</t>
  </si>
  <si>
    <t>The Judge</t>
  </si>
  <si>
    <t>judge</t>
  </si>
  <si>
    <t>Maleficent</t>
  </si>
  <si>
    <t>maleficient</t>
  </si>
  <si>
    <t>Captain America: The Winter Soldier</t>
  </si>
  <si>
    <t>marvel14b</t>
  </si>
  <si>
    <t>Guardians of the Galaxy</t>
  </si>
  <si>
    <t>marvel2014a</t>
  </si>
  <si>
    <t>Mr. Turner</t>
  </si>
  <si>
    <t>mrturner</t>
  </si>
  <si>
    <t>Nightcrawler</t>
  </si>
  <si>
    <t>nightcrawlers</t>
  </si>
  <si>
    <t>Selma</t>
  </si>
  <si>
    <t>selma</t>
  </si>
  <si>
    <t>Still Alice</t>
  </si>
  <si>
    <t>stillalice</t>
  </si>
  <si>
    <t>Tangerines</t>
  </si>
  <si>
    <t>tangerines</t>
  </si>
  <si>
    <t>The Theory of Everything</t>
  </si>
  <si>
    <t>theoryofeverything</t>
  </si>
  <si>
    <t>Timbuktu</t>
  </si>
  <si>
    <t>timbuktu</t>
  </si>
  <si>
    <t>Two Days, One Night</t>
  </si>
  <si>
    <t>twodaysonenight</t>
  </si>
  <si>
    <t>Unbroken</t>
  </si>
  <si>
    <t>unbroken</t>
  </si>
  <si>
    <t>Whiplash</t>
  </si>
  <si>
    <t>whiplash</t>
  </si>
  <si>
    <t>Wild Tales</t>
  </si>
  <si>
    <t>wildtales</t>
  </si>
  <si>
    <t>X-Men: Days of Future Past</t>
  </si>
  <si>
    <t>xmen2014</t>
  </si>
  <si>
    <t>Logistic Regression</t>
  </si>
  <si>
    <t>Success</t>
  </si>
  <si>
    <t>Failure</t>
  </si>
  <si>
    <t>Total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</si>
  <si>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</si>
  <si>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</si>
  <si>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</si>
  <si>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</si>
  <si>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</si>
  <si>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</si>
  <si>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</si>
  <si>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</si>
  <si>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</si>
  <si>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</si>
  <si>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</si>
  <si>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</si>
  <si>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</si>
  <si>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</si>
  <si>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</si>
  <si>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</si>
  <si>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</si>
  <si>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</si>
  <si>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</si>
  <si>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</si>
  <si>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</si>
  <si>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</si>
  <si>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</si>
  <si>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</si>
  <si>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</si>
  <si>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</si>
  <si>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Intercept</t>
  </si>
  <si>
    <t>Converge</t>
  </si>
  <si>
    <t>Classification Table</t>
  </si>
  <si>
    <t>Suc-Obs</t>
  </si>
  <si>
    <t>Fail-Obs</t>
  </si>
  <si>
    <t>Accuracy</t>
  </si>
  <si>
    <t>Cutoff</t>
  </si>
  <si>
    <t>0,5</t>
  </si>
  <si>
    <t>ROC Table</t>
  </si>
  <si>
    <t>Fail-Cum</t>
  </si>
  <si>
    <t>Suc-Cum</t>
  </si>
  <si>
    <t>FPR</t>
  </si>
  <si>
    <t>TPR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</si>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</sst>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horizontal="right"/>
    </xf>
    <xf numFmtId="0" fontId="18" fillId="0" borderId="24" xfId="0" applyFont="1" applyBorder="1" applyAlignment="1">
      <alignment horizontal="center"/>
    </xf>
    <xf numFmtId="0" fontId="0" fillId="0" borderId="25" xfId="0" applyBorder="1"/>
    <xf numFmtId="0" fontId="0" fillId="0" borderId="0" xfId="0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11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kumente/Excel%20Add-Ins/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coxon Table"/>
      <sheetName val="Mann Table"/>
      <sheetName val="RSign Table"/>
      <sheetName val="Runs Table"/>
      <sheetName val="KS Table"/>
      <sheetName val="Lil Table"/>
      <sheetName val="SW Table"/>
      <sheetName val="Stud. Q Table"/>
      <sheetName val="Stud. Q Table 2"/>
      <sheetName val="Dunnett Table"/>
      <sheetName val="Sp Rho Table"/>
      <sheetName val="Ken Tau Table"/>
      <sheetName val="Durbin Table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topLeftCell="A7" workbookViewId="0">
      <selection activeCell="M20" sqref="M20"/>
    </sheetView>
  </sheetViews>
  <sheetFormatPr baseColWidth="10" defaultRowHeight="15" x14ac:dyDescent="0.25"/>
  <sheetData>
    <row r="1" spans="1:35" x14ac:dyDescent="0.25">
      <c r="A1" t="s">
        <v>62</v>
      </c>
      <c r="W1" t="s">
        <v>94</v>
      </c>
      <c r="AB1" t="s">
        <v>100</v>
      </c>
    </row>
    <row r="2" spans="1:35" ht="15.75" thickBot="1" x14ac:dyDescent="0.3"/>
    <row r="3" spans="1:35" ht="15.75" thickTop="1" x14ac:dyDescent="0.25">
      <c r="A3" s="10" t="str">
        <f>results6_Positivity_corr!E1</f>
        <v>positivity</v>
      </c>
      <c r="B3" s="10" t="s">
        <v>63</v>
      </c>
      <c r="C3" s="10" t="s">
        <v>64</v>
      </c>
      <c r="D3" s="10" t="s">
        <v>65</v>
      </c>
      <c r="E3" s="10" t="s">
        <v>66</v>
      </c>
      <c r="F3" s="10" t="s">
        <v>67</v>
      </c>
      <c r="G3" s="10" t="s">
        <v>68</v>
      </c>
      <c r="H3" s="10" t="s">
        <v>69</v>
      </c>
      <c r="I3" s="10" t="s">
        <v>70</v>
      </c>
      <c r="J3" s="10" t="s">
        <v>71</v>
      </c>
      <c r="K3" s="10" t="s">
        <v>72</v>
      </c>
      <c r="M3" t="s">
        <v>73</v>
      </c>
      <c r="O3" t="s">
        <v>74</v>
      </c>
      <c r="P3" s="12">
        <f>B28*LN(B28/D28)+C28*LN(C28/D28)</f>
        <v>-17.582364484717367</v>
      </c>
      <c r="R3" t="s">
        <v>85</v>
      </c>
      <c r="U3" t="s">
        <v>93</v>
      </c>
      <c r="X3" s="18" t="s">
        <v>95</v>
      </c>
      <c r="Y3" s="18" t="s">
        <v>96</v>
      </c>
      <c r="AB3" s="16" t="s">
        <v>67</v>
      </c>
      <c r="AC3" s="16" t="s">
        <v>64</v>
      </c>
      <c r="AD3" s="16" t="s">
        <v>63</v>
      </c>
      <c r="AE3" s="16" t="s">
        <v>101</v>
      </c>
      <c r="AF3" s="16" t="s">
        <v>102</v>
      </c>
      <c r="AG3" s="16" t="s">
        <v>103</v>
      </c>
      <c r="AH3" s="16" t="s">
        <v>104</v>
      </c>
      <c r="AI3" s="16" t="s">
        <v>105</v>
      </c>
    </row>
    <row r="4" spans="1:35" x14ac:dyDescent="0.25">
      <c r="A4">
        <f t="array" ref="A4:C27">[1]!LogitSummary(results6_Positivity_corr!E2:F29)</f>
        <v>-0.44999998807907104</v>
      </c>
      <c r="B4" s="4">
        <v>0</v>
      </c>
      <c r="C4" s="5">
        <v>1</v>
      </c>
      <c r="D4" s="6">
        <f>B4+C4</f>
        <v>1</v>
      </c>
      <c r="E4">
        <f>IF(D4=0,"",B4/D4)</f>
        <v>0</v>
      </c>
      <c r="F4">
        <f>1/(1+EXP(-$M$5-$M$6*A4))</f>
        <v>0.24893479001286253</v>
      </c>
      <c r="G4" s="2">
        <f>D4*F4</f>
        <v>0.24893479001286253</v>
      </c>
      <c r="H4" s="3">
        <f>D4-G4</f>
        <v>0.75106520998713744</v>
      </c>
      <c r="I4">
        <f>D4*(E4*LN(F4)+(1-E4)*LN(1-F4))</f>
        <v>-0.28626280011256794</v>
      </c>
      <c r="J4">
        <f>100*IF(F4&gt;=$X$10,B4/D4,C4/D4)</f>
        <v>100</v>
      </c>
      <c r="K4">
        <f>(B4-G4)^2/G4+(C4-H4)^2/H4</f>
        <v>0.33144231246861472</v>
      </c>
      <c r="O4" t="s">
        <v>75</v>
      </c>
      <c r="P4" s="13">
        <f>I28</f>
        <v>-17.533376578229838</v>
      </c>
      <c r="R4" s="2">
        <f t="array" ref="R4:S5">MINVERSE(MMULT(TRANSPOSE([1]!DESIGN(A4:A27)),F4:F27*(1-F4:F27)*D4:D27*[1]!DESIGN(A4:A27)))</f>
        <v>0.33156278587850002</v>
      </c>
      <c r="S4" s="3">
        <v>-0.67450358170195923</v>
      </c>
      <c r="U4" s="12">
        <f t="array" ref="U4:U5">MMULT(R4:S5,MMULT(TRANSPOSE([1]!DESIGN(A4:A27)),D4:D27*(E4:E27-F4:F27)))</f>
        <v>1.6691210040755791E-16</v>
      </c>
      <c r="W4" t="s">
        <v>68</v>
      </c>
      <c r="X4" s="2">
        <f>SUMIF(F4:F27,"&gt;="&amp;X10,B4:B27)</f>
        <v>0</v>
      </c>
      <c r="Y4" s="3">
        <f>SUMIF(F4:F27,"&gt;="&amp;X10,C4:C27)</f>
        <v>0</v>
      </c>
      <c r="Z4">
        <f>X4+Y4</f>
        <v>0</v>
      </c>
      <c r="AE4">
        <v>0</v>
      </c>
      <c r="AF4">
        <v>0</v>
      </c>
      <c r="AG4">
        <f>1-AE4/AE$28</f>
        <v>1</v>
      </c>
      <c r="AH4">
        <f>1-AF4/AF$28</f>
        <v>1</v>
      </c>
      <c r="AI4">
        <f>(AG4-AG5)*AH4</f>
        <v>5.2631578947368363E-2</v>
      </c>
    </row>
    <row r="5" spans="1:35" x14ac:dyDescent="0.25">
      <c r="A5">
        <v>0</v>
      </c>
      <c r="B5" s="4">
        <v>0</v>
      </c>
      <c r="C5" s="5">
        <v>3</v>
      </c>
      <c r="D5" s="6">
        <f t="shared" ref="D5:D27" si="0">B5+C5</f>
        <v>3</v>
      </c>
      <c r="E5">
        <f t="shared" ref="E5:E27" si="1">IF(D5=0,"",B5/D5)</f>
        <v>0</v>
      </c>
      <c r="F5">
        <f t="shared" ref="F5:F27" si="2">1/(1+EXP(-$M$5-$M$6*A5))</f>
        <v>0.2947700879136001</v>
      </c>
      <c r="G5" s="4">
        <f t="shared" ref="G5:G27" si="3">D5*F5</f>
        <v>0.88431026374080024</v>
      </c>
      <c r="H5" s="6">
        <f t="shared" ref="H5:H27" si="4">D5-G5</f>
        <v>2.1156897362592</v>
      </c>
      <c r="I5">
        <f t="shared" ref="I5:I27" si="5">D5*(E5*LN(F5)+(1-E5)*LN(1-F5))</f>
        <v>-1.0476942386989947</v>
      </c>
      <c r="J5">
        <f t="shared" ref="J5:J27" si="6">100*IF(F5&gt;=$X$10,B5/D5,C5/D5)</f>
        <v>100</v>
      </c>
      <c r="K5">
        <f t="shared" ref="K5:K27" si="7">(B5-G5)^2/G5+(C5-H5)^2/H5</f>
        <v>1.2539318718410521</v>
      </c>
      <c r="M5" s="12">
        <f t="array" ref="M5:M6">[1]!LogitCoeff(A4:C27,,,,,20)</f>
        <v>-0.87232817660863338</v>
      </c>
      <c r="R5" s="7">
        <v>-0.67450358170195923</v>
      </c>
      <c r="S5" s="9">
        <v>2.7203357949029594</v>
      </c>
      <c r="U5" s="13">
        <v>-4.8923029507073697E-16</v>
      </c>
      <c r="W5" t="s">
        <v>69</v>
      </c>
      <c r="X5" s="7">
        <f>X6-X4</f>
        <v>9</v>
      </c>
      <c r="Y5" s="9">
        <f>Y6-Y4</f>
        <v>19</v>
      </c>
      <c r="Z5">
        <f t="shared" ref="Z5:Z6" si="8">X5+Y5</f>
        <v>28</v>
      </c>
      <c r="AB5">
        <f t="array" ref="AB5:AD28">[1]!SelectCols(B4:F27,"5,2,1",1)</f>
        <v>0.24893479001286253</v>
      </c>
      <c r="AC5">
        <v>1</v>
      </c>
      <c r="AD5">
        <v>0</v>
      </c>
      <c r="AE5">
        <f>AE4+AC5</f>
        <v>1</v>
      </c>
      <c r="AF5">
        <f>AF4+AD5</f>
        <v>0</v>
      </c>
      <c r="AG5">
        <f t="shared" ref="AG5:AG28" si="9">1-AE5/AE$28</f>
        <v>0.94736842105263164</v>
      </c>
      <c r="AH5">
        <f t="shared" ref="AH5:AH28" si="10">1-AF5/AF$28</f>
        <v>1</v>
      </c>
      <c r="AI5">
        <f t="shared" ref="AI5:AI28" si="11">(AG5-AG6)*AH5</f>
        <v>0.15789473684210531</v>
      </c>
    </row>
    <row r="6" spans="1:35" x14ac:dyDescent="0.25">
      <c r="A6">
        <v>4.7618198497542022E-2</v>
      </c>
      <c r="B6" s="4">
        <v>0</v>
      </c>
      <c r="C6" s="5">
        <v>1</v>
      </c>
      <c r="D6" s="6">
        <f t="shared" si="0"/>
        <v>1</v>
      </c>
      <c r="E6">
        <f t="shared" si="1"/>
        <v>0</v>
      </c>
      <c r="F6">
        <f t="shared" si="2"/>
        <v>0.29989851445627358</v>
      </c>
      <c r="G6" s="4">
        <f t="shared" si="3"/>
        <v>0.29989851445627358</v>
      </c>
      <c r="H6" s="6">
        <f t="shared" si="4"/>
        <v>0.70010148554372642</v>
      </c>
      <c r="I6">
        <f t="shared" si="5"/>
        <v>-0.35652997509904183</v>
      </c>
      <c r="J6">
        <f t="shared" si="6"/>
        <v>100</v>
      </c>
      <c r="K6">
        <f t="shared" si="7"/>
        <v>0.4283643452396913</v>
      </c>
      <c r="M6" s="13">
        <v>0.51549629719663592</v>
      </c>
      <c r="O6" t="s">
        <v>76</v>
      </c>
      <c r="P6" s="12">
        <f>2*(P4-P3)</f>
        <v>9.7975812975057863E-2</v>
      </c>
      <c r="X6">
        <f>B28</f>
        <v>9</v>
      </c>
      <c r="Y6">
        <f>C28</f>
        <v>19</v>
      </c>
      <c r="Z6">
        <f t="shared" si="8"/>
        <v>28</v>
      </c>
      <c r="AB6">
        <v>0.2947700879136001</v>
      </c>
      <c r="AC6">
        <v>3</v>
      </c>
      <c r="AD6">
        <v>0</v>
      </c>
      <c r="AE6">
        <f t="shared" ref="AE6:AE28" si="12">AE5+AC6</f>
        <v>4</v>
      </c>
      <c r="AF6">
        <f t="shared" ref="AF6:AF28" si="13">AF5+AD6</f>
        <v>0</v>
      </c>
      <c r="AG6">
        <f t="shared" si="9"/>
        <v>0.78947368421052633</v>
      </c>
      <c r="AH6">
        <f t="shared" si="10"/>
        <v>1</v>
      </c>
      <c r="AI6">
        <f t="shared" si="11"/>
        <v>5.2631578947368363E-2</v>
      </c>
    </row>
    <row r="7" spans="1:35" x14ac:dyDescent="0.25">
      <c r="A7">
        <v>6.7898140188962092E-2</v>
      </c>
      <c r="B7" s="4">
        <v>1</v>
      </c>
      <c r="C7" s="5">
        <v>0</v>
      </c>
      <c r="D7" s="6">
        <f t="shared" si="0"/>
        <v>1</v>
      </c>
      <c r="E7">
        <f t="shared" si="1"/>
        <v>1</v>
      </c>
      <c r="F7">
        <f t="shared" si="2"/>
        <v>0.3020980605007515</v>
      </c>
      <c r="G7" s="4">
        <f t="shared" si="3"/>
        <v>0.3020980605007515</v>
      </c>
      <c r="H7" s="6">
        <f t="shared" si="4"/>
        <v>0.6979019394992485</v>
      </c>
      <c r="I7">
        <f t="shared" si="5"/>
        <v>-1.1970036106672148</v>
      </c>
      <c r="J7">
        <f t="shared" si="6"/>
        <v>0</v>
      </c>
      <c r="K7">
        <f t="shared" si="7"/>
        <v>2.3101834495144411</v>
      </c>
      <c r="O7" t="s">
        <v>77</v>
      </c>
      <c r="P7" s="14">
        <f>COUNT(A4)</f>
        <v>1</v>
      </c>
      <c r="AB7">
        <v>0.29989851445627358</v>
      </c>
      <c r="AC7">
        <v>1</v>
      </c>
      <c r="AD7">
        <v>0</v>
      </c>
      <c r="AE7">
        <f t="shared" si="12"/>
        <v>5</v>
      </c>
      <c r="AF7">
        <f t="shared" si="13"/>
        <v>0</v>
      </c>
      <c r="AG7">
        <f t="shared" si="9"/>
        <v>0.73684210526315796</v>
      </c>
      <c r="AH7">
        <f t="shared" si="10"/>
        <v>1</v>
      </c>
      <c r="AI7">
        <f t="shared" si="11"/>
        <v>0</v>
      </c>
    </row>
    <row r="8" spans="1:35" x14ac:dyDescent="0.25">
      <c r="A8">
        <v>0.11340272050524541</v>
      </c>
      <c r="B8" s="4">
        <v>0</v>
      </c>
      <c r="C8" s="5">
        <v>1</v>
      </c>
      <c r="D8" s="6">
        <f t="shared" si="0"/>
        <v>1</v>
      </c>
      <c r="E8">
        <f t="shared" si="1"/>
        <v>0</v>
      </c>
      <c r="F8">
        <f t="shared" si="2"/>
        <v>0.30706654348844525</v>
      </c>
      <c r="G8" s="4">
        <f t="shared" si="3"/>
        <v>0.30706654348844525</v>
      </c>
      <c r="H8" s="6">
        <f t="shared" si="4"/>
        <v>0.6929334565115548</v>
      </c>
      <c r="I8">
        <f t="shared" si="5"/>
        <v>-0.36682130675252356</v>
      </c>
      <c r="J8">
        <f t="shared" si="6"/>
        <v>100</v>
      </c>
      <c r="K8">
        <f t="shared" si="7"/>
        <v>0.44314001669700709</v>
      </c>
      <c r="O8" t="s">
        <v>78</v>
      </c>
      <c r="P8" s="14">
        <f>CHIDIST(P6,P7)</f>
        <v>0.75427239376772648</v>
      </c>
      <c r="W8" t="s">
        <v>97</v>
      </c>
      <c r="X8" s="19">
        <f>X4/X6</f>
        <v>0</v>
      </c>
      <c r="Y8" s="20">
        <f>Y5/Y6</f>
        <v>1</v>
      </c>
      <c r="Z8">
        <f>(X4+Y5)/Z6</f>
        <v>0.6785714285714286</v>
      </c>
      <c r="AB8">
        <v>0.3020980605007515</v>
      </c>
      <c r="AC8">
        <v>0</v>
      </c>
      <c r="AD8">
        <v>1</v>
      </c>
      <c r="AE8">
        <f t="shared" si="12"/>
        <v>5</v>
      </c>
      <c r="AF8">
        <f t="shared" si="13"/>
        <v>1</v>
      </c>
      <c r="AG8">
        <f t="shared" si="9"/>
        <v>0.73684210526315796</v>
      </c>
      <c r="AH8">
        <f t="shared" si="10"/>
        <v>0.88888888888888884</v>
      </c>
      <c r="AI8">
        <f t="shared" si="11"/>
        <v>4.6783625730994198E-2</v>
      </c>
    </row>
    <row r="9" spans="1:35" x14ac:dyDescent="0.25">
      <c r="A9">
        <v>0.11500000208616257</v>
      </c>
      <c r="B9" s="4">
        <v>0</v>
      </c>
      <c r="C9" s="5">
        <v>1</v>
      </c>
      <c r="D9" s="6">
        <f t="shared" si="0"/>
        <v>1</v>
      </c>
      <c r="E9">
        <f t="shared" si="1"/>
        <v>0</v>
      </c>
      <c r="F9">
        <f t="shared" si="2"/>
        <v>0.30724177008983194</v>
      </c>
      <c r="G9" s="4">
        <f t="shared" si="3"/>
        <v>0.30724177008983194</v>
      </c>
      <c r="H9" s="6">
        <f t="shared" si="4"/>
        <v>0.692758229910168</v>
      </c>
      <c r="I9">
        <f t="shared" si="5"/>
        <v>-0.3670742152516332</v>
      </c>
      <c r="J9">
        <f t="shared" si="6"/>
        <v>100</v>
      </c>
      <c r="K9">
        <f t="shared" si="7"/>
        <v>0.44350504523009837</v>
      </c>
      <c r="O9" t="s">
        <v>79</v>
      </c>
      <c r="P9" s="14">
        <v>0.05</v>
      </c>
      <c r="AB9">
        <v>0.30706654348844525</v>
      </c>
      <c r="AC9">
        <v>1</v>
      </c>
      <c r="AD9">
        <v>0</v>
      </c>
      <c r="AE9">
        <f t="shared" si="12"/>
        <v>6</v>
      </c>
      <c r="AF9">
        <f t="shared" si="13"/>
        <v>1</v>
      </c>
      <c r="AG9">
        <f t="shared" si="9"/>
        <v>0.68421052631578949</v>
      </c>
      <c r="AH9">
        <f t="shared" si="10"/>
        <v>0.88888888888888884</v>
      </c>
      <c r="AI9">
        <f t="shared" si="11"/>
        <v>4.6783625730994198E-2</v>
      </c>
    </row>
    <row r="10" spans="1:35" x14ac:dyDescent="0.25">
      <c r="A10">
        <v>0.18390624970197678</v>
      </c>
      <c r="B10" s="4">
        <v>0</v>
      </c>
      <c r="C10" s="5">
        <v>1</v>
      </c>
      <c r="D10" s="6">
        <f t="shared" si="0"/>
        <v>1</v>
      </c>
      <c r="E10">
        <f t="shared" si="1"/>
        <v>0</v>
      </c>
      <c r="F10">
        <f t="shared" si="2"/>
        <v>0.31485351011195145</v>
      </c>
      <c r="G10" s="4">
        <f t="shared" si="3"/>
        <v>0.31485351011195145</v>
      </c>
      <c r="H10" s="6">
        <f t="shared" si="4"/>
        <v>0.6851464898880486</v>
      </c>
      <c r="I10">
        <f t="shared" si="5"/>
        <v>-0.37812260973222117</v>
      </c>
      <c r="J10">
        <f t="shared" si="6"/>
        <v>100</v>
      </c>
      <c r="K10">
        <f t="shared" si="7"/>
        <v>0.45954188594529294</v>
      </c>
      <c r="O10" t="s">
        <v>80</v>
      </c>
      <c r="P10" s="15" t="str">
        <f>IF(P8&lt;P9,"yes","no")</f>
        <v>no</v>
      </c>
      <c r="W10" t="s">
        <v>98</v>
      </c>
      <c r="X10" s="21" t="s">
        <v>99</v>
      </c>
      <c r="AB10">
        <v>0.30724177008983194</v>
      </c>
      <c r="AC10">
        <v>1</v>
      </c>
      <c r="AD10">
        <v>0</v>
      </c>
      <c r="AE10">
        <f t="shared" si="12"/>
        <v>7</v>
      </c>
      <c r="AF10">
        <f t="shared" si="13"/>
        <v>1</v>
      </c>
      <c r="AG10">
        <f t="shared" si="9"/>
        <v>0.63157894736842102</v>
      </c>
      <c r="AH10">
        <f t="shared" si="10"/>
        <v>0.88888888888888884</v>
      </c>
      <c r="AI10">
        <f t="shared" si="11"/>
        <v>4.6783625730994101E-2</v>
      </c>
    </row>
    <row r="11" spans="1:35" x14ac:dyDescent="0.25">
      <c r="A11">
        <v>0.20875070373751695</v>
      </c>
      <c r="B11" s="4">
        <v>0</v>
      </c>
      <c r="C11" s="5">
        <v>1</v>
      </c>
      <c r="D11" s="6">
        <f t="shared" si="0"/>
        <v>1</v>
      </c>
      <c r="E11">
        <f t="shared" si="1"/>
        <v>0</v>
      </c>
      <c r="F11">
        <f t="shared" si="2"/>
        <v>0.31762282321839247</v>
      </c>
      <c r="G11" s="4">
        <f t="shared" si="3"/>
        <v>0.31762282321839247</v>
      </c>
      <c r="H11" s="6">
        <f t="shared" si="4"/>
        <v>0.68237717678160759</v>
      </c>
      <c r="I11">
        <f t="shared" si="5"/>
        <v>-0.38217272887745207</v>
      </c>
      <c r="J11">
        <f t="shared" si="6"/>
        <v>100</v>
      </c>
      <c r="K11">
        <f t="shared" si="7"/>
        <v>0.46546519143040815</v>
      </c>
      <c r="AB11">
        <v>0.31485351011195145</v>
      </c>
      <c r="AC11">
        <v>1</v>
      </c>
      <c r="AD11">
        <v>0</v>
      </c>
      <c r="AE11">
        <f t="shared" si="12"/>
        <v>8</v>
      </c>
      <c r="AF11">
        <f t="shared" si="13"/>
        <v>1</v>
      </c>
      <c r="AG11">
        <f t="shared" si="9"/>
        <v>0.57894736842105265</v>
      </c>
      <c r="AH11">
        <f t="shared" si="10"/>
        <v>0.88888888888888884</v>
      </c>
      <c r="AI11">
        <f t="shared" si="11"/>
        <v>4.6783625730994101E-2</v>
      </c>
    </row>
    <row r="12" spans="1:35" x14ac:dyDescent="0.25">
      <c r="A12">
        <v>0.21328772401357901</v>
      </c>
      <c r="B12" s="4">
        <v>1</v>
      </c>
      <c r="C12" s="5">
        <v>0</v>
      </c>
      <c r="D12" s="6">
        <f t="shared" si="0"/>
        <v>1</v>
      </c>
      <c r="E12">
        <f t="shared" si="1"/>
        <v>1</v>
      </c>
      <c r="F12">
        <f t="shared" si="2"/>
        <v>0.31812995117543191</v>
      </c>
      <c r="G12" s="4">
        <f t="shared" si="3"/>
        <v>0.31812995117543191</v>
      </c>
      <c r="H12" s="6">
        <f t="shared" si="4"/>
        <v>0.68187004882456814</v>
      </c>
      <c r="I12">
        <f t="shared" si="5"/>
        <v>-1.1452953281821727</v>
      </c>
      <c r="J12">
        <f t="shared" si="6"/>
        <v>0</v>
      </c>
      <c r="K12">
        <f t="shared" si="7"/>
        <v>2.1433695453860384</v>
      </c>
      <c r="O12" t="s">
        <v>81</v>
      </c>
      <c r="P12" s="12">
        <f>1-P4/P3</f>
        <v>2.7861955955985618E-3</v>
      </c>
      <c r="AB12">
        <v>0.31762282321839247</v>
      </c>
      <c r="AC12">
        <v>1</v>
      </c>
      <c r="AD12">
        <v>0</v>
      </c>
      <c r="AE12">
        <f t="shared" si="12"/>
        <v>9</v>
      </c>
      <c r="AF12">
        <f t="shared" si="13"/>
        <v>1</v>
      </c>
      <c r="AG12">
        <f t="shared" si="9"/>
        <v>0.52631578947368429</v>
      </c>
      <c r="AH12">
        <f t="shared" si="10"/>
        <v>0.88888888888888884</v>
      </c>
      <c r="AI12">
        <f t="shared" si="11"/>
        <v>0</v>
      </c>
    </row>
    <row r="13" spans="1:35" x14ac:dyDescent="0.25">
      <c r="A13">
        <v>0.21390918005378015</v>
      </c>
      <c r="B13" s="4">
        <v>1</v>
      </c>
      <c r="C13" s="5">
        <v>0</v>
      </c>
      <c r="D13" s="6">
        <f t="shared" si="0"/>
        <v>1</v>
      </c>
      <c r="E13">
        <f t="shared" si="1"/>
        <v>1</v>
      </c>
      <c r="F13">
        <f t="shared" si="2"/>
        <v>0.31819944839622522</v>
      </c>
      <c r="G13" s="4">
        <f t="shared" si="3"/>
        <v>0.31819944839622522</v>
      </c>
      <c r="H13" s="6">
        <f t="shared" si="4"/>
        <v>0.68180055160377484</v>
      </c>
      <c r="I13">
        <f t="shared" si="5"/>
        <v>-1.1450768965927589</v>
      </c>
      <c r="J13">
        <f t="shared" si="6"/>
        <v>0</v>
      </c>
      <c r="K13">
        <f t="shared" si="7"/>
        <v>2.1426830091634534</v>
      </c>
      <c r="O13" t="s">
        <v>82</v>
      </c>
      <c r="P13" s="14">
        <f>1-EXP((-2/D28)*(P4-P3))</f>
        <v>3.4930213349873007E-3</v>
      </c>
      <c r="AB13">
        <v>0.31812995117543191</v>
      </c>
      <c r="AC13">
        <v>0</v>
      </c>
      <c r="AD13">
        <v>1</v>
      </c>
      <c r="AE13">
        <f t="shared" si="12"/>
        <v>9</v>
      </c>
      <c r="AF13">
        <f t="shared" si="13"/>
        <v>2</v>
      </c>
      <c r="AG13">
        <f t="shared" si="9"/>
        <v>0.52631578947368429</v>
      </c>
      <c r="AH13">
        <f t="shared" si="10"/>
        <v>0.77777777777777779</v>
      </c>
      <c r="AI13">
        <f t="shared" si="11"/>
        <v>0</v>
      </c>
    </row>
    <row r="14" spans="1:35" x14ac:dyDescent="0.25">
      <c r="A14">
        <v>0.21743558076294986</v>
      </c>
      <c r="B14" s="4">
        <v>1</v>
      </c>
      <c r="C14" s="5">
        <v>0</v>
      </c>
      <c r="D14" s="6">
        <f t="shared" si="0"/>
        <v>1</v>
      </c>
      <c r="E14">
        <f t="shared" si="1"/>
        <v>1</v>
      </c>
      <c r="F14">
        <f t="shared" si="2"/>
        <v>0.31859395784842698</v>
      </c>
      <c r="G14" s="4">
        <f t="shared" si="3"/>
        <v>0.31859395784842698</v>
      </c>
      <c r="H14" s="6">
        <f t="shared" si="4"/>
        <v>0.68140604215157308</v>
      </c>
      <c r="I14">
        <f t="shared" si="5"/>
        <v>-1.1438378463802239</v>
      </c>
      <c r="J14">
        <f t="shared" si="6"/>
        <v>0</v>
      </c>
      <c r="K14">
        <f t="shared" si="7"/>
        <v>2.1387914785118314</v>
      </c>
      <c r="O14" t="s">
        <v>83</v>
      </c>
      <c r="P14" s="13">
        <f>P13/(1-EXP(2*P3/D28))</f>
        <v>4.8841435497798975E-3</v>
      </c>
      <c r="AB14">
        <v>0.31819944839622522</v>
      </c>
      <c r="AC14">
        <v>0</v>
      </c>
      <c r="AD14">
        <v>1</v>
      </c>
      <c r="AE14">
        <f t="shared" si="12"/>
        <v>9</v>
      </c>
      <c r="AF14">
        <f t="shared" si="13"/>
        <v>3</v>
      </c>
      <c r="AG14">
        <f t="shared" si="9"/>
        <v>0.52631578947368429</v>
      </c>
      <c r="AH14">
        <f t="shared" si="10"/>
        <v>0.66666666666666674</v>
      </c>
      <c r="AI14">
        <f t="shared" si="11"/>
        <v>0</v>
      </c>
    </row>
    <row r="15" spans="1:35" x14ac:dyDescent="0.25">
      <c r="A15">
        <v>0.23520002365112305</v>
      </c>
      <c r="B15" s="4">
        <v>0</v>
      </c>
      <c r="C15" s="5">
        <v>1</v>
      </c>
      <c r="D15" s="6">
        <f t="shared" si="0"/>
        <v>1</v>
      </c>
      <c r="E15">
        <f t="shared" si="1"/>
        <v>0</v>
      </c>
      <c r="F15">
        <f t="shared" si="2"/>
        <v>0.32058527153631083</v>
      </c>
      <c r="G15" s="4">
        <f t="shared" si="3"/>
        <v>0.32058527153631083</v>
      </c>
      <c r="H15" s="6">
        <f t="shared" si="4"/>
        <v>0.67941472846368911</v>
      </c>
      <c r="I15">
        <f t="shared" si="5"/>
        <v>-0.38652354485700036</v>
      </c>
      <c r="J15">
        <f t="shared" si="6"/>
        <v>100</v>
      </c>
      <c r="K15">
        <f t="shared" si="7"/>
        <v>0.4718550512751275</v>
      </c>
      <c r="AB15">
        <v>0.31859395784842698</v>
      </c>
      <c r="AC15">
        <v>0</v>
      </c>
      <c r="AD15">
        <v>1</v>
      </c>
      <c r="AE15">
        <f t="shared" si="12"/>
        <v>9</v>
      </c>
      <c r="AF15">
        <f t="shared" si="13"/>
        <v>4</v>
      </c>
      <c r="AG15">
        <f t="shared" si="9"/>
        <v>0.52631578947368429</v>
      </c>
      <c r="AH15">
        <f t="shared" si="10"/>
        <v>0.55555555555555558</v>
      </c>
      <c r="AI15">
        <f t="shared" si="11"/>
        <v>2.9239766081871375E-2</v>
      </c>
    </row>
    <row r="16" spans="1:35" x14ac:dyDescent="0.25">
      <c r="A16">
        <v>0.237288</v>
      </c>
      <c r="B16" s="4">
        <v>0</v>
      </c>
      <c r="C16" s="5">
        <v>3</v>
      </c>
      <c r="D16" s="6">
        <f t="shared" si="0"/>
        <v>3</v>
      </c>
      <c r="E16">
        <f t="shared" si="1"/>
        <v>0</v>
      </c>
      <c r="F16">
        <f t="shared" si="2"/>
        <v>0.32081975568099719</v>
      </c>
      <c r="G16" s="4">
        <f t="shared" si="3"/>
        <v>0.96245926704299156</v>
      </c>
      <c r="H16" s="6">
        <f t="shared" si="4"/>
        <v>2.0375407329570083</v>
      </c>
      <c r="I16">
        <f t="shared" si="5"/>
        <v>-1.1606061932991525</v>
      </c>
      <c r="J16">
        <f t="shared" si="6"/>
        <v>100</v>
      </c>
      <c r="K16">
        <f t="shared" si="7"/>
        <v>1.4170896092656902</v>
      </c>
      <c r="O16" t="s">
        <v>84</v>
      </c>
      <c r="P16" s="12">
        <f>K28</f>
        <v>27.904704757343612</v>
      </c>
      <c r="AB16">
        <v>0.32058527153631083</v>
      </c>
      <c r="AC16">
        <v>1</v>
      </c>
      <c r="AD16">
        <v>0</v>
      </c>
      <c r="AE16">
        <f t="shared" si="12"/>
        <v>10</v>
      </c>
      <c r="AF16">
        <f t="shared" si="13"/>
        <v>4</v>
      </c>
      <c r="AG16">
        <f t="shared" si="9"/>
        <v>0.47368421052631582</v>
      </c>
      <c r="AH16">
        <f t="shared" si="10"/>
        <v>0.55555555555555558</v>
      </c>
      <c r="AI16">
        <f t="shared" si="11"/>
        <v>8.7719298245614072E-2</v>
      </c>
    </row>
    <row r="17" spans="1:35" x14ac:dyDescent="0.25">
      <c r="A17">
        <v>0.25</v>
      </c>
      <c r="B17" s="4">
        <v>0</v>
      </c>
      <c r="C17" s="5">
        <v>1</v>
      </c>
      <c r="D17" s="6">
        <f t="shared" si="0"/>
        <v>1</v>
      </c>
      <c r="E17">
        <f t="shared" si="1"/>
        <v>0</v>
      </c>
      <c r="F17">
        <f t="shared" si="2"/>
        <v>0.32224928892853705</v>
      </c>
      <c r="G17" s="4">
        <f t="shared" si="3"/>
        <v>0.32224928892853705</v>
      </c>
      <c r="H17" s="6">
        <f t="shared" si="4"/>
        <v>0.6777507110714629</v>
      </c>
      <c r="I17">
        <f t="shared" si="5"/>
        <v>-0.38897574143908348</v>
      </c>
      <c r="J17">
        <f t="shared" si="6"/>
        <v>100</v>
      </c>
      <c r="K17">
        <f t="shared" si="7"/>
        <v>0.47546875815016104</v>
      </c>
      <c r="O17" t="s">
        <v>77</v>
      </c>
      <c r="P17" s="14">
        <f>COUNT(D4:D27)-2</f>
        <v>22</v>
      </c>
      <c r="AB17">
        <v>0.32081975568099719</v>
      </c>
      <c r="AC17">
        <v>3</v>
      </c>
      <c r="AD17">
        <v>0</v>
      </c>
      <c r="AE17">
        <f t="shared" si="12"/>
        <v>13</v>
      </c>
      <c r="AF17">
        <f t="shared" si="13"/>
        <v>4</v>
      </c>
      <c r="AG17">
        <f t="shared" si="9"/>
        <v>0.31578947368421051</v>
      </c>
      <c r="AH17">
        <f t="shared" si="10"/>
        <v>0.55555555555555558</v>
      </c>
      <c r="AI17">
        <f t="shared" si="11"/>
        <v>2.9239766081871312E-2</v>
      </c>
    </row>
    <row r="18" spans="1:35" x14ac:dyDescent="0.25">
      <c r="A18">
        <v>0.25898614205563297</v>
      </c>
      <c r="B18" s="4">
        <v>1</v>
      </c>
      <c r="C18" s="5">
        <v>0</v>
      </c>
      <c r="D18" s="6">
        <f t="shared" si="0"/>
        <v>1</v>
      </c>
      <c r="E18">
        <f t="shared" si="1"/>
        <v>1</v>
      </c>
      <c r="F18">
        <f t="shared" si="2"/>
        <v>0.3232618418873231</v>
      </c>
      <c r="G18" s="4">
        <f t="shared" si="3"/>
        <v>0.3232618418873231</v>
      </c>
      <c r="H18" s="6">
        <f t="shared" si="4"/>
        <v>0.6767381581126769</v>
      </c>
      <c r="I18">
        <f t="shared" si="5"/>
        <v>-1.1292926281656799</v>
      </c>
      <c r="J18">
        <f t="shared" si="6"/>
        <v>0</v>
      </c>
      <c r="K18">
        <f t="shared" si="7"/>
        <v>2.0934674942196314</v>
      </c>
      <c r="O18" t="s">
        <v>78</v>
      </c>
      <c r="P18" s="14">
        <f>CHIDIST(P16,P17)</f>
        <v>0.17886091829014941</v>
      </c>
      <c r="AB18">
        <v>0.32224928892853705</v>
      </c>
      <c r="AC18">
        <v>1</v>
      </c>
      <c r="AD18">
        <v>0</v>
      </c>
      <c r="AE18">
        <f t="shared" si="12"/>
        <v>14</v>
      </c>
      <c r="AF18">
        <f t="shared" si="13"/>
        <v>4</v>
      </c>
      <c r="AG18">
        <f t="shared" si="9"/>
        <v>0.26315789473684215</v>
      </c>
      <c r="AH18">
        <f t="shared" si="10"/>
        <v>0.55555555555555558</v>
      </c>
      <c r="AI18">
        <f t="shared" si="11"/>
        <v>0</v>
      </c>
    </row>
    <row r="19" spans="1:35" x14ac:dyDescent="0.25">
      <c r="A19">
        <v>0.27028409435894524</v>
      </c>
      <c r="B19" s="4">
        <v>1</v>
      </c>
      <c r="C19" s="5">
        <v>0</v>
      </c>
      <c r="D19" s="6">
        <f t="shared" si="0"/>
        <v>1</v>
      </c>
      <c r="E19">
        <f t="shared" si="1"/>
        <v>1</v>
      </c>
      <c r="F19">
        <f t="shared" si="2"/>
        <v>0.32453724193802058</v>
      </c>
      <c r="G19" s="4">
        <f t="shared" si="3"/>
        <v>0.32453724193802058</v>
      </c>
      <c r="H19" s="6">
        <f t="shared" si="4"/>
        <v>0.67546275806197942</v>
      </c>
      <c r="I19">
        <f t="shared" si="5"/>
        <v>-1.1253549822798763</v>
      </c>
      <c r="J19">
        <f t="shared" si="6"/>
        <v>0</v>
      </c>
      <c r="K19">
        <f t="shared" si="7"/>
        <v>2.0813104654133276</v>
      </c>
      <c r="O19" t="s">
        <v>79</v>
      </c>
      <c r="P19" s="14">
        <f>P9</f>
        <v>0.05</v>
      </c>
      <c r="AB19">
        <v>0.3232618418873231</v>
      </c>
      <c r="AC19">
        <v>0</v>
      </c>
      <c r="AD19">
        <v>1</v>
      </c>
      <c r="AE19">
        <f t="shared" si="12"/>
        <v>14</v>
      </c>
      <c r="AF19">
        <f t="shared" si="13"/>
        <v>5</v>
      </c>
      <c r="AG19">
        <f t="shared" si="9"/>
        <v>0.26315789473684215</v>
      </c>
      <c r="AH19">
        <f t="shared" si="10"/>
        <v>0.44444444444444442</v>
      </c>
      <c r="AI19">
        <f t="shared" si="11"/>
        <v>0</v>
      </c>
    </row>
    <row r="20" spans="1:35" x14ac:dyDescent="0.25">
      <c r="A20">
        <v>0.2829236561194281</v>
      </c>
      <c r="B20" s="4">
        <v>1</v>
      </c>
      <c r="C20" s="5">
        <v>0</v>
      </c>
      <c r="D20" s="6">
        <f t="shared" si="0"/>
        <v>1</v>
      </c>
      <c r="E20">
        <f t="shared" si="1"/>
        <v>1</v>
      </c>
      <c r="F20">
        <f t="shared" si="2"/>
        <v>0.32596718508569356</v>
      </c>
      <c r="G20" s="4">
        <f t="shared" si="3"/>
        <v>0.32596718508569356</v>
      </c>
      <c r="H20" s="6">
        <f t="shared" si="4"/>
        <v>0.67403281491430644</v>
      </c>
      <c r="I20">
        <f t="shared" si="5"/>
        <v>-1.1209585619282501</v>
      </c>
      <c r="J20">
        <f t="shared" si="6"/>
        <v>0</v>
      </c>
      <c r="K20">
        <f t="shared" si="7"/>
        <v>2.0677934643547324</v>
      </c>
      <c r="O20" t="s">
        <v>80</v>
      </c>
      <c r="P20" s="15" t="str">
        <f>IF(P18&lt;P19,"yes","no")</f>
        <v>no</v>
      </c>
      <c r="AB20">
        <v>0.32453724193802058</v>
      </c>
      <c r="AC20">
        <v>0</v>
      </c>
      <c r="AD20">
        <v>1</v>
      </c>
      <c r="AE20">
        <f t="shared" si="12"/>
        <v>14</v>
      </c>
      <c r="AF20">
        <f t="shared" si="13"/>
        <v>6</v>
      </c>
      <c r="AG20">
        <f t="shared" si="9"/>
        <v>0.26315789473684215</v>
      </c>
      <c r="AH20">
        <f t="shared" si="10"/>
        <v>0.33333333333333337</v>
      </c>
      <c r="AI20">
        <f t="shared" si="11"/>
        <v>0</v>
      </c>
    </row>
    <row r="21" spans="1:35" x14ac:dyDescent="0.25">
      <c r="A21">
        <v>0.29489582777023315</v>
      </c>
      <c r="B21" s="4">
        <v>0</v>
      </c>
      <c r="C21" s="5">
        <v>1</v>
      </c>
      <c r="D21" s="6">
        <f t="shared" si="0"/>
        <v>1</v>
      </c>
      <c r="E21">
        <f t="shared" si="1"/>
        <v>0</v>
      </c>
      <c r="F21">
        <f t="shared" si="2"/>
        <v>0.32732461913225308</v>
      </c>
      <c r="G21" s="4">
        <f t="shared" si="3"/>
        <v>0.32732461913225308</v>
      </c>
      <c r="H21" s="6">
        <f t="shared" si="4"/>
        <v>0.67267538086774692</v>
      </c>
      <c r="I21">
        <f t="shared" si="5"/>
        <v>-0.39649241211136677</v>
      </c>
      <c r="J21">
        <f t="shared" si="6"/>
        <v>100</v>
      </c>
      <c r="K21">
        <f t="shared" si="7"/>
        <v>0.48660115776796592</v>
      </c>
      <c r="AB21">
        <v>0.32596718508569356</v>
      </c>
      <c r="AC21">
        <v>0</v>
      </c>
      <c r="AD21">
        <v>1</v>
      </c>
      <c r="AE21">
        <f t="shared" si="12"/>
        <v>14</v>
      </c>
      <c r="AF21">
        <f t="shared" si="13"/>
        <v>7</v>
      </c>
      <c r="AG21">
        <f t="shared" si="9"/>
        <v>0.26315789473684215</v>
      </c>
      <c r="AH21">
        <f t="shared" si="10"/>
        <v>0.22222222222222221</v>
      </c>
      <c r="AI21">
        <f t="shared" si="11"/>
        <v>1.169590643274855E-2</v>
      </c>
    </row>
    <row r="22" spans="1:35" x14ac:dyDescent="0.25">
      <c r="A22">
        <v>0.307671785033995</v>
      </c>
      <c r="B22" s="4">
        <v>1</v>
      </c>
      <c r="C22" s="5">
        <v>0</v>
      </c>
      <c r="D22" s="6">
        <f t="shared" si="0"/>
        <v>1</v>
      </c>
      <c r="E22">
        <f t="shared" si="1"/>
        <v>1</v>
      </c>
      <c r="F22">
        <f t="shared" si="2"/>
        <v>0.32877638241573376</v>
      </c>
      <c r="G22" s="4">
        <f t="shared" si="3"/>
        <v>0.32877638241573376</v>
      </c>
      <c r="H22" s="6">
        <f t="shared" si="4"/>
        <v>0.6712236175842663</v>
      </c>
      <c r="I22">
        <f t="shared" si="5"/>
        <v>-1.1123774480158302</v>
      </c>
      <c r="J22">
        <f t="shared" si="6"/>
        <v>0</v>
      </c>
      <c r="K22">
        <f t="shared" si="7"/>
        <v>2.0415810060696886</v>
      </c>
      <c r="AB22">
        <v>0.32732461913225308</v>
      </c>
      <c r="AC22">
        <v>1</v>
      </c>
      <c r="AD22">
        <v>0</v>
      </c>
      <c r="AE22">
        <f t="shared" si="12"/>
        <v>15</v>
      </c>
      <c r="AF22">
        <f t="shared" si="13"/>
        <v>7</v>
      </c>
      <c r="AG22">
        <f t="shared" si="9"/>
        <v>0.21052631578947367</v>
      </c>
      <c r="AH22">
        <f t="shared" si="10"/>
        <v>0.22222222222222221</v>
      </c>
      <c r="AI22">
        <f t="shared" si="11"/>
        <v>0</v>
      </c>
    </row>
    <row r="23" spans="1:35" x14ac:dyDescent="0.25">
      <c r="A23">
        <v>0.375</v>
      </c>
      <c r="B23" s="4">
        <v>0</v>
      </c>
      <c r="C23" s="5">
        <v>1</v>
      </c>
      <c r="D23" s="6">
        <f t="shared" si="0"/>
        <v>1</v>
      </c>
      <c r="E23">
        <f t="shared" si="1"/>
        <v>0</v>
      </c>
      <c r="F23">
        <f t="shared" si="2"/>
        <v>0.33648071876389674</v>
      </c>
      <c r="G23" s="4">
        <f t="shared" si="3"/>
        <v>0.33648071876389674</v>
      </c>
      <c r="H23" s="6">
        <f t="shared" si="4"/>
        <v>0.66351928123610326</v>
      </c>
      <c r="I23">
        <f t="shared" si="5"/>
        <v>-0.41019736574347937</v>
      </c>
      <c r="J23">
        <f t="shared" si="6"/>
        <v>100</v>
      </c>
      <c r="K23">
        <f t="shared" si="7"/>
        <v>0.50711520867494608</v>
      </c>
      <c r="AB23">
        <v>0.32877638241573376</v>
      </c>
      <c r="AC23">
        <v>0</v>
      </c>
      <c r="AD23">
        <v>1</v>
      </c>
      <c r="AE23">
        <f t="shared" si="12"/>
        <v>15</v>
      </c>
      <c r="AF23">
        <f t="shared" si="13"/>
        <v>8</v>
      </c>
      <c r="AG23">
        <f t="shared" si="9"/>
        <v>0.21052631578947367</v>
      </c>
      <c r="AH23">
        <f t="shared" si="10"/>
        <v>0.11111111111111116</v>
      </c>
      <c r="AI23">
        <f t="shared" si="11"/>
        <v>5.8479532163742652E-3</v>
      </c>
    </row>
    <row r="24" spans="1:35" x14ac:dyDescent="0.25">
      <c r="A24">
        <v>0.49326999783515929</v>
      </c>
      <c r="B24" s="4">
        <v>1</v>
      </c>
      <c r="C24" s="5">
        <v>0</v>
      </c>
      <c r="D24" s="6">
        <f t="shared" si="0"/>
        <v>1</v>
      </c>
      <c r="E24">
        <f t="shared" si="1"/>
        <v>1</v>
      </c>
      <c r="F24">
        <f t="shared" si="2"/>
        <v>0.35022523321795379</v>
      </c>
      <c r="G24" s="4">
        <f t="shared" si="3"/>
        <v>0.35022523321795379</v>
      </c>
      <c r="H24" s="6">
        <f t="shared" si="4"/>
        <v>0.64977476678204615</v>
      </c>
      <c r="I24">
        <f t="shared" si="5"/>
        <v>-1.0491788079912547</v>
      </c>
      <c r="J24">
        <f t="shared" si="6"/>
        <v>0</v>
      </c>
      <c r="K24">
        <f t="shared" si="7"/>
        <v>1.8553054010750711</v>
      </c>
      <c r="AB24">
        <v>0.33648071876389674</v>
      </c>
      <c r="AC24">
        <v>1</v>
      </c>
      <c r="AD24">
        <v>0</v>
      </c>
      <c r="AE24">
        <f t="shared" si="12"/>
        <v>16</v>
      </c>
      <c r="AF24">
        <f t="shared" si="13"/>
        <v>8</v>
      </c>
      <c r="AG24">
        <f t="shared" si="9"/>
        <v>0.15789473684210531</v>
      </c>
      <c r="AH24">
        <f t="shared" si="10"/>
        <v>0.11111111111111116</v>
      </c>
      <c r="AI24">
        <f t="shared" si="11"/>
        <v>0</v>
      </c>
    </row>
    <row r="25" spans="1:35" x14ac:dyDescent="0.25">
      <c r="A25">
        <v>0.59162373840808868</v>
      </c>
      <c r="B25" s="4">
        <v>0</v>
      </c>
      <c r="C25" s="5">
        <v>1</v>
      </c>
      <c r="D25" s="6">
        <f t="shared" si="0"/>
        <v>1</v>
      </c>
      <c r="E25">
        <f t="shared" si="1"/>
        <v>0</v>
      </c>
      <c r="F25">
        <f t="shared" si="2"/>
        <v>0.36184890869632497</v>
      </c>
      <c r="G25" s="4">
        <f t="shared" si="3"/>
        <v>0.36184890869632497</v>
      </c>
      <c r="H25" s="6">
        <f t="shared" si="4"/>
        <v>0.63815109130367498</v>
      </c>
      <c r="I25">
        <f t="shared" si="5"/>
        <v>-0.44918020344963433</v>
      </c>
      <c r="J25">
        <f t="shared" si="6"/>
        <v>100</v>
      </c>
      <c r="K25">
        <f t="shared" si="7"/>
        <v>0.56702701543157452</v>
      </c>
      <c r="AB25">
        <v>0.35022523321795379</v>
      </c>
      <c r="AC25">
        <v>0</v>
      </c>
      <c r="AD25">
        <v>1</v>
      </c>
      <c r="AE25">
        <f t="shared" si="12"/>
        <v>16</v>
      </c>
      <c r="AF25">
        <f t="shared" si="13"/>
        <v>9</v>
      </c>
      <c r="AG25">
        <f t="shared" si="9"/>
        <v>0.15789473684210531</v>
      </c>
      <c r="AH25">
        <f t="shared" si="10"/>
        <v>0</v>
      </c>
      <c r="AI25">
        <f t="shared" si="11"/>
        <v>0</v>
      </c>
    </row>
    <row r="26" spans="1:35" x14ac:dyDescent="0.25">
      <c r="A26">
        <v>0.67578454456239379</v>
      </c>
      <c r="B26" s="4">
        <v>0</v>
      </c>
      <c r="C26" s="5">
        <v>1</v>
      </c>
      <c r="D26" s="6">
        <f t="shared" si="0"/>
        <v>1</v>
      </c>
      <c r="E26">
        <f t="shared" si="1"/>
        <v>0</v>
      </c>
      <c r="F26">
        <f t="shared" si="2"/>
        <v>0.37192584535487783</v>
      </c>
      <c r="G26" s="4">
        <f t="shared" si="3"/>
        <v>0.37192584535487783</v>
      </c>
      <c r="H26" s="6">
        <f t="shared" si="4"/>
        <v>0.62807415464512217</v>
      </c>
      <c r="I26">
        <f t="shared" si="5"/>
        <v>-0.46509703883981002</v>
      </c>
      <c r="J26">
        <f t="shared" si="6"/>
        <v>100</v>
      </c>
      <c r="K26">
        <f t="shared" si="7"/>
        <v>0.59216868359282415</v>
      </c>
      <c r="AB26">
        <v>0.36184890869632497</v>
      </c>
      <c r="AC26">
        <v>1</v>
      </c>
      <c r="AD26">
        <v>0</v>
      </c>
      <c r="AE26">
        <f t="shared" si="12"/>
        <v>17</v>
      </c>
      <c r="AF26">
        <f t="shared" si="13"/>
        <v>9</v>
      </c>
      <c r="AG26">
        <f t="shared" si="9"/>
        <v>0.10526315789473684</v>
      </c>
      <c r="AH26">
        <f t="shared" si="10"/>
        <v>0</v>
      </c>
      <c r="AI26">
        <f t="shared" si="11"/>
        <v>0</v>
      </c>
    </row>
    <row r="27" spans="1:35" x14ac:dyDescent="0.25">
      <c r="A27">
        <v>0.96536001563072205</v>
      </c>
      <c r="B27" s="7">
        <v>0</v>
      </c>
      <c r="C27" s="8">
        <v>1</v>
      </c>
      <c r="D27" s="6">
        <f t="shared" si="0"/>
        <v>1</v>
      </c>
      <c r="E27">
        <f t="shared" si="1"/>
        <v>0</v>
      </c>
      <c r="F27">
        <f t="shared" si="2"/>
        <v>0.40740856296069011</v>
      </c>
      <c r="G27" s="4">
        <f t="shared" si="3"/>
        <v>0.40740856296069011</v>
      </c>
      <c r="H27" s="6">
        <f t="shared" si="4"/>
        <v>0.59259143703930994</v>
      </c>
      <c r="I27">
        <f t="shared" si="5"/>
        <v>-0.52325009376261356</v>
      </c>
      <c r="J27">
        <f t="shared" si="6"/>
        <v>100</v>
      </c>
      <c r="K27">
        <f t="shared" si="7"/>
        <v>0.68750329062494431</v>
      </c>
      <c r="AB27">
        <v>0.37192584535487783</v>
      </c>
      <c r="AC27">
        <v>1</v>
      </c>
      <c r="AD27">
        <v>0</v>
      </c>
      <c r="AE27">
        <f t="shared" si="12"/>
        <v>18</v>
      </c>
      <c r="AF27">
        <f t="shared" si="13"/>
        <v>9</v>
      </c>
      <c r="AG27">
        <f t="shared" si="9"/>
        <v>5.2631578947368474E-2</v>
      </c>
      <c r="AH27">
        <f t="shared" si="10"/>
        <v>0</v>
      </c>
      <c r="AI27">
        <f t="shared" si="11"/>
        <v>0</v>
      </c>
    </row>
    <row r="28" spans="1:35" x14ac:dyDescent="0.25">
      <c r="A28" s="1"/>
      <c r="B28" s="1">
        <f>SUM(B4:B27)</f>
        <v>9</v>
      </c>
      <c r="C28" s="1">
        <f t="shared" ref="C28:D28" si="14">SUM(C4:C27)</f>
        <v>19</v>
      </c>
      <c r="D28" s="11">
        <f t="shared" si="14"/>
        <v>28</v>
      </c>
      <c r="E28" s="11"/>
      <c r="F28" s="11"/>
      <c r="G28" s="11">
        <f>SUM(G4:G27)</f>
        <v>9.0000000000000018</v>
      </c>
      <c r="H28" s="11">
        <f t="shared" ref="H28:I28" si="15">SUM(H4:H27)</f>
        <v>19</v>
      </c>
      <c r="I28" s="11">
        <f t="shared" si="15"/>
        <v>-17.533376578229838</v>
      </c>
      <c r="J28" s="11">
        <f>SUMPRODUCT(J4:J27,D4:D27)/D28</f>
        <v>67.857142857142861</v>
      </c>
      <c r="K28" s="11">
        <f>SUM(K4:K27)</f>
        <v>27.904704757343612</v>
      </c>
      <c r="AB28" s="17">
        <v>0.40740856296069011</v>
      </c>
      <c r="AC28" s="17">
        <v>1</v>
      </c>
      <c r="AD28" s="17">
        <v>0</v>
      </c>
      <c r="AE28" s="17">
        <f t="shared" si="12"/>
        <v>19</v>
      </c>
      <c r="AF28" s="17">
        <f t="shared" si="13"/>
        <v>9</v>
      </c>
      <c r="AG28" s="17">
        <f t="shared" si="9"/>
        <v>0</v>
      </c>
      <c r="AH28" s="17">
        <f t="shared" si="10"/>
        <v>0</v>
      </c>
      <c r="AI28" s="17">
        <f t="shared" si="11"/>
        <v>0</v>
      </c>
    </row>
    <row r="29" spans="1:35" ht="15.75" thickBot="1" x14ac:dyDescent="0.3">
      <c r="AI29">
        <f>SUM(AI4:AI28)</f>
        <v>0.61403508771929816</v>
      </c>
    </row>
    <row r="30" spans="1:35" ht="15.75" thickTop="1" x14ac:dyDescent="0.25">
      <c r="A30" s="16"/>
      <c r="B30" s="16" t="s">
        <v>86</v>
      </c>
      <c r="C30" s="16" t="s">
        <v>87</v>
      </c>
      <c r="D30" s="16" t="s">
        <v>88</v>
      </c>
      <c r="E30" s="16" t="s">
        <v>78</v>
      </c>
      <c r="F30" s="16" t="s">
        <v>89</v>
      </c>
      <c r="G30" s="16" t="s">
        <v>90</v>
      </c>
      <c r="H30" s="16" t="s">
        <v>91</v>
      </c>
    </row>
    <row r="31" spans="1:35" x14ac:dyDescent="0.25">
      <c r="A31" t="s">
        <v>92</v>
      </c>
      <c r="B31">
        <f t="array" ref="B31:B32">M5:M6</f>
        <v>-0.87232817660863338</v>
      </c>
      <c r="C31">
        <f t="array" ref="C31:C32">SQRT([1]!DIAG(R4:S5))</f>
        <v>0.57581488855230201</v>
      </c>
      <c r="D31">
        <f>(B31/C31)^2</f>
        <v>2.2950598804058573</v>
      </c>
      <c r="E31">
        <f>CHIDIST(D31,1)</f>
        <v>0.12978620541673369</v>
      </c>
      <c r="F31">
        <f>EXP(B31)</f>
        <v>0.41797729061368416</v>
      </c>
    </row>
    <row r="32" spans="1:35" x14ac:dyDescent="0.25">
      <c r="A32" s="17" t="str">
        <f t="array" ref="A32">TRANSPOSE(A3)</f>
        <v>positivity</v>
      </c>
      <c r="B32" s="17">
        <v>0.51549629719663592</v>
      </c>
      <c r="C32" s="17">
        <v>1.6493440498886094</v>
      </c>
      <c r="D32" s="17">
        <f>(B32/C32)^2</f>
        <v>9.7685158178393863E-2</v>
      </c>
      <c r="E32" s="17">
        <f>CHIDIST(D32,1)</f>
        <v>0.75462541998867572</v>
      </c>
      <c r="F32" s="17">
        <f>EXP(B32)</f>
        <v>1.6744693300459654</v>
      </c>
      <c r="G32" s="17">
        <f>EXP(B32-C32*NORMSINV(1-$P$9/2))</f>
        <v>6.6062194570726526E-2</v>
      </c>
      <c r="H32" s="17">
        <f>EXP(B32+C32*NORMSINV(1-$P$9/2))</f>
        <v>42.442543053315774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7" sqref="E17:E1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 t="s">
        <v>6</v>
      </c>
      <c r="C2" t="s">
        <v>7</v>
      </c>
      <c r="D2">
        <v>308</v>
      </c>
      <c r="E2">
        <v>0.2829236561194281</v>
      </c>
      <c r="F2">
        <v>1</v>
      </c>
    </row>
    <row r="3" spans="1:6" x14ac:dyDescent="0.25">
      <c r="A3">
        <v>2014</v>
      </c>
      <c r="B3" t="s">
        <v>8</v>
      </c>
      <c r="C3" t="s">
        <v>9</v>
      </c>
      <c r="D3">
        <v>321</v>
      </c>
      <c r="E3">
        <v>0.27028409435894524</v>
      </c>
      <c r="F3">
        <v>1</v>
      </c>
    </row>
    <row r="4" spans="1:6" x14ac:dyDescent="0.25">
      <c r="A4">
        <v>2014</v>
      </c>
      <c r="B4" t="s">
        <v>10</v>
      </c>
      <c r="C4" t="s">
        <v>11</v>
      </c>
      <c r="D4">
        <v>0</v>
      </c>
      <c r="E4">
        <v>0.237288</v>
      </c>
      <c r="F4">
        <v>0</v>
      </c>
    </row>
    <row r="5" spans="1:6" x14ac:dyDescent="0.25">
      <c r="A5">
        <v>2014</v>
      </c>
      <c r="B5" t="s">
        <v>12</v>
      </c>
      <c r="C5" t="s">
        <v>13</v>
      </c>
      <c r="D5">
        <v>55</v>
      </c>
      <c r="E5">
        <v>0.20875070373751695</v>
      </c>
      <c r="F5">
        <v>0</v>
      </c>
    </row>
    <row r="6" spans="1:6" x14ac:dyDescent="0.25">
      <c r="A6">
        <v>2014</v>
      </c>
      <c r="B6" t="s">
        <v>14</v>
      </c>
      <c r="C6" t="s">
        <v>15</v>
      </c>
      <c r="D6">
        <v>29</v>
      </c>
      <c r="E6">
        <v>0.67578454456239379</v>
      </c>
      <c r="F6">
        <v>0</v>
      </c>
    </row>
    <row r="7" spans="1:6" x14ac:dyDescent="0.25">
      <c r="A7">
        <v>2014</v>
      </c>
      <c r="B7" t="s">
        <v>16</v>
      </c>
      <c r="C7" t="s">
        <v>17</v>
      </c>
      <c r="D7">
        <v>96</v>
      </c>
      <c r="E7">
        <v>0.307671785033995</v>
      </c>
      <c r="F7">
        <v>1</v>
      </c>
    </row>
    <row r="8" spans="1:6" x14ac:dyDescent="0.25">
      <c r="A8">
        <v>2014</v>
      </c>
      <c r="B8" t="s">
        <v>18</v>
      </c>
      <c r="C8" t="s">
        <v>19</v>
      </c>
      <c r="D8">
        <v>2</v>
      </c>
      <c r="E8">
        <v>0.25</v>
      </c>
      <c r="F8">
        <v>0</v>
      </c>
    </row>
    <row r="9" spans="1:6" x14ac:dyDescent="0.25">
      <c r="A9">
        <v>2014</v>
      </c>
      <c r="B9" t="s">
        <v>20</v>
      </c>
      <c r="C9" t="s">
        <v>21</v>
      </c>
      <c r="D9">
        <v>201</v>
      </c>
      <c r="E9">
        <v>6.7898140188962092E-2</v>
      </c>
      <c r="F9">
        <v>1</v>
      </c>
    </row>
    <row r="10" spans="1:6" x14ac:dyDescent="0.25">
      <c r="A10">
        <v>2014</v>
      </c>
      <c r="B10" t="s">
        <v>22</v>
      </c>
      <c r="C10" t="s">
        <v>23</v>
      </c>
      <c r="D10">
        <v>59</v>
      </c>
      <c r="E10">
        <v>0.21328772401357901</v>
      </c>
      <c r="F10">
        <v>1</v>
      </c>
    </row>
    <row r="11" spans="1:6" x14ac:dyDescent="0.25">
      <c r="A11">
        <v>2014</v>
      </c>
      <c r="B11" t="s">
        <v>24</v>
      </c>
      <c r="C11" t="s">
        <v>25</v>
      </c>
      <c r="D11">
        <v>2</v>
      </c>
      <c r="E11">
        <v>-0.44999998807907104</v>
      </c>
      <c r="F11">
        <v>0</v>
      </c>
    </row>
    <row r="12" spans="1:6" x14ac:dyDescent="0.25">
      <c r="A12">
        <v>2014</v>
      </c>
      <c r="B12" t="s">
        <v>26</v>
      </c>
      <c r="C12" t="s">
        <v>27</v>
      </c>
      <c r="D12">
        <v>7</v>
      </c>
      <c r="E12">
        <v>0.49326999783515929</v>
      </c>
      <c r="F12">
        <v>1</v>
      </c>
    </row>
    <row r="13" spans="1:6" x14ac:dyDescent="0.25">
      <c r="A13">
        <v>2014</v>
      </c>
      <c r="B13" t="s">
        <v>28</v>
      </c>
      <c r="C13" t="s">
        <v>29</v>
      </c>
      <c r="D13">
        <v>4</v>
      </c>
      <c r="E13">
        <v>0</v>
      </c>
      <c r="F13">
        <v>0</v>
      </c>
    </row>
    <row r="14" spans="1:6" x14ac:dyDescent="0.25">
      <c r="A14">
        <v>2014</v>
      </c>
      <c r="B14" t="s">
        <v>30</v>
      </c>
      <c r="C14" t="s">
        <v>31</v>
      </c>
      <c r="D14">
        <v>5</v>
      </c>
      <c r="E14">
        <v>0.11500000208616257</v>
      </c>
      <c r="F14">
        <v>0</v>
      </c>
    </row>
    <row r="15" spans="1:6" x14ac:dyDescent="0.25">
      <c r="A15">
        <v>2014</v>
      </c>
      <c r="B15" t="s">
        <v>32</v>
      </c>
      <c r="C15" t="s">
        <v>33</v>
      </c>
      <c r="D15">
        <v>7</v>
      </c>
      <c r="E15">
        <v>0.29489582777023315</v>
      </c>
      <c r="F15">
        <v>0</v>
      </c>
    </row>
    <row r="16" spans="1:6" x14ac:dyDescent="0.25">
      <c r="A16">
        <v>2014</v>
      </c>
      <c r="B16" t="s">
        <v>34</v>
      </c>
      <c r="C16" t="s">
        <v>35</v>
      </c>
      <c r="D16">
        <v>2</v>
      </c>
      <c r="E16">
        <v>0</v>
      </c>
      <c r="F16">
        <v>0</v>
      </c>
    </row>
    <row r="17" spans="1:6" x14ac:dyDescent="0.25">
      <c r="A17">
        <v>2014</v>
      </c>
      <c r="B17" t="s">
        <v>36</v>
      </c>
      <c r="C17" t="s">
        <v>37</v>
      </c>
      <c r="D17">
        <v>0</v>
      </c>
      <c r="E17">
        <v>0.237288</v>
      </c>
      <c r="F17">
        <v>0</v>
      </c>
    </row>
    <row r="18" spans="1:6" x14ac:dyDescent="0.25">
      <c r="A18">
        <v>2014</v>
      </c>
      <c r="B18" t="s">
        <v>38</v>
      </c>
      <c r="C18" t="s">
        <v>39</v>
      </c>
      <c r="D18">
        <v>0</v>
      </c>
      <c r="E18">
        <v>0.237288</v>
      </c>
      <c r="F18">
        <v>0</v>
      </c>
    </row>
    <row r="19" spans="1:6" x14ac:dyDescent="0.25">
      <c r="A19">
        <v>2014</v>
      </c>
      <c r="B19" t="s">
        <v>40</v>
      </c>
      <c r="C19" t="s">
        <v>41</v>
      </c>
      <c r="D19">
        <v>17</v>
      </c>
      <c r="E19">
        <v>4.7618198497542022E-2</v>
      </c>
      <c r="F19">
        <v>0</v>
      </c>
    </row>
    <row r="20" spans="1:6" x14ac:dyDescent="0.25">
      <c r="A20">
        <v>2014</v>
      </c>
      <c r="B20" t="s">
        <v>42</v>
      </c>
      <c r="C20" t="s">
        <v>43</v>
      </c>
      <c r="D20">
        <v>477</v>
      </c>
      <c r="E20">
        <v>0.11340272050524541</v>
      </c>
      <c r="F20">
        <v>0</v>
      </c>
    </row>
    <row r="21" spans="1:6" x14ac:dyDescent="0.25">
      <c r="A21">
        <v>2014</v>
      </c>
      <c r="B21" t="s">
        <v>44</v>
      </c>
      <c r="C21" t="s">
        <v>45</v>
      </c>
      <c r="D21">
        <v>35</v>
      </c>
      <c r="E21">
        <v>0.21743558076294986</v>
      </c>
      <c r="F21">
        <v>1</v>
      </c>
    </row>
    <row r="22" spans="1:6" x14ac:dyDescent="0.25">
      <c r="A22">
        <v>2014</v>
      </c>
      <c r="B22" t="s">
        <v>46</v>
      </c>
      <c r="C22" t="s">
        <v>47</v>
      </c>
      <c r="D22">
        <v>2</v>
      </c>
      <c r="E22">
        <v>0</v>
      </c>
      <c r="F22">
        <v>0</v>
      </c>
    </row>
    <row r="23" spans="1:6" x14ac:dyDescent="0.25">
      <c r="A23">
        <v>2014</v>
      </c>
      <c r="B23" t="s">
        <v>48</v>
      </c>
      <c r="C23" t="s">
        <v>49</v>
      </c>
      <c r="D23">
        <v>65</v>
      </c>
      <c r="E23">
        <v>0.21390918005378015</v>
      </c>
      <c r="F23">
        <v>1</v>
      </c>
    </row>
    <row r="24" spans="1:6" x14ac:dyDescent="0.25">
      <c r="A24">
        <v>2014</v>
      </c>
      <c r="B24" t="s">
        <v>50</v>
      </c>
      <c r="C24" t="s">
        <v>51</v>
      </c>
      <c r="D24">
        <v>4</v>
      </c>
      <c r="E24">
        <v>0.96536001563072205</v>
      </c>
      <c r="F24">
        <v>0</v>
      </c>
    </row>
    <row r="25" spans="1:6" x14ac:dyDescent="0.25">
      <c r="A25">
        <v>2014</v>
      </c>
      <c r="B25" t="s">
        <v>52</v>
      </c>
      <c r="C25" t="s">
        <v>53</v>
      </c>
      <c r="D25">
        <v>14</v>
      </c>
      <c r="E25">
        <v>0.18390624970197678</v>
      </c>
      <c r="F25">
        <v>0</v>
      </c>
    </row>
    <row r="26" spans="1:6" x14ac:dyDescent="0.25">
      <c r="A26">
        <v>2014</v>
      </c>
      <c r="B26" t="s">
        <v>54</v>
      </c>
      <c r="C26" t="s">
        <v>55</v>
      </c>
      <c r="D26">
        <v>5</v>
      </c>
      <c r="E26">
        <v>0.23520002365112305</v>
      </c>
      <c r="F26">
        <v>0</v>
      </c>
    </row>
    <row r="27" spans="1:6" x14ac:dyDescent="0.25">
      <c r="A27">
        <v>2014</v>
      </c>
      <c r="B27" t="s">
        <v>56</v>
      </c>
      <c r="C27" t="s">
        <v>57</v>
      </c>
      <c r="D27">
        <v>178</v>
      </c>
      <c r="E27">
        <v>0.25898614205563297</v>
      </c>
      <c r="F27">
        <v>1</v>
      </c>
    </row>
    <row r="28" spans="1:6" x14ac:dyDescent="0.25">
      <c r="A28">
        <v>2014</v>
      </c>
      <c r="B28" t="s">
        <v>58</v>
      </c>
      <c r="C28" t="s">
        <v>59</v>
      </c>
      <c r="D28">
        <v>4</v>
      </c>
      <c r="E28">
        <v>0.375</v>
      </c>
      <c r="F28">
        <v>0</v>
      </c>
    </row>
    <row r="29" spans="1:6" x14ac:dyDescent="0.25">
      <c r="A29">
        <v>2014</v>
      </c>
      <c r="B29" t="s">
        <v>60</v>
      </c>
      <c r="C29" t="s">
        <v>61</v>
      </c>
      <c r="D29">
        <v>2</v>
      </c>
      <c r="E29">
        <v>0.59162373840808868</v>
      </c>
      <c r="F2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results6_Positivity_corr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van den Eynden</dc:creator>
  <cp:lastModifiedBy>Sven van den Eynden</cp:lastModifiedBy>
  <dcterms:created xsi:type="dcterms:W3CDTF">2015-12-03T20:38:39Z</dcterms:created>
  <dcterms:modified xsi:type="dcterms:W3CDTF">2015-12-03T20:38:39Z</dcterms:modified>
</cp:coreProperties>
</file>