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University\Tercer Semestre\Álgebra Lineal\Proyecto Final\"/>
    </mc:Choice>
  </mc:AlternateContent>
  <xr:revisionPtr revIDLastSave="0" documentId="13_ncr:1_{D22E47E7-6766-4C4D-9E1D-DCED6C92FB9E}" xr6:coauthVersionLast="46" xr6:coauthVersionMax="46" xr10:uidLastSave="{00000000-0000-0000-0000-000000000000}"/>
  <bookViews>
    <workbookView xWindow="-108" yWindow="-108" windowWidth="23256" windowHeight="12576" xr2:uid="{4143DD75-7295-4858-8CED-4AB8D9BF1E01}"/>
  </bookViews>
  <sheets>
    <sheet name="Modelos" sheetId="1" r:id="rId1"/>
    <sheet name="Operaciones" sheetId="4" r:id="rId2"/>
    <sheet name="PSE COL - MEX" sheetId="2" r:id="rId3"/>
  </sheets>
  <definedNames>
    <definedName name="ExternalData_1" localSheetId="2" hidden="1">'PSE COL - MEX'!$A$1:$D$33</definedName>
    <definedName name="ExternalData_2" localSheetId="2" hidden="1">'PSE COL - MEX'!$F$1:$I$33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09" i="4" l="1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08" i="4"/>
  <c r="G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08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04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53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52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" i="4"/>
  <c r="O47" i="1"/>
  <c r="A47" i="1"/>
  <c r="Q187" i="4" a="1"/>
  <c r="Q187" i="4" s="1"/>
  <c r="C187" i="4"/>
  <c r="C188" i="4"/>
  <c r="C189" i="4"/>
  <c r="C190" i="4"/>
  <c r="C191" i="4"/>
  <c r="A4" i="1" a="1"/>
  <c r="A4" i="1" s="1"/>
  <c r="A52" i="4" s="1" a="1"/>
  <c r="A52" i="4" s="1"/>
  <c r="A104" i="4" s="1" a="1"/>
  <c r="A160" i="4" s="1" a="1"/>
  <c r="A160" i="4" s="1"/>
  <c r="R53" i="1"/>
  <c r="P4" i="1" a="1"/>
  <c r="P4" i="1" s="1"/>
  <c r="O4" i="1" a="1"/>
  <c r="O4" i="1" s="1"/>
  <c r="Q52" i="4" s="1" a="1"/>
  <c r="Q52" i="4" s="1"/>
  <c r="Q104" i="4" s="1" a="1"/>
  <c r="O160" i="4" s="1" a="1"/>
  <c r="O160" i="4" s="1"/>
  <c r="W159" i="4" s="1"/>
  <c r="B4" i="1" a="1"/>
  <c r="B4" i="1" s="1"/>
  <c r="O52" i="4" l="1"/>
  <c r="A41" i="1" s="1"/>
  <c r="Q165" i="4"/>
  <c r="Q172" i="4"/>
  <c r="Q179" i="4"/>
  <c r="Q171" i="4"/>
  <c r="Q163" i="4"/>
  <c r="Q164" i="4"/>
  <c r="Q178" i="4"/>
  <c r="Q170" i="4"/>
  <c r="Q162" i="4"/>
  <c r="Q185" i="4"/>
  <c r="Q177" i="4"/>
  <c r="Q169" i="4"/>
  <c r="Q161" i="4"/>
  <c r="Q173" i="4"/>
  <c r="Q180" i="4"/>
  <c r="Q168" i="4"/>
  <c r="Q183" i="4"/>
  <c r="Q175" i="4"/>
  <c r="Q167" i="4"/>
  <c r="Q181" i="4"/>
  <c r="Q184" i="4"/>
  <c r="Q176" i="4"/>
  <c r="Q182" i="4"/>
  <c r="Q174" i="4"/>
  <c r="Q166" i="4"/>
  <c r="C166" i="4"/>
  <c r="C181" i="4"/>
  <c r="C173" i="4"/>
  <c r="C165" i="4"/>
  <c r="C182" i="4"/>
  <c r="C180" i="4"/>
  <c r="C164" i="4"/>
  <c r="C179" i="4"/>
  <c r="C171" i="4"/>
  <c r="C163" i="4"/>
  <c r="C174" i="4"/>
  <c r="C172" i="4"/>
  <c r="C186" i="4"/>
  <c r="C178" i="4"/>
  <c r="C170" i="4"/>
  <c r="C162" i="4"/>
  <c r="C185" i="4"/>
  <c r="C177" i="4"/>
  <c r="C169" i="4"/>
  <c r="C161" i="4"/>
  <c r="C184" i="4"/>
  <c r="C176" i="4"/>
  <c r="C168" i="4"/>
  <c r="Q160" i="4"/>
  <c r="C160" i="4"/>
  <c r="C183" i="4"/>
  <c r="C175" i="4"/>
  <c r="C167" i="4"/>
  <c r="W165" i="4"/>
  <c r="W172" i="4"/>
  <c r="W183" i="4"/>
  <c r="W163" i="4"/>
  <c r="W174" i="4"/>
  <c r="W181" i="4"/>
  <c r="W166" i="4"/>
  <c r="W175" i="4"/>
  <c r="W185" i="4"/>
  <c r="W167" i="4"/>
  <c r="W177" i="4"/>
  <c r="W169" i="4"/>
  <c r="W178" i="4"/>
  <c r="W161" i="4"/>
  <c r="W170" i="4"/>
  <c r="W179" i="4"/>
  <c r="W162" i="4"/>
  <c r="W171" i="4"/>
  <c r="W180" i="4"/>
  <c r="W164" i="4"/>
  <c r="W173" i="4"/>
  <c r="W182" i="4"/>
  <c r="I179" i="4"/>
  <c r="I171" i="4"/>
  <c r="I163" i="4"/>
  <c r="I178" i="4"/>
  <c r="I170" i="4"/>
  <c r="I162" i="4"/>
  <c r="I185" i="4"/>
  <c r="I177" i="4"/>
  <c r="I169" i="4"/>
  <c r="I161" i="4"/>
  <c r="I184" i="4"/>
  <c r="I176" i="4"/>
  <c r="I168" i="4"/>
  <c r="I160" i="4"/>
  <c r="I183" i="4"/>
  <c r="I175" i="4"/>
  <c r="I167" i="4"/>
  <c r="I182" i="4"/>
  <c r="I174" i="4"/>
  <c r="I166" i="4"/>
  <c r="I181" i="4"/>
  <c r="I173" i="4"/>
  <c r="I165" i="4"/>
  <c r="I180" i="4"/>
  <c r="I172" i="4"/>
  <c r="I164" i="4"/>
  <c r="W160" i="4"/>
  <c r="W168" i="4"/>
  <c r="W176" i="4"/>
  <c r="W184" i="4"/>
  <c r="Q104" i="4"/>
  <c r="O159" i="4" s="1"/>
  <c r="O207" i="4" s="1" a="1"/>
  <c r="O207" i="4" s="1"/>
  <c r="V128" i="4"/>
  <c r="V120" i="4"/>
  <c r="V105" i="4"/>
  <c r="V127" i="4"/>
  <c r="V119" i="4"/>
  <c r="V112" i="4"/>
  <c r="V104" i="4"/>
  <c r="V114" i="4"/>
  <c r="V126" i="4"/>
  <c r="V118" i="4"/>
  <c r="V111" i="4"/>
  <c r="V130" i="4"/>
  <c r="V121" i="4"/>
  <c r="V113" i="4"/>
  <c r="V106" i="4"/>
  <c r="V125" i="4"/>
  <c r="V117" i="4"/>
  <c r="V110" i="4"/>
  <c r="V123" i="4"/>
  <c r="V115" i="4"/>
  <c r="V107" i="4"/>
  <c r="V124" i="4"/>
  <c r="V116" i="4"/>
  <c r="V109" i="4"/>
  <c r="V108" i="4"/>
  <c r="V122" i="4"/>
  <c r="V129" i="4"/>
  <c r="A104" i="4"/>
  <c r="A159" i="4" s="1"/>
  <c r="F105" i="4"/>
  <c r="F125" i="4"/>
  <c r="F117" i="4"/>
  <c r="F104" i="4"/>
  <c r="F124" i="4"/>
  <c r="F116" i="4"/>
  <c r="F110" i="4"/>
  <c r="F106" i="4"/>
  <c r="F118" i="4"/>
  <c r="F130" i="4"/>
  <c r="F123" i="4"/>
  <c r="F115" i="4"/>
  <c r="F109" i="4"/>
  <c r="F112" i="4"/>
  <c r="F111" i="4"/>
  <c r="F129" i="4"/>
  <c r="F122" i="4"/>
  <c r="F108" i="4"/>
  <c r="F114" i="4"/>
  <c r="F128" i="4"/>
  <c r="F120" i="4"/>
  <c r="F113" i="4"/>
  <c r="F119" i="4"/>
  <c r="F121" i="4"/>
  <c r="F107" i="4"/>
  <c r="F127" i="4"/>
  <c r="F126" i="4"/>
  <c r="V59" i="4"/>
  <c r="W59" i="4" s="1"/>
  <c r="V67" i="4"/>
  <c r="W67" i="4" s="1"/>
  <c r="V75" i="4"/>
  <c r="W75" i="4" s="1"/>
  <c r="V52" i="4"/>
  <c r="W52" i="4" s="1"/>
  <c r="V60" i="4"/>
  <c r="W60" i="4" s="1"/>
  <c r="V68" i="4"/>
  <c r="W68" i="4" s="1"/>
  <c r="V76" i="4"/>
  <c r="W76" i="4" s="1"/>
  <c r="V77" i="4"/>
  <c r="W77" i="4" s="1"/>
  <c r="V54" i="4"/>
  <c r="W54" i="4" s="1"/>
  <c r="V62" i="4"/>
  <c r="W62" i="4" s="1"/>
  <c r="V70" i="4"/>
  <c r="W70" i="4" s="1"/>
  <c r="V78" i="4"/>
  <c r="W78" i="4" s="1"/>
  <c r="V61" i="4"/>
  <c r="W61" i="4" s="1"/>
  <c r="V55" i="4"/>
  <c r="W55" i="4" s="1"/>
  <c r="V63" i="4"/>
  <c r="W63" i="4" s="1"/>
  <c r="V71" i="4"/>
  <c r="W71" i="4" s="1"/>
  <c r="V69" i="4"/>
  <c r="W69" i="4" s="1"/>
  <c r="V56" i="4"/>
  <c r="W56" i="4" s="1"/>
  <c r="V64" i="4"/>
  <c r="W64" i="4" s="1"/>
  <c r="V72" i="4"/>
  <c r="W72" i="4" s="1"/>
  <c r="V53" i="4"/>
  <c r="W53" i="4" s="1"/>
  <c r="V57" i="4"/>
  <c r="W57" i="4" s="1"/>
  <c r="V65" i="4"/>
  <c r="W65" i="4" s="1"/>
  <c r="V73" i="4"/>
  <c r="W73" i="4" s="1"/>
  <c r="V58" i="4"/>
  <c r="W58" i="4" s="1"/>
  <c r="V66" i="4"/>
  <c r="W66" i="4" s="1"/>
  <c r="V74" i="4"/>
  <c r="W74" i="4" s="1"/>
  <c r="F74" i="4"/>
  <c r="G74" i="4" s="1"/>
  <c r="F76" i="4"/>
  <c r="G76" i="4" s="1"/>
  <c r="F53" i="4"/>
  <c r="G53" i="4" s="1"/>
  <c r="F54" i="4"/>
  <c r="G54" i="4" s="1"/>
  <c r="F62" i="4"/>
  <c r="G62" i="4" s="1"/>
  <c r="F70" i="4"/>
  <c r="G70" i="4" s="1"/>
  <c r="F78" i="4"/>
  <c r="G78" i="4" s="1"/>
  <c r="F52" i="4"/>
  <c r="F55" i="4"/>
  <c r="G55" i="4" s="1"/>
  <c r="F63" i="4"/>
  <c r="G63" i="4" s="1"/>
  <c r="F71" i="4"/>
  <c r="G71" i="4" s="1"/>
  <c r="F66" i="4"/>
  <c r="G66" i="4" s="1"/>
  <c r="F68" i="4"/>
  <c r="G68" i="4" s="1"/>
  <c r="F61" i="4"/>
  <c r="G61" i="4" s="1"/>
  <c r="F56" i="4"/>
  <c r="G56" i="4" s="1"/>
  <c r="F64" i="4"/>
  <c r="G64" i="4" s="1"/>
  <c r="F72" i="4"/>
  <c r="G72" i="4" s="1"/>
  <c r="F58" i="4"/>
  <c r="G58" i="4" s="1"/>
  <c r="F60" i="4"/>
  <c r="G60" i="4" s="1"/>
  <c r="F69" i="4"/>
  <c r="G69" i="4" s="1"/>
  <c r="F77" i="4"/>
  <c r="G77" i="4" s="1"/>
  <c r="F57" i="4"/>
  <c r="G57" i="4" s="1"/>
  <c r="F65" i="4"/>
  <c r="G65" i="4" s="1"/>
  <c r="F73" i="4"/>
  <c r="G73" i="4" s="1"/>
  <c r="F59" i="4"/>
  <c r="G59" i="4" s="1"/>
  <c r="F67" i="4"/>
  <c r="G67" i="4" s="1"/>
  <c r="F75" i="4"/>
  <c r="G75" i="4" s="1"/>
  <c r="O2" i="4" a="1"/>
  <c r="A2" i="4" a="1"/>
  <c r="A2" i="4" s="1"/>
  <c r="O2" i="4" l="1"/>
  <c r="U8" i="4"/>
  <c r="U16" i="4"/>
  <c r="U24" i="4"/>
  <c r="U10" i="4"/>
  <c r="U18" i="4"/>
  <c r="U26" i="4"/>
  <c r="U6" i="4"/>
  <c r="U9" i="4"/>
  <c r="U17" i="4"/>
  <c r="U25" i="4"/>
  <c r="U3" i="4"/>
  <c r="U11" i="4"/>
  <c r="U19" i="4"/>
  <c r="U27" i="4"/>
  <c r="U4" i="4"/>
  <c r="U12" i="4"/>
  <c r="U20" i="4"/>
  <c r="U28" i="4"/>
  <c r="U5" i="4"/>
  <c r="U13" i="4"/>
  <c r="U21" i="4"/>
  <c r="U14" i="4"/>
  <c r="U15" i="4"/>
  <c r="U2" i="4"/>
  <c r="U22" i="4"/>
  <c r="U7" i="4"/>
  <c r="U23" i="4"/>
  <c r="A207" i="4" a="1"/>
  <c r="A207" i="4" s="1"/>
  <c r="B196" i="4" a="1"/>
  <c r="B196" i="4" s="1"/>
  <c r="Y159" i="4" s="1" a="1"/>
  <c r="Y159" i="4" s="1"/>
  <c r="Y162" i="4" s="1" a="1"/>
  <c r="Y162" i="4" s="1"/>
  <c r="B202" i="4" s="1" a="1"/>
  <c r="B202" i="4" s="1"/>
  <c r="Z165" i="4" s="1" a="1"/>
  <c r="Z165" i="4" s="1"/>
  <c r="I159" i="4"/>
  <c r="B193" i="4" s="1" a="1"/>
  <c r="B193" i="4" s="1"/>
  <c r="K159" i="4" s="1" a="1"/>
  <c r="K159" i="4" s="1"/>
  <c r="K162" i="4" s="1" a="1"/>
  <c r="K162" i="4" s="1"/>
  <c r="B199" i="4" s="1" a="1"/>
  <c r="B199" i="4" s="1"/>
  <c r="G130" i="4"/>
  <c r="H130" i="4"/>
  <c r="G125" i="4"/>
  <c r="H125" i="4"/>
  <c r="W124" i="4"/>
  <c r="X124" i="4"/>
  <c r="W113" i="4"/>
  <c r="X113" i="4"/>
  <c r="X112" i="4"/>
  <c r="W112" i="4"/>
  <c r="G107" i="4"/>
  <c r="H107" i="4"/>
  <c r="G122" i="4"/>
  <c r="H122" i="4"/>
  <c r="G118" i="4"/>
  <c r="H118" i="4"/>
  <c r="G105" i="4"/>
  <c r="H105" i="4"/>
  <c r="W107" i="4"/>
  <c r="X107" i="4"/>
  <c r="W121" i="4"/>
  <c r="X121" i="4"/>
  <c r="W119" i="4"/>
  <c r="X119" i="4"/>
  <c r="G121" i="4"/>
  <c r="H121" i="4"/>
  <c r="G129" i="4"/>
  <c r="H129" i="4"/>
  <c r="H106" i="4"/>
  <c r="G106" i="4"/>
  <c r="W115" i="4"/>
  <c r="X115" i="4"/>
  <c r="W130" i="4"/>
  <c r="X130" i="4"/>
  <c r="W127" i="4"/>
  <c r="X127" i="4"/>
  <c r="G117" i="4"/>
  <c r="H117" i="4"/>
  <c r="G114" i="4"/>
  <c r="H114" i="4"/>
  <c r="G123" i="4"/>
  <c r="H123" i="4"/>
  <c r="W116" i="4"/>
  <c r="X116" i="4"/>
  <c r="W104" i="4"/>
  <c r="X104" i="4"/>
  <c r="G108" i="4"/>
  <c r="H108" i="4"/>
  <c r="G111" i="4"/>
  <c r="H111" i="4"/>
  <c r="W129" i="4"/>
  <c r="X129" i="4"/>
  <c r="W123" i="4"/>
  <c r="X123" i="4"/>
  <c r="W105" i="4"/>
  <c r="X105" i="4"/>
  <c r="G113" i="4"/>
  <c r="H113" i="4"/>
  <c r="G116" i="4"/>
  <c r="H116" i="4"/>
  <c r="W110" i="4"/>
  <c r="X110" i="4"/>
  <c r="W120" i="4"/>
  <c r="X120" i="4"/>
  <c r="G120" i="4"/>
  <c r="H120" i="4"/>
  <c r="G109" i="4"/>
  <c r="H109" i="4"/>
  <c r="G124" i="4"/>
  <c r="H124" i="4"/>
  <c r="W108" i="4"/>
  <c r="X108" i="4"/>
  <c r="W117" i="4"/>
  <c r="X117" i="4"/>
  <c r="W126" i="4"/>
  <c r="X126" i="4"/>
  <c r="W128" i="4"/>
  <c r="X128" i="4"/>
  <c r="G126" i="4"/>
  <c r="H126" i="4"/>
  <c r="W106" i="4"/>
  <c r="X106" i="4"/>
  <c r="G127" i="4"/>
  <c r="H127" i="4"/>
  <c r="G119" i="4"/>
  <c r="H119" i="4"/>
  <c r="H110" i="4"/>
  <c r="G110" i="4"/>
  <c r="W111" i="4"/>
  <c r="X111" i="4"/>
  <c r="G112" i="4"/>
  <c r="H112" i="4"/>
  <c r="W122" i="4"/>
  <c r="X122" i="4"/>
  <c r="W118" i="4"/>
  <c r="X118" i="4"/>
  <c r="H128" i="4"/>
  <c r="G128" i="4"/>
  <c r="G115" i="4"/>
  <c r="H115" i="4"/>
  <c r="G104" i="4"/>
  <c r="H104" i="4"/>
  <c r="W109" i="4"/>
  <c r="X109" i="4"/>
  <c r="W125" i="4"/>
  <c r="X125" i="4"/>
  <c r="W114" i="4"/>
  <c r="X114" i="4"/>
  <c r="B90" i="4" a="1"/>
  <c r="B90" i="4" s="1"/>
  <c r="G52" i="4"/>
  <c r="G10" i="4"/>
  <c r="G8" i="4"/>
  <c r="G27" i="4"/>
  <c r="G14" i="4"/>
  <c r="G15" i="4"/>
  <c r="G16" i="4"/>
  <c r="G24" i="4"/>
  <c r="G5" i="4"/>
  <c r="G22" i="4"/>
  <c r="G7" i="4"/>
  <c r="G26" i="4"/>
  <c r="G4" i="4"/>
  <c r="G9" i="4"/>
  <c r="G13" i="4"/>
  <c r="G19" i="4"/>
  <c r="G28" i="4"/>
  <c r="G23" i="4"/>
  <c r="G12" i="4"/>
  <c r="G17" i="4"/>
  <c r="G21" i="4"/>
  <c r="G3" i="4"/>
  <c r="G18" i="4"/>
  <c r="G6" i="4"/>
  <c r="G20" i="4"/>
  <c r="G25" i="4"/>
  <c r="G2" i="4"/>
  <c r="G11" i="4"/>
  <c r="R207" i="4" l="1"/>
  <c r="R208" i="4"/>
  <c r="R168" i="4"/>
  <c r="S168" i="4" s="1"/>
  <c r="R184" i="4"/>
  <c r="S184" i="4" s="1"/>
  <c r="R160" i="4"/>
  <c r="S160" i="4" s="1"/>
  <c r="R161" i="4"/>
  <c r="S161" i="4" s="1"/>
  <c r="R169" i="4"/>
  <c r="S169" i="4" s="1"/>
  <c r="R177" i="4"/>
  <c r="S177" i="4" s="1"/>
  <c r="R173" i="4"/>
  <c r="S173" i="4" s="1"/>
  <c r="R182" i="4"/>
  <c r="S182" i="4" s="1"/>
  <c r="R175" i="4"/>
  <c r="S175" i="4" s="1"/>
  <c r="R162" i="4"/>
  <c r="S162" i="4" s="1"/>
  <c r="R170" i="4"/>
  <c r="S170" i="4" s="1"/>
  <c r="R178" i="4"/>
  <c r="S178" i="4" s="1"/>
  <c r="R186" i="4"/>
  <c r="S186" i="4" s="1"/>
  <c r="R189" i="4"/>
  <c r="S189" i="4" s="1"/>
  <c r="R190" i="4"/>
  <c r="S190" i="4" s="1"/>
  <c r="R183" i="4"/>
  <c r="S183" i="4" s="1"/>
  <c r="R163" i="4"/>
  <c r="S163" i="4" s="1"/>
  <c r="R171" i="4"/>
  <c r="S171" i="4" s="1"/>
  <c r="R179" i="4"/>
  <c r="S179" i="4" s="1"/>
  <c r="R187" i="4"/>
  <c r="S187" i="4" s="1"/>
  <c r="R164" i="4"/>
  <c r="S164" i="4" s="1"/>
  <c r="R172" i="4"/>
  <c r="S172" i="4" s="1"/>
  <c r="R180" i="4"/>
  <c r="S180" i="4" s="1"/>
  <c r="R188" i="4"/>
  <c r="S188" i="4" s="1"/>
  <c r="R165" i="4"/>
  <c r="S165" i="4" s="1"/>
  <c r="R181" i="4"/>
  <c r="S181" i="4" s="1"/>
  <c r="R166" i="4"/>
  <c r="S166" i="4" s="1"/>
  <c r="R167" i="4"/>
  <c r="S167" i="4" s="1"/>
  <c r="R174" i="4"/>
  <c r="S174" i="4" s="1"/>
  <c r="R191" i="4"/>
  <c r="S191" i="4" s="1"/>
  <c r="L165" i="4" a="1"/>
  <c r="B143" i="4" a="1"/>
  <c r="B143" i="4" s="1"/>
  <c r="Z104" i="4" s="1" a="1"/>
  <c r="Z104" i="4" s="1"/>
  <c r="Z109" i="4" s="1" a="1"/>
  <c r="Z109" i="4" s="1"/>
  <c r="B153" i="4" s="1" a="1"/>
  <c r="B153" i="4" s="1"/>
  <c r="AA114" i="4" s="1" a="1"/>
  <c r="B138" i="4" a="1"/>
  <c r="B138" i="4" s="1"/>
  <c r="J104" i="4" s="1" a="1"/>
  <c r="J104" i="4" s="1"/>
  <c r="J109" i="4" s="1" a="1"/>
  <c r="J109" i="4" s="1"/>
  <c r="B148" i="4" s="1" a="1"/>
  <c r="B148" i="4" s="1"/>
  <c r="K114" i="4" s="1" a="1"/>
  <c r="Z52" i="4" a="1"/>
  <c r="Z52" i="4" s="1"/>
  <c r="Z56" i="4" s="1" a="1"/>
  <c r="Z56" i="4" s="1"/>
  <c r="B98" i="4" s="1" a="1"/>
  <c r="B98" i="4" s="1"/>
  <c r="AA60" i="4" s="1" a="1"/>
  <c r="B86" i="4" a="1"/>
  <c r="B86" i="4" s="1"/>
  <c r="B38" i="4" a="1"/>
  <c r="B38" i="4" s="1"/>
  <c r="J2" i="4" s="1" a="1"/>
  <c r="J2" i="4" s="1"/>
  <c r="J5" i="4" s="1" a="1"/>
  <c r="J5" i="4" s="1"/>
  <c r="B44" i="4" s="1" a="1"/>
  <c r="B44" i="4" s="1"/>
  <c r="K8" i="4" s="1" a="1"/>
  <c r="K8" i="4" s="1"/>
  <c r="L11" i="4" s="1"/>
  <c r="B41" i="4" a="1"/>
  <c r="B41" i="4" s="1"/>
  <c r="X2" i="4" s="1" a="1"/>
  <c r="X2" i="4" s="1"/>
  <c r="X5" i="4" s="1" a="1"/>
  <c r="X5" i="4" s="1"/>
  <c r="B47" i="4" s="1" a="1"/>
  <c r="B47" i="4" s="1"/>
  <c r="Y8" i="4" s="1" a="1"/>
  <c r="Y8" i="4" s="1"/>
  <c r="Z11" i="4" s="1"/>
  <c r="R176" i="4" l="1"/>
  <c r="S176" i="4" s="1"/>
  <c r="R185" i="4"/>
  <c r="S185" i="4" s="1"/>
  <c r="S212" i="4"/>
  <c r="S211" i="4"/>
  <c r="S222" i="4"/>
  <c r="S231" i="4"/>
  <c r="S208" i="4"/>
  <c r="S218" i="4"/>
  <c r="S214" i="4"/>
  <c r="S223" i="4"/>
  <c r="S232" i="4"/>
  <c r="S215" i="4"/>
  <c r="S224" i="4"/>
  <c r="S216" i="4"/>
  <c r="S225" i="4"/>
  <c r="S234" i="4"/>
  <c r="S217" i="4"/>
  <c r="S226" i="4"/>
  <c r="S235" i="4"/>
  <c r="S227" i="4"/>
  <c r="S209" i="4"/>
  <c r="S219" i="4"/>
  <c r="S228" i="4"/>
  <c r="S238" i="4"/>
  <c r="S210" i="4"/>
  <c r="S220" i="4"/>
  <c r="S230" i="4"/>
  <c r="S239" i="4"/>
  <c r="S233" i="4"/>
  <c r="S236" i="4"/>
  <c r="S237" i="4"/>
  <c r="S229" i="4"/>
  <c r="S221" i="4"/>
  <c r="S213" i="4"/>
  <c r="L165" i="4"/>
  <c r="D207" i="4" s="1"/>
  <c r="D208" i="4"/>
  <c r="T160" i="4"/>
  <c r="K114" i="4"/>
  <c r="E133" i="4" s="1"/>
  <c r="I133" i="4"/>
  <c r="G133" i="4"/>
  <c r="K133" i="4"/>
  <c r="AA114" i="4"/>
  <c r="U133" i="4" s="1"/>
  <c r="W133" i="4"/>
  <c r="AA133" i="4"/>
  <c r="Y133" i="4"/>
  <c r="AA60" i="4"/>
  <c r="Y65" i="4" s="1"/>
  <c r="AA65" i="4"/>
  <c r="AC65" i="4"/>
  <c r="J52" i="4" a="1"/>
  <c r="J52" i="4" s="1"/>
  <c r="J56" i="4" s="1" a="1"/>
  <c r="J56" i="4" s="1"/>
  <c r="B94" i="4" s="1" a="1"/>
  <c r="B94" i="4" s="1"/>
  <c r="K60" i="4" s="1" a="1"/>
  <c r="X11" i="4"/>
  <c r="J11" i="4"/>
  <c r="C30" i="4" s="1"/>
  <c r="U208" i="4" l="1"/>
  <c r="O50" i="1" s="1"/>
  <c r="E208" i="4"/>
  <c r="E235" i="4"/>
  <c r="D182" i="4"/>
  <c r="E182" i="4" s="1"/>
  <c r="D179" i="4"/>
  <c r="E179" i="4" s="1"/>
  <c r="D163" i="4"/>
  <c r="E163" i="4" s="1"/>
  <c r="D186" i="4"/>
  <c r="E186" i="4" s="1"/>
  <c r="D170" i="4"/>
  <c r="E170" i="4" s="1"/>
  <c r="D166" i="4"/>
  <c r="E166" i="4" s="1"/>
  <c r="D184" i="4"/>
  <c r="E184" i="4" s="1"/>
  <c r="D173" i="4"/>
  <c r="E173" i="4" s="1"/>
  <c r="D160" i="4"/>
  <c r="E160" i="4" s="1"/>
  <c r="D162" i="4"/>
  <c r="E162" i="4" s="1"/>
  <c r="D188" i="4"/>
  <c r="E188" i="4" s="1"/>
  <c r="D176" i="4"/>
  <c r="E176" i="4" s="1"/>
  <c r="D185" i="4"/>
  <c r="E185" i="4" s="1"/>
  <c r="D168" i="4"/>
  <c r="E168" i="4" s="1"/>
  <c r="D180" i="4"/>
  <c r="E180" i="4" s="1"/>
  <c r="D183" i="4"/>
  <c r="E183" i="4" s="1"/>
  <c r="D177" i="4"/>
  <c r="E177" i="4" s="1"/>
  <c r="D172" i="4"/>
  <c r="E172" i="4" s="1"/>
  <c r="D167" i="4"/>
  <c r="E167" i="4" s="1"/>
  <c r="D169" i="4"/>
  <c r="E169" i="4" s="1"/>
  <c r="D191" i="4"/>
  <c r="E191" i="4" s="1"/>
  <c r="D164" i="4"/>
  <c r="E164" i="4" s="1"/>
  <c r="D190" i="4"/>
  <c r="E190" i="4" s="1"/>
  <c r="D161" i="4"/>
  <c r="E161" i="4" s="1"/>
  <c r="D175" i="4"/>
  <c r="E175" i="4" s="1"/>
  <c r="D187" i="4"/>
  <c r="E187" i="4" s="1"/>
  <c r="D174" i="4"/>
  <c r="E174" i="4" s="1"/>
  <c r="D189" i="4"/>
  <c r="E189" i="4" s="1"/>
  <c r="D171" i="4"/>
  <c r="E171" i="4" s="1"/>
  <c r="D181" i="4"/>
  <c r="E181" i="4" s="1"/>
  <c r="D165" i="4"/>
  <c r="E165" i="4" s="1"/>
  <c r="D178" i="4"/>
  <c r="E178" i="4" s="1"/>
  <c r="E232" i="4"/>
  <c r="E211" i="4"/>
  <c r="E219" i="4"/>
  <c r="E227" i="4"/>
  <c r="E212" i="4"/>
  <c r="E220" i="4"/>
  <c r="E228" i="4"/>
  <c r="E236" i="4"/>
  <c r="E213" i="4"/>
  <c r="E221" i="4"/>
  <c r="E229" i="4"/>
  <c r="E237" i="4"/>
  <c r="E209" i="4"/>
  <c r="E233" i="4"/>
  <c r="E210" i="4"/>
  <c r="E234" i="4"/>
  <c r="E225" i="4"/>
  <c r="E226" i="4"/>
  <c r="E214" i="4"/>
  <c r="E222" i="4"/>
  <c r="E230" i="4"/>
  <c r="E238" i="4"/>
  <c r="E215" i="4"/>
  <c r="E223" i="4"/>
  <c r="E231" i="4"/>
  <c r="E239" i="4"/>
  <c r="E216" i="4"/>
  <c r="E224" i="4"/>
  <c r="E217" i="4"/>
  <c r="E218" i="4"/>
  <c r="C107" i="4"/>
  <c r="C115" i="4"/>
  <c r="C123" i="4"/>
  <c r="C131" i="4"/>
  <c r="C108" i="4"/>
  <c r="C116" i="4"/>
  <c r="C124" i="4"/>
  <c r="C132" i="4"/>
  <c r="C109" i="4"/>
  <c r="C117" i="4"/>
  <c r="C125" i="4"/>
  <c r="C133" i="4"/>
  <c r="C110" i="4"/>
  <c r="C118" i="4"/>
  <c r="C126" i="4"/>
  <c r="C134" i="4"/>
  <c r="C111" i="4"/>
  <c r="C119" i="4"/>
  <c r="C127" i="4"/>
  <c r="C135" i="4"/>
  <c r="C112" i="4"/>
  <c r="C120" i="4"/>
  <c r="C128" i="4"/>
  <c r="C136" i="4"/>
  <c r="C113" i="4"/>
  <c r="C121" i="4"/>
  <c r="C129" i="4"/>
  <c r="C105" i="4"/>
  <c r="C106" i="4"/>
  <c r="C114" i="4"/>
  <c r="C122" i="4"/>
  <c r="C130" i="4"/>
  <c r="S135" i="4"/>
  <c r="S113" i="4"/>
  <c r="S121" i="4"/>
  <c r="S136" i="4"/>
  <c r="S109" i="4"/>
  <c r="S117" i="4"/>
  <c r="S125" i="4"/>
  <c r="S132" i="4"/>
  <c r="S110" i="4"/>
  <c r="S126" i="4"/>
  <c r="S119" i="4"/>
  <c r="S106" i="4"/>
  <c r="S114" i="4"/>
  <c r="S122" i="4"/>
  <c r="S105" i="4"/>
  <c r="S129" i="4"/>
  <c r="S107" i="4"/>
  <c r="S115" i="4"/>
  <c r="S123" i="4"/>
  <c r="S130" i="4"/>
  <c r="S108" i="4"/>
  <c r="S116" i="4"/>
  <c r="S124" i="4"/>
  <c r="S131" i="4"/>
  <c r="S118" i="4"/>
  <c r="S133" i="4"/>
  <c r="S111" i="4"/>
  <c r="S127" i="4"/>
  <c r="S134" i="4"/>
  <c r="S112" i="4"/>
  <c r="S120" i="4"/>
  <c r="S128" i="4"/>
  <c r="K60" i="4"/>
  <c r="I65" i="4" s="1"/>
  <c r="M65" i="4"/>
  <c r="K65" i="4"/>
  <c r="S80" i="4"/>
  <c r="S65" i="4"/>
  <c r="S73" i="4"/>
  <c r="S59" i="4"/>
  <c r="S81" i="4"/>
  <c r="S64" i="4"/>
  <c r="S78" i="4"/>
  <c r="S62" i="4"/>
  <c r="S77" i="4"/>
  <c r="S61" i="4"/>
  <c r="S53" i="4"/>
  <c r="S72" i="4"/>
  <c r="S57" i="4"/>
  <c r="S70" i="4"/>
  <c r="S56" i="4"/>
  <c r="S69" i="4"/>
  <c r="S54" i="4"/>
  <c r="S84" i="4"/>
  <c r="S82" i="4"/>
  <c r="S74" i="4"/>
  <c r="S55" i="4"/>
  <c r="S67" i="4"/>
  <c r="S63" i="4"/>
  <c r="S75" i="4"/>
  <c r="S71" i="4"/>
  <c r="S83" i="4"/>
  <c r="S79" i="4"/>
  <c r="S60" i="4"/>
  <c r="S58" i="4"/>
  <c r="S68" i="4"/>
  <c r="S66" i="4"/>
  <c r="S76" i="4"/>
  <c r="Q8" i="4"/>
  <c r="Q30" i="4"/>
  <c r="Q34" i="4"/>
  <c r="Q31" i="4"/>
  <c r="Q33" i="4"/>
  <c r="Q32" i="4"/>
  <c r="C7" i="4"/>
  <c r="C11" i="4"/>
  <c r="C17" i="4"/>
  <c r="Q23" i="4"/>
  <c r="Q3" i="4"/>
  <c r="Q5" i="4"/>
  <c r="Q25" i="4"/>
  <c r="C16" i="4"/>
  <c r="C21" i="4"/>
  <c r="C26" i="4"/>
  <c r="C5" i="4"/>
  <c r="C25" i="4"/>
  <c r="C3" i="4"/>
  <c r="C4" i="4"/>
  <c r="C22" i="4"/>
  <c r="C8" i="4"/>
  <c r="C13" i="4"/>
  <c r="C14" i="4"/>
  <c r="C34" i="4"/>
  <c r="C27" i="4"/>
  <c r="C23" i="4"/>
  <c r="C6" i="4"/>
  <c r="C20" i="4"/>
  <c r="C33" i="4"/>
  <c r="C9" i="4"/>
  <c r="C28" i="4"/>
  <c r="C19" i="4"/>
  <c r="C15" i="4"/>
  <c r="C18" i="4"/>
  <c r="C12" i="4"/>
  <c r="C32" i="4"/>
  <c r="C24" i="4"/>
  <c r="C10" i="4"/>
  <c r="C29" i="4"/>
  <c r="Q22" i="4"/>
  <c r="Q20" i="4"/>
  <c r="Q17" i="4"/>
  <c r="Q15" i="4"/>
  <c r="Q14" i="4"/>
  <c r="Q26" i="4"/>
  <c r="Q9" i="4"/>
  <c r="Q7" i="4"/>
  <c r="Q6" i="4"/>
  <c r="Q18" i="4"/>
  <c r="Q13" i="4"/>
  <c r="Q27" i="4"/>
  <c r="Q10" i="4"/>
  <c r="Q4" i="4"/>
  <c r="Q19" i="4"/>
  <c r="Q21" i="4"/>
  <c r="Q24" i="4"/>
  <c r="Q11" i="4"/>
  <c r="Q28" i="4"/>
  <c r="Q16" i="4"/>
  <c r="C31" i="4"/>
  <c r="Q29" i="4"/>
  <c r="Q12" i="4"/>
  <c r="A50" i="1" l="1"/>
  <c r="E4" i="4"/>
  <c r="A38" i="1" s="1"/>
  <c r="AF53" i="4"/>
  <c r="O41" i="1" s="1"/>
  <c r="O104" i="4"/>
  <c r="A44" i="1" s="1"/>
  <c r="S4" i="4"/>
  <c r="O38" i="1" s="1"/>
  <c r="AF104" i="4"/>
  <c r="O44" i="1" s="1"/>
  <c r="F160" i="4"/>
  <c r="C60" i="4"/>
  <c r="C68" i="4"/>
  <c r="C76" i="4"/>
  <c r="C84" i="4"/>
  <c r="C56" i="4"/>
  <c r="C64" i="4"/>
  <c r="C72" i="4"/>
  <c r="C80" i="4"/>
  <c r="C61" i="4"/>
  <c r="C69" i="4"/>
  <c r="C77" i="4"/>
  <c r="C53" i="4"/>
  <c r="C54" i="4"/>
  <c r="C62" i="4"/>
  <c r="C70" i="4"/>
  <c r="C78" i="4"/>
  <c r="C55" i="4"/>
  <c r="C63" i="4"/>
  <c r="C71" i="4"/>
  <c r="C79" i="4"/>
  <c r="C57" i="4"/>
  <c r="C65" i="4"/>
  <c r="C73" i="4"/>
  <c r="C81" i="4"/>
  <c r="C58" i="4"/>
  <c r="C66" i="4"/>
  <c r="C74" i="4"/>
  <c r="C82" i="4"/>
  <c r="C59" i="4"/>
  <c r="C67" i="4"/>
  <c r="C75" i="4"/>
  <c r="C8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40BC09-BE4E-4AF4-9D95-2DE61FFA44BA}" keepAlive="1" name="Query - people-without-electricity-country" description="Connection to the 'people-without-electricity-country' query in the workbook." type="5" refreshedVersion="7" background="1" saveData="1">
    <dbPr connection="Provider=Microsoft.Mashup.OleDb.1;Data Source=$Workbook$;Location=people-without-electricity-country;Extended Properties=&quot;&quot;" command="SELECT * FROM [people-without-electricity-country]"/>
  </connection>
  <connection id="2" xr16:uid="{0F038D59-030F-46F2-B161-283B1965B169}" keepAlive="1" name="Query - people-without-electricity-country (2)" description="Connection to the 'people-without-electricity-country (2)' query in the workbook." type="5" refreshedVersion="7" background="1" saveData="1">
    <dbPr connection="Provider=Microsoft.Mashup.OleDb.1;Data Source=$Workbook$;Location=&quot;people-without-electricity-country (2)&quot;;Extended Properties=&quot;&quot;" command="SELECT * FROM [people-without-electricity-count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<sst xmlns="http://schemas.openxmlformats.org/spreadsheetml/2006/main" count="273" uniqueCount="66">
  <si>
    <t>Entity</t>
  </si>
  <si>
    <t>Code</t>
  </si>
  <si>
    <t>Year</t>
  </si>
  <si>
    <t>Number of people without access to electricity</t>
  </si>
  <si>
    <t>Colombia</t>
  </si>
  <si>
    <t>COL</t>
  </si>
  <si>
    <t>Mexico</t>
  </si>
  <si>
    <t>MEX</t>
  </si>
  <si>
    <t>México</t>
  </si>
  <si>
    <t>x</t>
  </si>
  <si>
    <t>y</t>
  </si>
  <si>
    <t>Aproximación de la Recta</t>
  </si>
  <si>
    <t>Aproximación Cuadrática</t>
  </si>
  <si>
    <t>Aproximación de la Recta COL</t>
  </si>
  <si>
    <t>Aproximación de la Recta MXN</t>
  </si>
  <si>
    <t>y = mx+b</t>
  </si>
  <si>
    <t>y = mx +b</t>
  </si>
  <si>
    <t>A =</t>
  </si>
  <si>
    <t>A^T COL =</t>
  </si>
  <si>
    <t xml:space="preserve">A^T MXN = </t>
  </si>
  <si>
    <t>(A^T)*A =</t>
  </si>
  <si>
    <t xml:space="preserve">((A^T)*A)^-1 = </t>
  </si>
  <si>
    <t>(((A^T)*A)^-1)*A^T (COL) =</t>
  </si>
  <si>
    <t>(((A^T)*A)^-1)*A^T (MXN) =</t>
  </si>
  <si>
    <t xml:space="preserve">U = (((A^T*A)^-1)*A^T)*y = </t>
  </si>
  <si>
    <t>m</t>
  </si>
  <si>
    <t>b</t>
  </si>
  <si>
    <t>y =</t>
  </si>
  <si>
    <t>x +</t>
  </si>
  <si>
    <t>Aproximación Cuadrática COL</t>
  </si>
  <si>
    <t>Aproximación Cuadrática MXN</t>
  </si>
  <si>
    <t>y = a+b*x+c*x^2</t>
  </si>
  <si>
    <t>a</t>
  </si>
  <si>
    <t>c</t>
  </si>
  <si>
    <t>x^2 +</t>
  </si>
  <si>
    <t>Aproximación Cúbica</t>
  </si>
  <si>
    <t>Aproximación Exponencial</t>
  </si>
  <si>
    <t>Aproximación Logarítmica</t>
  </si>
  <si>
    <t>Aproximación Cúbica COL</t>
  </si>
  <si>
    <t>Aproximación Cúbica MXN</t>
  </si>
  <si>
    <t>d</t>
  </si>
  <si>
    <t>x^3 +</t>
  </si>
  <si>
    <t>y = a+bx+cx^2+dx^3</t>
  </si>
  <si>
    <t>Aproximación Logarítmica COL</t>
  </si>
  <si>
    <t>Ln(x) = Ln(x0)+kx</t>
  </si>
  <si>
    <t>Aproximación Logarítmica MXN</t>
  </si>
  <si>
    <t xml:space="preserve">U = (((A^T*A)^-1)*A^T)*Ln(x) = </t>
  </si>
  <si>
    <t>Ln(x_0)</t>
  </si>
  <si>
    <t>k</t>
  </si>
  <si>
    <t>Ln(x1) = Ln(x0)+kx</t>
  </si>
  <si>
    <t>Ln(x1)-Ln(x)</t>
  </si>
  <si>
    <t>Average</t>
  </si>
  <si>
    <t>P_0</t>
  </si>
  <si>
    <t>x_0</t>
  </si>
  <si>
    <t>x_0*exp(k*x)</t>
  </si>
  <si>
    <t>ABS</t>
  </si>
  <si>
    <t>Aproximación Exponencial COL</t>
  </si>
  <si>
    <t>Aproximación Exponencial MXN</t>
  </si>
  <si>
    <t>Ln(y)</t>
  </si>
  <si>
    <t>Diferencia</t>
  </si>
  <si>
    <t>Promedio</t>
  </si>
  <si>
    <t>Error Lineal</t>
  </si>
  <si>
    <t>Error Cuadrático</t>
  </si>
  <si>
    <t>Error Cúbico</t>
  </si>
  <si>
    <t>Error Lograítmico</t>
  </si>
  <si>
    <t>Error Exponencial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</si>
</sst>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0000_);_(* \(#,##0.0000000\);_(* &quot;-&quot;??_);_(@_)"/>
    <numFmt numFmtId="165" formatCode="_(* #,##0.00000000_);_(* \(#,##0.00000000\);_(* &quot;-&quot;??_);_(@_)"/>
    <numFmt numFmtId="166" formatCode="_(* #,##0.00000_);_(* \(#,##0.00000\);_(* &quot;-&quot;??_);_(@_)"/>
    <numFmt numFmtId="167" formatCode="_(* #,##0.000000_);_(* \(#,##0.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gradientFill>
        <stop position="0">
          <color theme="7" tint="0.59999389629810485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5" tint="0.59999389629810485"/>
        </stop>
      </gradientFill>
    </fill>
    <fill>
      <gradientFill>
        <stop position="0">
          <color theme="9" tint="0.59999389629810485"/>
        </stop>
        <stop position="1">
          <color theme="0"/>
        </stop>
      </gradientFill>
    </fill>
    <fill>
      <patternFill patternType="solid">
        <fgColor theme="0"/>
        <bgColor indexed="64"/>
      </patternFill>
    </fill>
    <fill>
      <gradientFill>
        <stop position="0">
          <color theme="0"/>
        </stop>
        <stop position="1">
          <color theme="5" tint="0.59999389629810485"/>
        </stop>
      </gradient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NumberFormat="1"/>
    <xf numFmtId="43" fontId="0" fillId="0" borderId="0" xfId="1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5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3" fontId="0" fillId="0" borderId="11" xfId="1" applyFont="1" applyBorder="1" applyAlignment="1">
      <alignment horizontal="center" vertical="center"/>
    </xf>
    <xf numFmtId="0" fontId="2" fillId="9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5" xfId="1" applyNumberFormat="1" applyFont="1" applyBorder="1" applyAlignment="1">
      <alignment horizontal="center" vertical="center"/>
    </xf>
    <xf numFmtId="0" fontId="0" fillId="0" borderId="7" xfId="1" applyNumberFormat="1" applyFont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/>
    </xf>
    <xf numFmtId="166" fontId="0" fillId="0" borderId="7" xfId="1" applyNumberFormat="1" applyFont="1" applyBorder="1" applyAlignment="1">
      <alignment horizontal="center" vertical="center"/>
    </xf>
    <xf numFmtId="166" fontId="0" fillId="0" borderId="10" xfId="1" applyNumberFormat="1" applyFont="1" applyBorder="1" applyAlignment="1">
      <alignment horizontal="center" vertical="center"/>
    </xf>
    <xf numFmtId="43" fontId="0" fillId="0" borderId="12" xfId="1" applyFont="1" applyBorder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2" fillId="5" borderId="9" xfId="1" applyNumberFormat="1" applyFont="1" applyFill="1" applyBorder="1" applyAlignment="1">
      <alignment horizontal="center" vertical="center"/>
    </xf>
    <xf numFmtId="167" fontId="2" fillId="0" borderId="0" xfId="1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11" xfId="1" applyNumberFormat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Aproximación de la Recta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Linea Tendencia 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xVal>
            <c:numRef>
              <c:f>Operaciones!$A$3:$A$29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Operaciones!$C$3:$C$29</c:f>
              <c:numCache>
                <c:formatCode>_(* #,##0.00_);_(* \(#,##0.00\);_(* "-"??_);_(@_)</c:formatCode>
                <c:ptCount val="27"/>
                <c:pt idx="0">
                  <c:v>3414287.7857248783</c:v>
                </c:pt>
                <c:pt idx="1">
                  <c:v>3314498.2124652267</c:v>
                </c:pt>
                <c:pt idx="2">
                  <c:v>3214708.639205575</c:v>
                </c:pt>
                <c:pt idx="3">
                  <c:v>3114919.0659459233</c:v>
                </c:pt>
                <c:pt idx="4">
                  <c:v>3015129.4926862717</c:v>
                </c:pt>
                <c:pt idx="5">
                  <c:v>2915339.91942662</c:v>
                </c:pt>
                <c:pt idx="6">
                  <c:v>2815550.3461669683</c:v>
                </c:pt>
                <c:pt idx="7">
                  <c:v>2715760.7729073167</c:v>
                </c:pt>
                <c:pt idx="8">
                  <c:v>2615971.199647665</c:v>
                </c:pt>
                <c:pt idx="9">
                  <c:v>2516181.6263880134</c:v>
                </c:pt>
                <c:pt idx="10">
                  <c:v>2416392.0531283617</c:v>
                </c:pt>
                <c:pt idx="11">
                  <c:v>2316602.47986871</c:v>
                </c:pt>
                <c:pt idx="12">
                  <c:v>2216812.9066090584</c:v>
                </c:pt>
                <c:pt idx="13">
                  <c:v>2117023.3333494067</c:v>
                </c:pt>
                <c:pt idx="14">
                  <c:v>2017233.7600897551</c:v>
                </c:pt>
                <c:pt idx="15">
                  <c:v>1917444.1868301034</c:v>
                </c:pt>
                <c:pt idx="16">
                  <c:v>1817654.6135704517</c:v>
                </c:pt>
                <c:pt idx="17">
                  <c:v>1717865.0403108001</c:v>
                </c:pt>
                <c:pt idx="18">
                  <c:v>1618075.4670511484</c:v>
                </c:pt>
                <c:pt idx="19">
                  <c:v>1518285.8937914968</c:v>
                </c:pt>
                <c:pt idx="20">
                  <c:v>1418496.3205318451</c:v>
                </c:pt>
                <c:pt idx="21">
                  <c:v>1318706.7472721934</c:v>
                </c:pt>
                <c:pt idx="22">
                  <c:v>1218917.1740125418</c:v>
                </c:pt>
                <c:pt idx="23">
                  <c:v>1119127.6007528901</c:v>
                </c:pt>
                <c:pt idx="24">
                  <c:v>1019338.0274932384</c:v>
                </c:pt>
                <c:pt idx="25">
                  <c:v>919548.45423358679</c:v>
                </c:pt>
                <c:pt idx="26">
                  <c:v>819758.88097393513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DD-46BE-8D7E-73881F5B1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98447"/>
        <c:axId val="112124543"/>
      </c:scatterChart>
      <c:scatterChart>
        <c:scatterStyle val="lineMarker"/>
        <c:varyColors val="0"/>
        <c:ser>
          <c:idx val="0"/>
          <c:order val="0"/>
          <c:tx>
            <c:v>Datos Iniciales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xVal>
            <c:numRef>
              <c:f>Operaciones!$A$3:$A$29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Operaciones!$B$3:$B$29</c:f>
              <c:numCache>
                <c:formatCode>_(* #,##0.00_);_(* \(#,##0.00\);_(* "-"??_);_(@_)</c:formatCode>
                <c:ptCount val="27"/>
                <c:pt idx="0">
                  <c:v>3461428</c:v>
                </c:pt>
                <c:pt idx="1">
                  <c:v>3226306</c:v>
                </c:pt>
                <c:pt idx="2">
                  <c:v>3145806</c:v>
                </c:pt>
                <c:pt idx="3">
                  <c:v>3060907</c:v>
                </c:pt>
                <c:pt idx="4">
                  <c:v>2972637</c:v>
                </c:pt>
                <c:pt idx="5">
                  <c:v>3294894</c:v>
                </c:pt>
                <c:pt idx="6">
                  <c:v>2790984</c:v>
                </c:pt>
                <c:pt idx="7">
                  <c:v>2700511</c:v>
                </c:pt>
                <c:pt idx="8">
                  <c:v>2612586</c:v>
                </c:pt>
                <c:pt idx="9">
                  <c:v>2529098</c:v>
                </c:pt>
                <c:pt idx="10">
                  <c:v>1939390</c:v>
                </c:pt>
                <c:pt idx="11">
                  <c:v>2377636</c:v>
                </c:pt>
                <c:pt idx="12">
                  <c:v>2305968</c:v>
                </c:pt>
                <c:pt idx="13">
                  <c:v>2233776</c:v>
                </c:pt>
                <c:pt idx="14">
                  <c:v>2158422</c:v>
                </c:pt>
                <c:pt idx="15">
                  <c:v>1385140</c:v>
                </c:pt>
                <c:pt idx="16">
                  <c:v>1987406</c:v>
                </c:pt>
                <c:pt idx="17">
                  <c:v>1886241</c:v>
                </c:pt>
                <c:pt idx="18">
                  <c:v>1433813</c:v>
                </c:pt>
                <c:pt idx="19">
                  <c:v>1790656</c:v>
                </c:pt>
                <c:pt idx="20">
                  <c:v>1474432</c:v>
                </c:pt>
                <c:pt idx="21">
                  <c:v>1534389</c:v>
                </c:pt>
                <c:pt idx="22">
                  <c:v>1391360</c:v>
                </c:pt>
                <c:pt idx="23">
                  <c:v>1051290</c:v>
                </c:pt>
                <c:pt idx="24">
                  <c:v>1055753</c:v>
                </c:pt>
                <c:pt idx="25">
                  <c:v>874435</c:v>
                </c:pt>
                <c:pt idx="26">
                  <c:v>484366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DD-46BE-8D7E-73881F5B1286}"/>
            </c:ext>
          </c:extLst>
        </c:ser>
        <c:ser>
          <c:idx val="2"/>
          <c:order val="2"/>
          <c:tx>
            <c:v>Pronóstico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xVal>
            <c:numRef>
              <c:f>Operaciones!$A$30:$A$34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Operaciones!$C$30:$C$34</c:f>
              <c:numCache>
                <c:formatCode>_(* #,##0.00_);_(* \(#,##0.00\);_(* "-"??_);_(@_)</c:formatCode>
                <c:ptCount val="5"/>
                <c:pt idx="0">
                  <c:v>719969.30771428347</c:v>
                </c:pt>
                <c:pt idx="1">
                  <c:v>620179.73445463181</c:v>
                </c:pt>
                <c:pt idx="2">
                  <c:v>520390.16119498014</c:v>
                </c:pt>
                <c:pt idx="3">
                  <c:v>420600.58793532848</c:v>
                </c:pt>
                <c:pt idx="4">
                  <c:v>320811.01467567682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DD-46BE-8D7E-73881F5B1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98447"/>
        <c:axId val="112124543"/>
      </c:scatterChart>
      <c:valAx>
        <c:axId val="110698447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124543"/>
        <c:crosses val="autoZero"/>
        <c:crossBetween val="midCat"/>
      </c:valAx>
      <c:valAx>
        <c:axId val="112124543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Población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069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Aproximación de la Recta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Linea Tendencia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xVal>
            <c:numRef>
              <c:f>Operaciones!$O$3:$O$29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Operaciones!$Q$3:$Q$29</c:f>
              <c:numCache>
                <c:formatCode>_(* #,##0.00_);_(* \(#,##0.00\);_(* "-"??_);_(@_)</c:formatCode>
                <c:ptCount val="27"/>
                <c:pt idx="0">
                  <c:v>4945910.2883677483</c:v>
                </c:pt>
                <c:pt idx="1">
                  <c:v>4754367.6565003991</c:v>
                </c:pt>
                <c:pt idx="2">
                  <c:v>4562825.0246331096</c:v>
                </c:pt>
                <c:pt idx="3">
                  <c:v>4371282.3927657604</c:v>
                </c:pt>
                <c:pt idx="4">
                  <c:v>4179739.7608984113</c:v>
                </c:pt>
                <c:pt idx="5">
                  <c:v>3988197.1290311217</c:v>
                </c:pt>
                <c:pt idx="6">
                  <c:v>3796654.4971637726</c:v>
                </c:pt>
                <c:pt idx="7">
                  <c:v>3605111.8652964234</c:v>
                </c:pt>
                <c:pt idx="8">
                  <c:v>3413569.2334291339</c:v>
                </c:pt>
                <c:pt idx="9">
                  <c:v>3222026.6015617847</c:v>
                </c:pt>
                <c:pt idx="10">
                  <c:v>3030483.9696944952</c:v>
                </c:pt>
                <c:pt idx="11">
                  <c:v>2838941.3378271461</c:v>
                </c:pt>
                <c:pt idx="12">
                  <c:v>2647398.7059597969</c:v>
                </c:pt>
                <c:pt idx="13">
                  <c:v>2455856.0740925074</c:v>
                </c:pt>
                <c:pt idx="14">
                  <c:v>2264313.4422251582</c:v>
                </c:pt>
                <c:pt idx="15">
                  <c:v>2072770.8103578687</c:v>
                </c:pt>
                <c:pt idx="16">
                  <c:v>1881228.1784905195</c:v>
                </c:pt>
                <c:pt idx="17">
                  <c:v>1689685.5466231704</c:v>
                </c:pt>
                <c:pt idx="18">
                  <c:v>1498142.9147558808</c:v>
                </c:pt>
                <c:pt idx="19">
                  <c:v>1306600.2828885317</c:v>
                </c:pt>
                <c:pt idx="20">
                  <c:v>1115057.6510211825</c:v>
                </c:pt>
                <c:pt idx="21">
                  <c:v>923515.01915389299</c:v>
                </c:pt>
                <c:pt idx="22">
                  <c:v>731972.38728654385</c:v>
                </c:pt>
                <c:pt idx="23">
                  <c:v>540429.7554192543</c:v>
                </c:pt>
                <c:pt idx="24">
                  <c:v>348887.12355190516</c:v>
                </c:pt>
                <c:pt idx="25">
                  <c:v>157344.49168455601</c:v>
                </c:pt>
                <c:pt idx="26">
                  <c:v>-34198.140182733536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21-43AF-944F-E62E07727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77823"/>
        <c:axId val="388678239"/>
      </c:scatterChart>
      <c:scatterChart>
        <c:scatterStyle val="lineMarker"/>
        <c:varyColors val="0"/>
        <c:ser>
          <c:idx val="0"/>
          <c:order val="0"/>
          <c:tx>
            <c:v>Datos Iniciales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xVal>
            <c:numRef>
              <c:f>Operaciones!$O$3:$O$29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Operaciones!$P$3:$P$29</c:f>
              <c:numCache>
                <c:formatCode>_(* #,##0.00_);_(* \(#,##0.00\);_(* "-"??_);_(@_)</c:formatCode>
                <c:ptCount val="27"/>
                <c:pt idx="0">
                  <c:v>4895639</c:v>
                </c:pt>
                <c:pt idx="1">
                  <c:v>4723373</c:v>
                </c:pt>
                <c:pt idx="2">
                  <c:v>6088309</c:v>
                </c:pt>
                <c:pt idx="3">
                  <c:v>4355474</c:v>
                </c:pt>
                <c:pt idx="4">
                  <c:v>4397395</c:v>
                </c:pt>
                <c:pt idx="5">
                  <c:v>3963501</c:v>
                </c:pt>
                <c:pt idx="6">
                  <c:v>3737912</c:v>
                </c:pt>
                <c:pt idx="7">
                  <c:v>3570720</c:v>
                </c:pt>
                <c:pt idx="8">
                  <c:v>3861196</c:v>
                </c:pt>
                <c:pt idx="9">
                  <c:v>3209585</c:v>
                </c:pt>
                <c:pt idx="10">
                  <c:v>2027139</c:v>
                </c:pt>
                <c:pt idx="11">
                  <c:v>2901506</c:v>
                </c:pt>
                <c:pt idx="12">
                  <c:v>2194510</c:v>
                </c:pt>
                <c:pt idx="13">
                  <c:v>2619621</c:v>
                </c:pt>
                <c:pt idx="14">
                  <c:v>1500398</c:v>
                </c:pt>
                <c:pt idx="15">
                  <c:v>1157694</c:v>
                </c:pt>
                <c:pt idx="16">
                  <c:v>975242</c:v>
                </c:pt>
                <c:pt idx="17">
                  <c:v>1953971</c:v>
                </c:pt>
                <c:pt idx="18">
                  <c:v>1234325</c:v>
                </c:pt>
                <c:pt idx="19">
                  <c:v>1482378</c:v>
                </c:pt>
                <c:pt idx="20">
                  <c:v>895500</c:v>
                </c:pt>
                <c:pt idx="21">
                  <c:v>895129</c:v>
                </c:pt>
                <c:pt idx="22">
                  <c:v>1073394</c:v>
                </c:pt>
                <c:pt idx="23">
                  <c:v>307892</c:v>
                </c:pt>
                <c:pt idx="24">
                  <c:v>1027402</c:v>
                </c:pt>
                <c:pt idx="25">
                  <c:v>1258909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1-43AF-944F-E62E07727EE3}"/>
            </c:ext>
          </c:extLst>
        </c:ser>
        <c:ser>
          <c:idx val="2"/>
          <c:order val="2"/>
          <c:tx>
            <c:v>Pronóstico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xVal>
            <c:numRef>
              <c:f>Operaciones!$O$30:$O$34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Operaciones!$Q$30:$Q$34</c:f>
              <c:numCache>
                <c:formatCode>_(* #,##0.00_);_(* \(#,##0.00\);_(* "-"??_);_(@_)</c:formatCode>
                <c:ptCount val="5"/>
                <c:pt idx="0">
                  <c:v>-225740.77205008268</c:v>
                </c:pt>
                <c:pt idx="1">
                  <c:v>-417283.40391737223</c:v>
                </c:pt>
                <c:pt idx="2">
                  <c:v>-608826.03578472137</c:v>
                </c:pt>
                <c:pt idx="3">
                  <c:v>-800368.66765207052</c:v>
                </c:pt>
                <c:pt idx="4">
                  <c:v>-991911.29951936007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21-43AF-944F-E62E07727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77823"/>
        <c:axId val="388678239"/>
      </c:scatterChart>
      <c:valAx>
        <c:axId val="388677823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Años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8678239"/>
        <c:crosses val="autoZero"/>
        <c:crossBetween val="midCat"/>
      </c:valAx>
      <c:valAx>
        <c:axId val="388678239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Población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8677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Aproximación Cuadrática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Linea Tendencia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xVal>
            <c:numRef>
              <c:f>Operaciones!$Q$53:$Q$79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Operaciones!$S$53:$S$79</c:f>
              <c:numCache>
                <c:formatCode>_(* #,##0.00_);_(* \(#,##0.00\);_(* "-"??_);_(@_)</c:formatCode>
                <c:ptCount val="27"/>
                <c:pt idx="0">
                  <c:v>5511660.9474258423</c:v>
                </c:pt>
                <c:pt idx="1">
                  <c:v>5189560.7914543152</c:v>
                </c:pt>
                <c:pt idx="2">
                  <c:v>4877905.2377967834</c:v>
                </c:pt>
                <c:pt idx="3">
                  <c:v>4576694.286441803</c:v>
                </c:pt>
                <c:pt idx="4">
                  <c:v>4285927.9374046326</c:v>
                </c:pt>
                <c:pt idx="5">
                  <c:v>4005606.190662384</c:v>
                </c:pt>
                <c:pt idx="6">
                  <c:v>3735729.0462303162</c:v>
                </c:pt>
                <c:pt idx="7">
                  <c:v>3476296.5041046143</c:v>
                </c:pt>
                <c:pt idx="8">
                  <c:v>3227308.564289093</c:v>
                </c:pt>
                <c:pt idx="9">
                  <c:v>2988765.226776123</c:v>
                </c:pt>
                <c:pt idx="10">
                  <c:v>2760666.4915733337</c:v>
                </c:pt>
                <c:pt idx="11">
                  <c:v>2543012.3586769104</c:v>
                </c:pt>
                <c:pt idx="12">
                  <c:v>2335802.828086853</c:v>
                </c:pt>
                <c:pt idx="13">
                  <c:v>2139037.8998069763</c:v>
                </c:pt>
                <c:pt idx="14">
                  <c:v>1952717.5738334656</c:v>
                </c:pt>
                <c:pt idx="15">
                  <c:v>1776841.8501625061</c:v>
                </c:pt>
                <c:pt idx="16">
                  <c:v>1611410.7288093567</c:v>
                </c:pt>
                <c:pt idx="17">
                  <c:v>1456424.2097587585</c:v>
                </c:pt>
                <c:pt idx="18">
                  <c:v>1311882.2930107117</c:v>
                </c:pt>
                <c:pt idx="19">
                  <c:v>1177784.9785728455</c:v>
                </c:pt>
                <c:pt idx="20">
                  <c:v>1054132.2664413452</c:v>
                </c:pt>
                <c:pt idx="21">
                  <c:v>940924.15661621094</c:v>
                </c:pt>
                <c:pt idx="22">
                  <c:v>838160.64909744263</c:v>
                </c:pt>
                <c:pt idx="23">
                  <c:v>745841.74388885498</c:v>
                </c:pt>
                <c:pt idx="24">
                  <c:v>663967.4409828186</c:v>
                </c:pt>
                <c:pt idx="25">
                  <c:v>592537.74038696289</c:v>
                </c:pt>
                <c:pt idx="26">
                  <c:v>531552.64210128784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C2-486D-AD4B-52690EB94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81295"/>
        <c:axId val="300379215"/>
      </c:scatterChart>
      <c:scatterChart>
        <c:scatterStyle val="lineMarker"/>
        <c:varyColors val="0"/>
        <c:ser>
          <c:idx val="0"/>
          <c:order val="0"/>
          <c:tx>
            <c:v>Datos Iniciales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xVal>
            <c:numRef>
              <c:f>Operaciones!$Q$53:$Q$79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Operaciones!$R$53:$R$79</c:f>
              <c:numCache>
                <c:formatCode>_(* #,##0.00_);_(* \(#,##0.00\);_(* "-"??_);_(@_)</c:formatCode>
                <c:ptCount val="27"/>
                <c:pt idx="0">
                  <c:v>4895639</c:v>
                </c:pt>
                <c:pt idx="1">
                  <c:v>4723373</c:v>
                </c:pt>
                <c:pt idx="2">
                  <c:v>6088309</c:v>
                </c:pt>
                <c:pt idx="3">
                  <c:v>4355474</c:v>
                </c:pt>
                <c:pt idx="4">
                  <c:v>4397395</c:v>
                </c:pt>
                <c:pt idx="5">
                  <c:v>3963501</c:v>
                </c:pt>
                <c:pt idx="6">
                  <c:v>3737912</c:v>
                </c:pt>
                <c:pt idx="7">
                  <c:v>3570720</c:v>
                </c:pt>
                <c:pt idx="8">
                  <c:v>3861196</c:v>
                </c:pt>
                <c:pt idx="9">
                  <c:v>3209585</c:v>
                </c:pt>
                <c:pt idx="10">
                  <c:v>2027139</c:v>
                </c:pt>
                <c:pt idx="11">
                  <c:v>2901506</c:v>
                </c:pt>
                <c:pt idx="12">
                  <c:v>2194510</c:v>
                </c:pt>
                <c:pt idx="13">
                  <c:v>2619621</c:v>
                </c:pt>
                <c:pt idx="14">
                  <c:v>1500398</c:v>
                </c:pt>
                <c:pt idx="15">
                  <c:v>1157694</c:v>
                </c:pt>
                <c:pt idx="16">
                  <c:v>975242</c:v>
                </c:pt>
                <c:pt idx="17">
                  <c:v>1953971</c:v>
                </c:pt>
                <c:pt idx="18">
                  <c:v>1234325</c:v>
                </c:pt>
                <c:pt idx="19">
                  <c:v>1482378</c:v>
                </c:pt>
                <c:pt idx="20">
                  <c:v>895500</c:v>
                </c:pt>
                <c:pt idx="21">
                  <c:v>895129</c:v>
                </c:pt>
                <c:pt idx="22">
                  <c:v>1073394</c:v>
                </c:pt>
                <c:pt idx="23">
                  <c:v>307892</c:v>
                </c:pt>
                <c:pt idx="24">
                  <c:v>1027402</c:v>
                </c:pt>
                <c:pt idx="25">
                  <c:v>1258909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C2-486D-AD4B-52690EB94E9B}"/>
            </c:ext>
          </c:extLst>
        </c:ser>
        <c:ser>
          <c:idx val="2"/>
          <c:order val="2"/>
          <c:tx>
            <c:v>Pronóstico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xVal>
            <c:numRef>
              <c:f>Operaciones!$Q$80:$Q$84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Operaciones!$R$80:$R$84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C2-486D-AD4B-52690EB94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81295"/>
        <c:axId val="300379215"/>
      </c:scatterChart>
      <c:valAx>
        <c:axId val="300381295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Años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0379215"/>
        <c:crosses val="autoZero"/>
        <c:crossBetween val="midCat"/>
      </c:valAx>
      <c:valAx>
        <c:axId val="300379215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Población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038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Aproximación Cuadrática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Datos Iniciales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xVal>
            <c:numRef>
              <c:f>Operaciones!$A$53:$A$79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Operaciones!$B$53:$B$79</c:f>
              <c:numCache>
                <c:formatCode>_(* #,##0.00_);_(* \(#,##0.00\);_(* "-"??_);_(@_)</c:formatCode>
                <c:ptCount val="27"/>
                <c:pt idx="0">
                  <c:v>3461428</c:v>
                </c:pt>
                <c:pt idx="1">
                  <c:v>3226306</c:v>
                </c:pt>
                <c:pt idx="2">
                  <c:v>3145806</c:v>
                </c:pt>
                <c:pt idx="3">
                  <c:v>3060907</c:v>
                </c:pt>
                <c:pt idx="4">
                  <c:v>2972637</c:v>
                </c:pt>
                <c:pt idx="5">
                  <c:v>3294894</c:v>
                </c:pt>
                <c:pt idx="6">
                  <c:v>2790984</c:v>
                </c:pt>
                <c:pt idx="7">
                  <c:v>2700511</c:v>
                </c:pt>
                <c:pt idx="8">
                  <c:v>2612586</c:v>
                </c:pt>
                <c:pt idx="9">
                  <c:v>2529098</c:v>
                </c:pt>
                <c:pt idx="10">
                  <c:v>1939390</c:v>
                </c:pt>
                <c:pt idx="11">
                  <c:v>2377636</c:v>
                </c:pt>
                <c:pt idx="12">
                  <c:v>2305968</c:v>
                </c:pt>
                <c:pt idx="13">
                  <c:v>2233776</c:v>
                </c:pt>
                <c:pt idx="14">
                  <c:v>2158422</c:v>
                </c:pt>
                <c:pt idx="15">
                  <c:v>1385140</c:v>
                </c:pt>
                <c:pt idx="16">
                  <c:v>1987406</c:v>
                </c:pt>
                <c:pt idx="17">
                  <c:v>1886241</c:v>
                </c:pt>
                <c:pt idx="18">
                  <c:v>1433813</c:v>
                </c:pt>
                <c:pt idx="19">
                  <c:v>1790656</c:v>
                </c:pt>
                <c:pt idx="20">
                  <c:v>1474432</c:v>
                </c:pt>
                <c:pt idx="21">
                  <c:v>1534389</c:v>
                </c:pt>
                <c:pt idx="22">
                  <c:v>1391360</c:v>
                </c:pt>
                <c:pt idx="23">
                  <c:v>1051290</c:v>
                </c:pt>
                <c:pt idx="24">
                  <c:v>1055753</c:v>
                </c:pt>
                <c:pt idx="25">
                  <c:v>874435</c:v>
                </c:pt>
                <c:pt idx="26">
                  <c:v>484366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7-48D9-AAAD-5A17022C6B10}"/>
            </c:ext>
          </c:extLst>
        </c:ser>
        <c:ser>
          <c:idx val="2"/>
          <c:order val="1"/>
          <c:tx>
            <c:v>Pronóstico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xVal>
            <c:numRef>
              <c:f>Operaciones!$A$80:$A$84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Operaciones!$B$80:$B$84</c:f>
              <c:numCache>
                <c:formatCode>_(* #,##0.00_);_(* \(#,##0.00\);_(* "-"??_);_(@_)</c:formatCode>
                <c:ptCount val="5"/>
                <c:pt idx="0">
                  <c:v>719969.307692306</c:v>
                </c:pt>
                <c:pt idx="1">
                  <c:v>620179.73443223594</c:v>
                </c:pt>
                <c:pt idx="2">
                  <c:v>520390.161172166</c:v>
                </c:pt>
                <c:pt idx="3">
                  <c:v>420600.58791208599</c:v>
                </c:pt>
                <c:pt idx="4">
                  <c:v>320811.01465201599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37-48D9-AAAD-5A17022C6B10}"/>
            </c:ext>
          </c:extLst>
        </c:ser>
        <c:ser>
          <c:idx val="1"/>
          <c:order val="2"/>
          <c:tx>
            <c:v>Linea Tendencia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xVal>
            <c:numRef>
              <c:f>Operaciones!$A$53:$A$79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Operaciones!$C$53:$C$79</c:f>
              <c:numCache>
                <c:formatCode>_(* #,##0.00_);_(* \(#,##0.00\);_(* "-"??_);_(@_)</c:formatCode>
                <c:ptCount val="27"/>
                <c:pt idx="0">
                  <c:v>3372112.4761095047</c:v>
                </c:pt>
                <c:pt idx="1">
                  <c:v>3282055.9625263214</c:v>
                </c:pt>
                <c:pt idx="2">
                  <c:v>3191220.8044924736</c:v>
                </c:pt>
                <c:pt idx="3">
                  <c:v>3099607.002007246</c:v>
                </c:pt>
                <c:pt idx="4">
                  <c:v>3007214.5550713539</c:v>
                </c:pt>
                <c:pt idx="5">
                  <c:v>2914043.4636847973</c:v>
                </c:pt>
                <c:pt idx="6">
                  <c:v>2820093.7278470993</c:v>
                </c:pt>
                <c:pt idx="7">
                  <c:v>2725365.3475587368</c:v>
                </c:pt>
                <c:pt idx="8">
                  <c:v>2629858.3228194714</c:v>
                </c:pt>
                <c:pt idx="9">
                  <c:v>2533572.6536290646</c:v>
                </c:pt>
                <c:pt idx="10">
                  <c:v>2436508.3399882317</c:v>
                </c:pt>
                <c:pt idx="11">
                  <c:v>2338665.3818962574</c:v>
                </c:pt>
                <c:pt idx="12">
                  <c:v>2240043.7793531418</c:v>
                </c:pt>
                <c:pt idx="13">
                  <c:v>2140643.5323596001</c:v>
                </c:pt>
                <c:pt idx="14">
                  <c:v>2040464.6409153938</c:v>
                </c:pt>
                <c:pt idx="15">
                  <c:v>1939507.1050195694</c:v>
                </c:pt>
                <c:pt idx="16">
                  <c:v>1837770.9246735573</c:v>
                </c:pt>
                <c:pt idx="17">
                  <c:v>1735256.0998764038</c:v>
                </c:pt>
                <c:pt idx="18">
                  <c:v>1631962.630628109</c:v>
                </c:pt>
                <c:pt idx="19">
                  <c:v>1527890.516929388</c:v>
                </c:pt>
                <c:pt idx="20">
                  <c:v>1423039.7587797642</c:v>
                </c:pt>
                <c:pt idx="21">
                  <c:v>1317410.3561787605</c:v>
                </c:pt>
                <c:pt idx="22">
                  <c:v>1211002.3091275692</c:v>
                </c:pt>
                <c:pt idx="23">
                  <c:v>1103815.6176252365</c:v>
                </c:pt>
                <c:pt idx="24">
                  <c:v>995850.28167176247</c:v>
                </c:pt>
                <c:pt idx="25">
                  <c:v>887106.30126786232</c:v>
                </c:pt>
                <c:pt idx="26">
                  <c:v>777583.67641282082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37-48D9-AAAD-5A17022C6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656912"/>
        <c:axId val="1763657328"/>
      </c:scatterChart>
      <c:valAx>
        <c:axId val="1763656912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Años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3657328"/>
        <c:crosses val="autoZero"/>
        <c:crossBetween val="midCat"/>
      </c:valAx>
      <c:valAx>
        <c:axId val="176365732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Población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365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Aproximación Logarítmica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xVal>
            <c:numRef>
              <c:f>Operaciones!$A$160:$A$186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Operaciones!$D$160:$D$186</c:f>
              <c:numCache>
                <c:formatCode>_(* #,##0.0000000_);_(* \(#,##0.0000000\);_(* "-"??_);_(@_)</c:formatCode>
                <c:ptCount val="27"/>
                <c:pt idx="0">
                  <c:v>15.181053823770057</c:v>
                </c:pt>
                <c:pt idx="1">
                  <c:v>15.126686444396611</c:v>
                </c:pt>
                <c:pt idx="2">
                  <c:v>15.072319065023166</c:v>
                </c:pt>
                <c:pt idx="3">
                  <c:v>15.01795168564972</c:v>
                </c:pt>
                <c:pt idx="4">
                  <c:v>14.96358430627626</c:v>
                </c:pt>
                <c:pt idx="5">
                  <c:v>14.909216926902815</c:v>
                </c:pt>
                <c:pt idx="6">
                  <c:v>14.854849547529369</c:v>
                </c:pt>
                <c:pt idx="7">
                  <c:v>14.800482168155924</c:v>
                </c:pt>
                <c:pt idx="8">
                  <c:v>14.746114788782464</c:v>
                </c:pt>
                <c:pt idx="9">
                  <c:v>14.691747409409018</c:v>
                </c:pt>
                <c:pt idx="10">
                  <c:v>14.637380030035573</c:v>
                </c:pt>
                <c:pt idx="11">
                  <c:v>14.583012650662113</c:v>
                </c:pt>
                <c:pt idx="12">
                  <c:v>14.528645271288667</c:v>
                </c:pt>
                <c:pt idx="13">
                  <c:v>14.474277891915222</c:v>
                </c:pt>
                <c:pt idx="14">
                  <c:v>14.419910512541776</c:v>
                </c:pt>
                <c:pt idx="15">
                  <c:v>14.365543133168316</c:v>
                </c:pt>
                <c:pt idx="16">
                  <c:v>14.311175753794871</c:v>
                </c:pt>
                <c:pt idx="17">
                  <c:v>14.256808374421425</c:v>
                </c:pt>
                <c:pt idx="18">
                  <c:v>14.202440995047979</c:v>
                </c:pt>
                <c:pt idx="19">
                  <c:v>14.148073615674519</c:v>
                </c:pt>
                <c:pt idx="20">
                  <c:v>14.093706236301074</c:v>
                </c:pt>
                <c:pt idx="21">
                  <c:v>14.039338856927628</c:v>
                </c:pt>
                <c:pt idx="22">
                  <c:v>13.984971477554183</c:v>
                </c:pt>
                <c:pt idx="23">
                  <c:v>13.930604098180723</c:v>
                </c:pt>
                <c:pt idx="24">
                  <c:v>13.876236718807277</c:v>
                </c:pt>
                <c:pt idx="25">
                  <c:v>13.821869339433832</c:v>
                </c:pt>
                <c:pt idx="26">
                  <c:v>13.767501960060372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1D-4E74-8151-ED950263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56783"/>
        <c:axId val="534757615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xVal>
            <c:numRef>
              <c:f>Operaciones!$A$160:$A$186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Operaciones!$C$160:$C$186</c:f>
              <c:numCache>
                <c:formatCode>_(* #,##0.00000_);_(* \(#,##0.00000\);_(* "-"??_);_(@_)</c:formatCode>
                <c:ptCount val="27"/>
                <c:pt idx="0">
                  <c:v>15.057191778652776</c:v>
                </c:pt>
                <c:pt idx="1">
                  <c:v>14.986848387477647</c:v>
                </c:pt>
                <c:pt idx="2">
                  <c:v>14.961580695091838</c:v>
                </c:pt>
                <c:pt idx="3">
                  <c:v>14.93422183523797</c:v>
                </c:pt>
                <c:pt idx="4">
                  <c:v>14.904959995635549</c:v>
                </c:pt>
                <c:pt idx="5">
                  <c:v>15.007884555446804</c:v>
                </c:pt>
                <c:pt idx="6">
                  <c:v>14.841904779789738</c:v>
                </c:pt>
                <c:pt idx="7">
                  <c:v>14.808951572326542</c:v>
                </c:pt>
                <c:pt idx="8">
                  <c:v>14.775851093373683</c:v>
                </c:pt>
                <c:pt idx="9">
                  <c:v>14.743373275395587</c:v>
                </c:pt>
                <c:pt idx="10">
                  <c:v>14.477884048605402</c:v>
                </c:pt>
                <c:pt idx="11">
                  <c:v>14.681617274709925</c:v>
                </c:pt>
                <c:pt idx="12">
                  <c:v>14.651011102871839</c:v>
                </c:pt>
                <c:pt idx="13">
                  <c:v>14.619203985007509</c:v>
                </c:pt>
                <c:pt idx="14">
                  <c:v>14.584887957119042</c:v>
                </c:pt>
                <c:pt idx="15">
                  <c:v>14.141311775527521</c:v>
                </c:pt>
                <c:pt idx="16">
                  <c:v>14.502340828794667</c:v>
                </c:pt>
                <c:pt idx="17">
                  <c:v>14.450096517681043</c:v>
                </c:pt>
                <c:pt idx="18">
                  <c:v>14.17584788717526</c:v>
                </c:pt>
                <c:pt idx="19">
                  <c:v>14.398092591126309</c:v>
                </c:pt>
                <c:pt idx="20">
                  <c:v>14.203783388846123</c:v>
                </c:pt>
                <c:pt idx="21">
                  <c:v>14.243642814159649</c:v>
                </c:pt>
                <c:pt idx="22">
                  <c:v>14.145792244034872</c:v>
                </c:pt>
                <c:pt idx="23">
                  <c:v>13.865528539485961</c:v>
                </c:pt>
                <c:pt idx="24">
                  <c:v>13.869764814373967</c:v>
                </c:pt>
                <c:pt idx="25">
                  <c:v>13.681333242490782</c:v>
                </c:pt>
                <c:pt idx="26">
                  <c:v>13.090596098271964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1D-4E74-8151-ED9502634F22}"/>
            </c:ext>
          </c:extLst>
        </c:ser>
        <c:ser>
          <c:idx val="2"/>
          <c:order val="2"/>
          <c:tx>
            <c:v>Pronóstico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xVal>
            <c:numRef>
              <c:f>Operaciones!$A$187:$A$192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Operaciones!$D$187:$D$191</c:f>
              <c:numCache>
                <c:formatCode>_(* #,##0.0000000_);_(* \(#,##0.0000000\);_(* "-"??_);_(@_)</c:formatCode>
                <c:ptCount val="5"/>
                <c:pt idx="0">
                  <c:v>13.713134580686926</c:v>
                </c:pt>
                <c:pt idx="1">
                  <c:v>13.658767201313481</c:v>
                </c:pt>
                <c:pt idx="2">
                  <c:v>13.604399821940035</c:v>
                </c:pt>
                <c:pt idx="3">
                  <c:v>13.550032442566575</c:v>
                </c:pt>
                <c:pt idx="4">
                  <c:v>13.49566506319313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1D-4E74-8151-ED950263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56783"/>
        <c:axId val="534757615"/>
      </c:scatterChart>
      <c:valAx>
        <c:axId val="534756783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Años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4757615"/>
        <c:crosses val="autoZero"/>
        <c:crossBetween val="midCat"/>
      </c:valAx>
      <c:valAx>
        <c:axId val="534757615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Ln(x)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.0000000_);_(* \(#,##0.000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475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Aproximación Logarítmica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Linea Tendencia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xVal>
            <c:numRef>
              <c:f>Operaciones!$O$160:$O$186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Operaciones!$R$160:$R$186</c:f>
              <c:numCache>
                <c:formatCode>_(* #,##0.00000000_);_(* \(#,##0.00000000\);_(* "-"??_);_(@_)</c:formatCode>
                <c:ptCount val="27"/>
                <c:pt idx="0">
                  <c:v>16.487360585859392</c:v>
                </c:pt>
                <c:pt idx="1">
                  <c:v>16.295567626920672</c:v>
                </c:pt>
                <c:pt idx="2">
                  <c:v>16.103774667981952</c:v>
                </c:pt>
                <c:pt idx="3">
                  <c:v>15.911981709043232</c:v>
                </c:pt>
                <c:pt idx="4">
                  <c:v>15.720188750104455</c:v>
                </c:pt>
                <c:pt idx="5">
                  <c:v>15.528395791165735</c:v>
                </c:pt>
                <c:pt idx="6">
                  <c:v>15.336602832227015</c:v>
                </c:pt>
                <c:pt idx="7">
                  <c:v>15.144809873288295</c:v>
                </c:pt>
                <c:pt idx="8">
                  <c:v>14.953016914349575</c:v>
                </c:pt>
                <c:pt idx="9">
                  <c:v>14.761223955410856</c:v>
                </c:pt>
                <c:pt idx="10">
                  <c:v>14.569430996472136</c:v>
                </c:pt>
                <c:pt idx="11">
                  <c:v>14.377638037533359</c:v>
                </c:pt>
                <c:pt idx="12">
                  <c:v>14.185845078594639</c:v>
                </c:pt>
                <c:pt idx="13">
                  <c:v>13.994052119655919</c:v>
                </c:pt>
                <c:pt idx="14">
                  <c:v>13.802259160717199</c:v>
                </c:pt>
                <c:pt idx="15">
                  <c:v>13.610466201778479</c:v>
                </c:pt>
                <c:pt idx="16">
                  <c:v>13.418673242839759</c:v>
                </c:pt>
                <c:pt idx="17">
                  <c:v>13.226880283900982</c:v>
                </c:pt>
                <c:pt idx="18">
                  <c:v>13.035087324962262</c:v>
                </c:pt>
                <c:pt idx="19">
                  <c:v>12.843294366023542</c:v>
                </c:pt>
                <c:pt idx="20">
                  <c:v>12.651501407084822</c:v>
                </c:pt>
                <c:pt idx="21">
                  <c:v>12.459708448146102</c:v>
                </c:pt>
                <c:pt idx="22">
                  <c:v>12.267915489207383</c:v>
                </c:pt>
                <c:pt idx="23">
                  <c:v>12.076122530268663</c:v>
                </c:pt>
                <c:pt idx="24">
                  <c:v>11.884329571329886</c:v>
                </c:pt>
                <c:pt idx="25">
                  <c:v>11.692536612391166</c:v>
                </c:pt>
                <c:pt idx="26">
                  <c:v>11.500743653452446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BA-46CA-802E-795084684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731695"/>
        <c:axId val="631735855"/>
      </c:scatterChart>
      <c:scatterChart>
        <c:scatterStyle val="lineMarker"/>
        <c:varyColors val="0"/>
        <c:ser>
          <c:idx val="0"/>
          <c:order val="0"/>
          <c:tx>
            <c:v>Datos Iniciales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xVal>
            <c:numRef>
              <c:f>Operaciones!$O$160:$O$186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Operaciones!$Q$160:$Q$186</c:f>
              <c:numCache>
                <c:formatCode>_(* #,##0.0000000_);_(* \(#,##0.0000000\);_(* "-"??_);_(@_)</c:formatCode>
                <c:ptCount val="27"/>
                <c:pt idx="0">
                  <c:v>15.403855366795709</c:v>
                </c:pt>
                <c:pt idx="1">
                  <c:v>15.368033720987485</c:v>
                </c:pt>
                <c:pt idx="2">
                  <c:v>15.621880932820394</c:v>
                </c:pt>
                <c:pt idx="3">
                  <c:v>15.28694400275937</c:v>
                </c:pt>
                <c:pt idx="4">
                  <c:v>15.296522878105829</c:v>
                </c:pt>
                <c:pt idx="5">
                  <c:v>15.192638283561575</c:v>
                </c:pt>
                <c:pt idx="6">
                  <c:v>15.134037724719457</c:v>
                </c:pt>
                <c:pt idx="7">
                  <c:v>15.088277814093278</c:v>
                </c:pt>
                <c:pt idx="8">
                  <c:v>15.166487538008687</c:v>
                </c:pt>
                <c:pt idx="9">
                  <c:v>14.981652203259271</c:v>
                </c:pt>
                <c:pt idx="10">
                  <c:v>14.522135997330688</c:v>
                </c:pt>
                <c:pt idx="11">
                  <c:v>14.880740470506577</c:v>
                </c:pt>
                <c:pt idx="12">
                  <c:v>14.601469344946706</c:v>
                </c:pt>
                <c:pt idx="13">
                  <c:v>14.778540208784971</c:v>
                </c:pt>
                <c:pt idx="14">
                  <c:v>14.221240964211109</c:v>
                </c:pt>
                <c:pt idx="15">
                  <c:v>13.961940653490574</c:v>
                </c:pt>
                <c:pt idx="16">
                  <c:v>13.790440924310392</c:v>
                </c:pt>
                <c:pt idx="17">
                  <c:v>14.485374270123657</c:v>
                </c:pt>
                <c:pt idx="18">
                  <c:v>14.026034819922106</c:v>
                </c:pt>
                <c:pt idx="19">
                  <c:v>14.209158113044456</c:v>
                </c:pt>
                <c:pt idx="20">
                  <c:v>13.705137500482904</c:v>
                </c:pt>
                <c:pt idx="21">
                  <c:v>13.704723120948886</c:v>
                </c:pt>
                <c:pt idx="22">
                  <c:v>13.886336148994319</c:v>
                </c:pt>
                <c:pt idx="23">
                  <c:v>12.637504351113204</c:v>
                </c:pt>
                <c:pt idx="24">
                  <c:v>13.842543843674886</c:v>
                </c:pt>
                <c:pt idx="25">
                  <c:v>14.045756030827215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BA-46CA-802E-795084684C31}"/>
            </c:ext>
          </c:extLst>
        </c:ser>
        <c:ser>
          <c:idx val="2"/>
          <c:order val="2"/>
          <c:tx>
            <c:v>Pronóstico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xVal>
            <c:numRef>
              <c:f>Operaciones!$O$187:$O$191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Operaciones!$R$187:$R$191</c:f>
              <c:numCache>
                <c:formatCode>_(* #,##0.00000000_);_(* \(#,##0.00000000\);_(* "-"??_);_(@_)</c:formatCode>
                <c:ptCount val="5"/>
                <c:pt idx="0">
                  <c:v>11.308950694513726</c:v>
                </c:pt>
                <c:pt idx="1">
                  <c:v>11.117157735575006</c:v>
                </c:pt>
                <c:pt idx="2">
                  <c:v>10.925364776636286</c:v>
                </c:pt>
                <c:pt idx="3">
                  <c:v>10.733571817697509</c:v>
                </c:pt>
                <c:pt idx="4">
                  <c:v>10.541778858758789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BA-46CA-802E-795084684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731695"/>
        <c:axId val="631735855"/>
      </c:scatterChart>
      <c:valAx>
        <c:axId val="631731695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Años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1735855"/>
        <c:crosses val="autoZero"/>
        <c:crossBetween val="midCat"/>
      </c:valAx>
      <c:valAx>
        <c:axId val="631735855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Ln(x)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.00000000_);_(* \(#,##0.0000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173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Aproximación Cúbica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Linea Tendencia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xVal>
            <c:numRef>
              <c:f>Operaciones!$A$105:$A$131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Operaciones!$C$105:$C$131</c:f>
              <c:numCache>
                <c:formatCode>_(* #,##0.00_);_(* \(#,##0.00\);_(* "-"??_);_(@_)</c:formatCode>
                <c:ptCount val="27"/>
                <c:pt idx="0">
                  <c:v>2861312.3859863281</c:v>
                </c:pt>
                <c:pt idx="1">
                  <c:v>2739295.3591308594</c:v>
                </c:pt>
                <c:pt idx="2">
                  <c:v>2622771.9799804688</c:v>
                </c:pt>
                <c:pt idx="3">
                  <c:v>2511219.4801025391</c:v>
                </c:pt>
                <c:pt idx="4">
                  <c:v>2404115.0911865234</c:v>
                </c:pt>
                <c:pt idx="5">
                  <c:v>2300936.0444335938</c:v>
                </c:pt>
                <c:pt idx="6">
                  <c:v>2201159.5715332031</c:v>
                </c:pt>
                <c:pt idx="7">
                  <c:v>2104262.9040527344</c:v>
                </c:pt>
                <c:pt idx="8">
                  <c:v>2009723.2736816406</c:v>
                </c:pt>
                <c:pt idx="9">
                  <c:v>1917017.9116210938</c:v>
                </c:pt>
                <c:pt idx="10">
                  <c:v>1825624.0496826172</c:v>
                </c:pt>
                <c:pt idx="11">
                  <c:v>1735018.9194335938</c:v>
                </c:pt>
                <c:pt idx="12">
                  <c:v>1644679.7524414063</c:v>
                </c:pt>
                <c:pt idx="13">
                  <c:v>1554083.7800292969</c:v>
                </c:pt>
                <c:pt idx="14">
                  <c:v>1462708.2337646484</c:v>
                </c:pt>
                <c:pt idx="15">
                  <c:v>1370030.3454589844</c:v>
                </c:pt>
                <c:pt idx="16">
                  <c:v>1275527.3463134766</c:v>
                </c:pt>
                <c:pt idx="17">
                  <c:v>1178676.4677734375</c:v>
                </c:pt>
                <c:pt idx="18">
                  <c:v>1078954.9421386719</c:v>
                </c:pt>
                <c:pt idx="19">
                  <c:v>975840.00012207031</c:v>
                </c:pt>
                <c:pt idx="20">
                  <c:v>868808.87365722656</c:v>
                </c:pt>
                <c:pt idx="21">
                  <c:v>757338.79443359375</c:v>
                </c:pt>
                <c:pt idx="22">
                  <c:v>640906.99353027344</c:v>
                </c:pt>
                <c:pt idx="23">
                  <c:v>518990.70300292969</c:v>
                </c:pt>
                <c:pt idx="24">
                  <c:v>391067.15393066406</c:v>
                </c:pt>
                <c:pt idx="25">
                  <c:v>256613.57824707031</c:v>
                </c:pt>
                <c:pt idx="26">
                  <c:v>115107.20715332031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1E-49C7-B37A-92118B562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41087"/>
        <c:axId val="481741919"/>
      </c:scatterChart>
      <c:scatterChart>
        <c:scatterStyle val="lineMarker"/>
        <c:varyColors val="0"/>
        <c:ser>
          <c:idx val="0"/>
          <c:order val="0"/>
          <c:tx>
            <c:v>Datos Iniciales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xVal>
            <c:numRef>
              <c:f>Operaciones!$A$105:$A$131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Operaciones!$B$105:$B$131</c:f>
              <c:numCache>
                <c:formatCode>_(* #,##0.00_);_(* \(#,##0.00\);_(* "-"??_);_(@_)</c:formatCode>
                <c:ptCount val="27"/>
                <c:pt idx="0">
                  <c:v>3461428</c:v>
                </c:pt>
                <c:pt idx="1">
                  <c:v>3226306</c:v>
                </c:pt>
                <c:pt idx="2">
                  <c:v>3145806</c:v>
                </c:pt>
                <c:pt idx="3">
                  <c:v>3060907</c:v>
                </c:pt>
                <c:pt idx="4">
                  <c:v>2972637</c:v>
                </c:pt>
                <c:pt idx="5">
                  <c:v>3294894</c:v>
                </c:pt>
                <c:pt idx="6">
                  <c:v>2790984</c:v>
                </c:pt>
                <c:pt idx="7">
                  <c:v>2700511</c:v>
                </c:pt>
                <c:pt idx="8">
                  <c:v>2612586</c:v>
                </c:pt>
                <c:pt idx="9">
                  <c:v>2529098</c:v>
                </c:pt>
                <c:pt idx="10">
                  <c:v>1939390</c:v>
                </c:pt>
                <c:pt idx="11">
                  <c:v>2377636</c:v>
                </c:pt>
                <c:pt idx="12">
                  <c:v>2305968</c:v>
                </c:pt>
                <c:pt idx="13">
                  <c:v>2233776</c:v>
                </c:pt>
                <c:pt idx="14">
                  <c:v>2158422</c:v>
                </c:pt>
                <c:pt idx="15">
                  <c:v>1385140</c:v>
                </c:pt>
                <c:pt idx="16">
                  <c:v>1987406</c:v>
                </c:pt>
                <c:pt idx="17">
                  <c:v>1886241</c:v>
                </c:pt>
                <c:pt idx="18">
                  <c:v>1433813</c:v>
                </c:pt>
                <c:pt idx="19">
                  <c:v>1790656</c:v>
                </c:pt>
                <c:pt idx="20">
                  <c:v>1474432</c:v>
                </c:pt>
                <c:pt idx="21">
                  <c:v>1534389</c:v>
                </c:pt>
                <c:pt idx="22">
                  <c:v>1391360</c:v>
                </c:pt>
                <c:pt idx="23">
                  <c:v>1051290</c:v>
                </c:pt>
                <c:pt idx="24">
                  <c:v>1055753</c:v>
                </c:pt>
                <c:pt idx="25">
                  <c:v>874435</c:v>
                </c:pt>
                <c:pt idx="26">
                  <c:v>484366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1E-49C7-B37A-92118B5627DA}"/>
            </c:ext>
          </c:extLst>
        </c:ser>
        <c:ser>
          <c:idx val="2"/>
          <c:order val="2"/>
          <c:tx>
            <c:v>Pronóstico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xVal>
            <c:numRef>
              <c:f>Operaciones!$A$132:$A$136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Operaciones!$C$132:$C$136</c:f>
              <c:numCache>
                <c:formatCode>_(* #,##0.00_);_(* \(#,##0.00\);_(* "-"??_);_(@_)</c:formatCode>
                <c:ptCount val="5"/>
                <c:pt idx="0">
                  <c:v>-33974.727905273438</c:v>
                </c:pt>
                <c:pt idx="1">
                  <c:v>-191154.99475097656</c:v>
                </c:pt>
                <c:pt idx="2">
                  <c:v>-356956.36242675781</c:v>
                </c:pt>
                <c:pt idx="3">
                  <c:v>-531901.59887695313</c:v>
                </c:pt>
                <c:pt idx="4">
                  <c:v>-716513.47314453125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1E-49C7-B37A-92118B562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41087"/>
        <c:axId val="481741919"/>
      </c:scatterChart>
      <c:valAx>
        <c:axId val="481741087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1741919"/>
        <c:crosses val="autoZero"/>
        <c:crossBetween val="midCat"/>
      </c:valAx>
      <c:valAx>
        <c:axId val="481741919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1741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Aproximación Cúbica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Linea Tendencia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xVal>
            <c:numRef>
              <c:f>Operaciones!$Q$105:$Q$131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Operaciones!$S$105:$S$131</c:f>
              <c:numCache>
                <c:formatCode>_(* #,##0.00_);_(* \(#,##0.00\);_(* "-"??_);_(@_)</c:formatCode>
                <c:ptCount val="27"/>
                <c:pt idx="0">
                  <c:v>4689235.8791503906</c:v>
                </c:pt>
                <c:pt idx="1">
                  <c:v>4419091.1628417969</c:v>
                </c:pt>
                <c:pt idx="2">
                  <c:v>4148854.5732421875</c:v>
                </c:pt>
                <c:pt idx="3">
                  <c:v>3879404.1887207031</c:v>
                </c:pt>
                <c:pt idx="4">
                  <c:v>3611618.0854492188</c:v>
                </c:pt>
                <c:pt idx="5">
                  <c:v>3346374.3403320313</c:v>
                </c:pt>
                <c:pt idx="6">
                  <c:v>3084551.0302734375</c:v>
                </c:pt>
                <c:pt idx="7">
                  <c:v>2827026.232421875</c:v>
                </c:pt>
                <c:pt idx="8">
                  <c:v>2574678.0231933594</c:v>
                </c:pt>
                <c:pt idx="9">
                  <c:v>2328384.4790039063</c:v>
                </c:pt>
                <c:pt idx="10">
                  <c:v>2089023.6772460938</c:v>
                </c:pt>
                <c:pt idx="11">
                  <c:v>1857473.6948242188</c:v>
                </c:pt>
                <c:pt idx="12">
                  <c:v>1634612.6079101563</c:v>
                </c:pt>
                <c:pt idx="13">
                  <c:v>1421318.4948730469</c:v>
                </c:pt>
                <c:pt idx="14">
                  <c:v>1218469.4301757813</c:v>
                </c:pt>
                <c:pt idx="15">
                  <c:v>1026943.4924316406</c:v>
                </c:pt>
                <c:pt idx="16">
                  <c:v>847618.75805664063</c:v>
                </c:pt>
                <c:pt idx="17">
                  <c:v>681373.30322265625</c:v>
                </c:pt>
                <c:pt idx="18">
                  <c:v>529085.20556640625</c:v>
                </c:pt>
                <c:pt idx="19">
                  <c:v>391632.54223632813</c:v>
                </c:pt>
                <c:pt idx="20">
                  <c:v>269893.388671875</c:v>
                </c:pt>
                <c:pt idx="21">
                  <c:v>164745.82275390625</c:v>
                </c:pt>
                <c:pt idx="22">
                  <c:v>77067.9208984375</c:v>
                </c:pt>
                <c:pt idx="23">
                  <c:v>7737.76025390625</c:v>
                </c:pt>
                <c:pt idx="24">
                  <c:v>-42366.582763671875</c:v>
                </c:pt>
                <c:pt idx="25">
                  <c:v>-72367.03076171875</c:v>
                </c:pt>
                <c:pt idx="26">
                  <c:v>-81385.507568359375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56-4E20-A9DE-8CC6CEF3D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69103"/>
        <c:axId val="543070767"/>
      </c:scatterChart>
      <c:scatterChart>
        <c:scatterStyle val="lineMarker"/>
        <c:varyColors val="0"/>
        <c:ser>
          <c:idx val="0"/>
          <c:order val="0"/>
          <c:tx>
            <c:v>Datos Iniciales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xVal>
            <c:numRef>
              <c:f>Operaciones!$Q$105:$Q$131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Operaciones!$R$105:$R$131</c:f>
              <c:numCache>
                <c:formatCode>_(* #,##0.00_);_(* \(#,##0.00\);_(* "-"??_);_(@_)</c:formatCode>
                <c:ptCount val="27"/>
                <c:pt idx="0">
                  <c:v>4895639</c:v>
                </c:pt>
                <c:pt idx="1">
                  <c:v>4723373</c:v>
                </c:pt>
                <c:pt idx="2">
                  <c:v>6088309</c:v>
                </c:pt>
                <c:pt idx="3">
                  <c:v>4355474</c:v>
                </c:pt>
                <c:pt idx="4">
                  <c:v>4397395</c:v>
                </c:pt>
                <c:pt idx="5">
                  <c:v>3963501</c:v>
                </c:pt>
                <c:pt idx="6">
                  <c:v>3737912</c:v>
                </c:pt>
                <c:pt idx="7">
                  <c:v>3570720</c:v>
                </c:pt>
                <c:pt idx="8">
                  <c:v>3861196</c:v>
                </c:pt>
                <c:pt idx="9">
                  <c:v>3209585</c:v>
                </c:pt>
                <c:pt idx="10">
                  <c:v>2027139</c:v>
                </c:pt>
                <c:pt idx="11">
                  <c:v>2901506</c:v>
                </c:pt>
                <c:pt idx="12">
                  <c:v>2194510</c:v>
                </c:pt>
                <c:pt idx="13">
                  <c:v>2619621</c:v>
                </c:pt>
                <c:pt idx="14">
                  <c:v>1500398</c:v>
                </c:pt>
                <c:pt idx="15">
                  <c:v>1157694</c:v>
                </c:pt>
                <c:pt idx="16">
                  <c:v>975242</c:v>
                </c:pt>
                <c:pt idx="17">
                  <c:v>1953971</c:v>
                </c:pt>
                <c:pt idx="18">
                  <c:v>1234325</c:v>
                </c:pt>
                <c:pt idx="19">
                  <c:v>1482378</c:v>
                </c:pt>
                <c:pt idx="20">
                  <c:v>895500</c:v>
                </c:pt>
                <c:pt idx="21">
                  <c:v>895129</c:v>
                </c:pt>
                <c:pt idx="22">
                  <c:v>1073394</c:v>
                </c:pt>
                <c:pt idx="23">
                  <c:v>307892</c:v>
                </c:pt>
                <c:pt idx="24">
                  <c:v>1027402</c:v>
                </c:pt>
                <c:pt idx="25">
                  <c:v>1258909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56-4E20-A9DE-8CC6CEF3DE09}"/>
            </c:ext>
          </c:extLst>
        </c:ser>
        <c:ser>
          <c:idx val="2"/>
          <c:order val="2"/>
          <c:tx>
            <c:v>Pronóstico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xVal>
            <c:numRef>
              <c:f>Operaciones!$Q$132:$Q$136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Operaciones!$S$132:$S$136</c:f>
              <c:numCache>
                <c:formatCode>_(* #,##0.00_);_(* \(#,##0.00\);_(* "-"??_);_(@_)</c:formatCode>
                <c:ptCount val="5"/>
                <c:pt idx="0">
                  <c:v>-68543.936279296875</c:v>
                </c:pt>
                <c:pt idx="1">
                  <c:v>-32964.239501953125</c:v>
                </c:pt>
                <c:pt idx="2">
                  <c:v>26231.6591796875</c:v>
                </c:pt>
                <c:pt idx="3">
                  <c:v>109921.8359375</c:v>
                </c:pt>
                <c:pt idx="4">
                  <c:v>218984.36938476563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56-4E20-A9DE-8CC6CEF3D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69103"/>
        <c:axId val="543070767"/>
      </c:scatterChart>
      <c:valAx>
        <c:axId val="543069103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3070767"/>
        <c:crosses val="autoZero"/>
        <c:crossBetween val="midCat"/>
      </c:valAx>
      <c:valAx>
        <c:axId val="54307076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306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Aproximación Exponencial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Linea Tendencia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Operaciones!$A$208:$A$234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Operaciones!$E$208:$E$234</c:f>
              <c:numCache>
                <c:formatCode>_(* #,##0.00_);_(* \(#,##0.00\);_(* "-"??_);_(@_)</c:formatCode>
                <c:ptCount val="27"/>
                <c:pt idx="0">
                  <c:v>3917850.9083752572</c:v>
                </c:pt>
                <c:pt idx="1">
                  <c:v>3710534.3148785755</c:v>
                </c:pt>
                <c:pt idx="2">
                  <c:v>3514188.0648033824</c:v>
                </c:pt>
                <c:pt idx="3">
                  <c:v>3328231.6525917025</c:v>
                </c:pt>
                <c:pt idx="4">
                  <c:v>3152115.2906575873</c:v>
                </c:pt>
                <c:pt idx="5">
                  <c:v>2985318.2839182634</c:v>
                </c:pt>
                <c:pt idx="6">
                  <c:v>2827347.4903379744</c:v>
                </c:pt>
                <c:pt idx="7">
                  <c:v>2677735.8629339752</c:v>
                </c:pt>
                <c:pt idx="8">
                  <c:v>2536041.0689333202</c:v>
                </c:pt>
                <c:pt idx="9">
                  <c:v>2401844.1819984429</c:v>
                </c:pt>
                <c:pt idx="10">
                  <c:v>2274748.4436544236</c:v>
                </c:pt>
                <c:pt idx="11">
                  <c:v>2154378.0902567739</c:v>
                </c:pt>
                <c:pt idx="12">
                  <c:v>2040377.2420312492</c:v>
                </c:pt>
                <c:pt idx="13">
                  <c:v>1932408.850900844</c:v>
                </c:pt>
                <c:pt idx="14">
                  <c:v>1830153.7039897691</c:v>
                </c:pt>
                <c:pt idx="15">
                  <c:v>1733309.4798577342</c:v>
                </c:pt>
                <c:pt idx="16">
                  <c:v>1641589.8546745921</c:v>
                </c:pt>
                <c:pt idx="17">
                  <c:v>1554723.6556923077</c:v>
                </c:pt>
                <c:pt idx="18">
                  <c:v>1472454.0595119609</c:v>
                </c:pt>
                <c:pt idx="19">
                  <c:v>1394537.8327750298</c:v>
                </c:pt>
                <c:pt idx="20">
                  <c:v>1320744.613034297</c:v>
                </c:pt>
                <c:pt idx="21">
                  <c:v>1250856.2276779197</c:v>
                </c:pt>
                <c:pt idx="22">
                  <c:v>1184666.0488934396</c:v>
                </c:pt>
                <c:pt idx="23">
                  <c:v>1121978.3827643385</c:v>
                </c:pt>
                <c:pt idx="24">
                  <c:v>1062607.8906931942</c:v>
                </c:pt>
                <c:pt idx="25">
                  <c:v>1006379.0414405909</c:v>
                </c:pt>
                <c:pt idx="26">
                  <c:v>953125.59216002701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38-43D8-A941-5FAD90ED1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89727"/>
        <c:axId val="519691391"/>
      </c:scatterChart>
      <c:scatterChart>
        <c:scatterStyle val="lineMarker"/>
        <c:varyColors val="0"/>
        <c:ser>
          <c:idx val="0"/>
          <c:order val="0"/>
          <c:tx>
            <c:v>Datos Iniciales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Operaciones!$A$208:$A$234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Operaciones!$B$208:$B$234</c:f>
              <c:numCache>
                <c:formatCode>_(* #,##0.00_);_(* \(#,##0.00\);_(* "-"??_);_(@_)</c:formatCode>
                <c:ptCount val="27"/>
                <c:pt idx="0">
                  <c:v>3461428</c:v>
                </c:pt>
                <c:pt idx="1">
                  <c:v>3226306</c:v>
                </c:pt>
                <c:pt idx="2">
                  <c:v>3145806</c:v>
                </c:pt>
                <c:pt idx="3">
                  <c:v>3060907</c:v>
                </c:pt>
                <c:pt idx="4">
                  <c:v>2972637</c:v>
                </c:pt>
                <c:pt idx="5">
                  <c:v>3294894</c:v>
                </c:pt>
                <c:pt idx="6">
                  <c:v>2790984</c:v>
                </c:pt>
                <c:pt idx="7">
                  <c:v>2700511</c:v>
                </c:pt>
                <c:pt idx="8">
                  <c:v>2612586</c:v>
                </c:pt>
                <c:pt idx="9">
                  <c:v>2529098</c:v>
                </c:pt>
                <c:pt idx="10">
                  <c:v>1939390</c:v>
                </c:pt>
                <c:pt idx="11">
                  <c:v>2377636</c:v>
                </c:pt>
                <c:pt idx="12">
                  <c:v>2305968</c:v>
                </c:pt>
                <c:pt idx="13">
                  <c:v>2233776</c:v>
                </c:pt>
                <c:pt idx="14">
                  <c:v>2158422</c:v>
                </c:pt>
                <c:pt idx="15">
                  <c:v>1385140</c:v>
                </c:pt>
                <c:pt idx="16">
                  <c:v>1987406</c:v>
                </c:pt>
                <c:pt idx="17">
                  <c:v>1886241</c:v>
                </c:pt>
                <c:pt idx="18">
                  <c:v>1433813</c:v>
                </c:pt>
                <c:pt idx="19">
                  <c:v>1790656</c:v>
                </c:pt>
                <c:pt idx="20">
                  <c:v>1474432</c:v>
                </c:pt>
                <c:pt idx="21">
                  <c:v>1534389</c:v>
                </c:pt>
                <c:pt idx="22">
                  <c:v>1391360</c:v>
                </c:pt>
                <c:pt idx="23">
                  <c:v>1051290</c:v>
                </c:pt>
                <c:pt idx="24">
                  <c:v>1055753</c:v>
                </c:pt>
                <c:pt idx="25">
                  <c:v>874435</c:v>
                </c:pt>
                <c:pt idx="26">
                  <c:v>484366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71-4843-94B1-0B724A4D70B1}"/>
            </c:ext>
          </c:extLst>
        </c:ser>
        <c:ser>
          <c:idx val="2"/>
          <c:order val="2"/>
          <c:tx>
            <c:v>Pronóstico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Operaciones!$A$235:$A$239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Operaciones!$E$235:$E$239</c:f>
              <c:numCache>
                <c:formatCode>_(* #,##0.00_);_(* \(#,##0.00\);_(* "-"??_);_(@_)</c:formatCode>
                <c:ptCount val="5"/>
                <c:pt idx="0">
                  <c:v>902690.09689431544</c:v>
                </c:pt>
                <c:pt idx="1">
                  <c:v>854923.44108021574</c:v>
                </c:pt>
                <c:pt idx="2">
                  <c:v>809684.40068530862</c:v>
                </c:pt>
                <c:pt idx="3">
                  <c:v>766839.22467345884</c:v>
                </c:pt>
                <c:pt idx="4">
                  <c:v>726261.23956455977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38-43D8-A941-5FAD90ED1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89727"/>
        <c:axId val="519691391"/>
      </c:scatterChart>
      <c:valAx>
        <c:axId val="51968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Años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9691391"/>
        <c:crosses val="autoZero"/>
        <c:crossBetween val="midCat"/>
      </c:valAx>
      <c:valAx>
        <c:axId val="51969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Población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968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Aproximación Exponencial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Linea Tendencia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Operaciones!$O$208:$O$234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Operaciones!$S$208:$S$234</c:f>
              <c:numCache>
                <c:formatCode>_(* #,##0.00_);_(* \(#,##0.00\);_(* "-"??_);_(@_)</c:formatCode>
                <c:ptCount val="27"/>
                <c:pt idx="0">
                  <c:v>14466708.265002502</c:v>
                </c:pt>
                <c:pt idx="1">
                  <c:v>11941945.912793418</c:v>
                </c:pt>
                <c:pt idx="2">
                  <c:v>9857810.7453153078</c:v>
                </c:pt>
                <c:pt idx="3">
                  <c:v>8137403.518663465</c:v>
                </c:pt>
                <c:pt idx="4">
                  <c:v>6717245.617341659</c:v>
                </c:pt>
                <c:pt idx="5">
                  <c:v>5544936.8561127102</c:v>
                </c:pt>
                <c:pt idx="6">
                  <c:v>4577222.0475160955</c:v>
                </c:pt>
                <c:pt idx="7">
                  <c:v>3778394.9963598233</c:v>
                </c:pt>
                <c:pt idx="8">
                  <c:v>3118981.0326689743</c:v>
                </c:pt>
                <c:pt idx="9">
                  <c:v>2574649.471937424</c:v>
                </c:pt>
                <c:pt idx="10">
                  <c:v>2125315.8752540541</c:v>
                </c:pt>
                <c:pt idx="11">
                  <c:v>1754400.9850038465</c:v>
                </c:pt>
                <c:pt idx="12">
                  <c:v>1448218.9927719405</c:v>
                </c:pt>
                <c:pt idx="13">
                  <c:v>1195472.568103224</c:v>
                </c:pt>
                <c:pt idx="14">
                  <c:v>986836.01597564109</c:v>
                </c:pt>
                <c:pt idx="15">
                  <c:v>814611.18256507604</c:v>
                </c:pt>
                <c:pt idx="16">
                  <c:v>672443.41310750425</c:v>
                </c:pt>
                <c:pt idx="17">
                  <c:v>555087.08143166325</c:v>
                </c:pt>
                <c:pt idx="18">
                  <c:v>458212.03980338451</c:v>
                </c:pt>
                <c:pt idx="19">
                  <c:v>378243.8475766012</c:v>
                </c:pt>
                <c:pt idx="20">
                  <c:v>312231.8834986107</c:v>
                </c:pt>
                <c:pt idx="21">
                  <c:v>257740.47535127922</c:v>
                </c:pt>
                <c:pt idx="22">
                  <c:v>212759.02989131783</c:v>
                </c:pt>
                <c:pt idx="23">
                  <c:v>175627.84711481677</c:v>
                </c:pt>
                <c:pt idx="24">
                  <c:v>144976.88158260591</c:v>
                </c:pt>
                <c:pt idx="25">
                  <c:v>119675.19125641514</c:v>
                </c:pt>
                <c:pt idx="26">
                  <c:v>98789.208637371412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B9-49B4-8DF7-AB7D4F589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93887"/>
        <c:axId val="519692639"/>
      </c:scatterChart>
      <c:scatterChart>
        <c:scatterStyle val="lineMarker"/>
        <c:varyColors val="0"/>
        <c:ser>
          <c:idx val="0"/>
          <c:order val="0"/>
          <c:tx>
            <c:v>Datos Iniciales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Operaciones!$O$208:$O$234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Operaciones!$P$208:$P$234</c:f>
              <c:numCache>
                <c:formatCode>_(* #,##0.00_);_(* \(#,##0.00\);_(* "-"??_);_(@_)</c:formatCode>
                <c:ptCount val="27"/>
                <c:pt idx="0">
                  <c:v>4895639</c:v>
                </c:pt>
                <c:pt idx="1">
                  <c:v>4723373</c:v>
                </c:pt>
                <c:pt idx="2">
                  <c:v>6088309</c:v>
                </c:pt>
                <c:pt idx="3">
                  <c:v>4355474</c:v>
                </c:pt>
                <c:pt idx="4">
                  <c:v>4397395</c:v>
                </c:pt>
                <c:pt idx="5">
                  <c:v>3963501</c:v>
                </c:pt>
                <c:pt idx="6">
                  <c:v>3737912</c:v>
                </c:pt>
                <c:pt idx="7">
                  <c:v>3570720</c:v>
                </c:pt>
                <c:pt idx="8">
                  <c:v>3861196</c:v>
                </c:pt>
                <c:pt idx="9">
                  <c:v>3209585</c:v>
                </c:pt>
                <c:pt idx="10">
                  <c:v>2027139</c:v>
                </c:pt>
                <c:pt idx="11">
                  <c:v>2901506</c:v>
                </c:pt>
                <c:pt idx="12">
                  <c:v>2194510</c:v>
                </c:pt>
                <c:pt idx="13">
                  <c:v>2619621</c:v>
                </c:pt>
                <c:pt idx="14">
                  <c:v>1500398</c:v>
                </c:pt>
                <c:pt idx="15">
                  <c:v>1157694</c:v>
                </c:pt>
                <c:pt idx="16">
                  <c:v>975242</c:v>
                </c:pt>
                <c:pt idx="17">
                  <c:v>1953971</c:v>
                </c:pt>
                <c:pt idx="18">
                  <c:v>1234325</c:v>
                </c:pt>
                <c:pt idx="19">
                  <c:v>1482378</c:v>
                </c:pt>
                <c:pt idx="20">
                  <c:v>895500</c:v>
                </c:pt>
                <c:pt idx="21">
                  <c:v>895129</c:v>
                </c:pt>
                <c:pt idx="22">
                  <c:v>1073394</c:v>
                </c:pt>
                <c:pt idx="23">
                  <c:v>307892</c:v>
                </c:pt>
                <c:pt idx="24">
                  <c:v>1027402</c:v>
                </c:pt>
                <c:pt idx="25">
                  <c:v>1258909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88-4F37-AB28-ED92926E4477}"/>
            </c:ext>
          </c:extLst>
        </c:ser>
        <c:ser>
          <c:idx val="2"/>
          <c:order val="2"/>
          <c:tx>
            <c:v>Pronóstico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Operaciones!$O$235:$O$239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Operaciones!$S$235:$S$239</c:f>
              <c:numCache>
                <c:formatCode>_(* #,##0.00_);_(* \(#,##0.00\);_(* "-"??_);_(@_)</c:formatCode>
                <c:ptCount val="5"/>
                <c:pt idx="0">
                  <c:v>81548.29451901924</c:v>
                </c:pt>
                <c:pt idx="1">
                  <c:v>67316.303376530923</c:v>
                </c:pt>
                <c:pt idx="2">
                  <c:v>55568.111227933601</c:v>
                </c:pt>
                <c:pt idx="3">
                  <c:v>45870.239905602961</c:v>
                </c:pt>
                <c:pt idx="4">
                  <c:v>37864.862823337928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B9-49B4-8DF7-AB7D4F589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93887"/>
        <c:axId val="519692639"/>
      </c:scatterChart>
      <c:valAx>
        <c:axId val="51969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Años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9692639"/>
        <c:crosses val="autoZero"/>
        <c:crossBetween val="midCat"/>
      </c:valAx>
      <c:valAx>
        <c:axId val="51969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Población</a:t>
                </a:r>
                <a:r>
                  <a:rPr lang="es-CO" baseline="0"/>
                  <a:t> (p)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969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600635</xdr:colOff>
      <xdr:row>3</xdr:row>
      <xdr:rowOff>8966</xdr:rowOff>
    </xdr:from>
    <xdr:to>
      <xdr:col>12</xdr:col>
      <xdr:colOff>591670</xdr:colOff>
      <xdr:row>25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F2BCDC-B699-4696-9E10-B6430C712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27</xdr:col>
      <xdr:colOff>28575</xdr:colOff>
      <xdr:row>25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F0A52B2-0015-441E-AD70-904A470F1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</xdr:colOff>
      <xdr:row>28</xdr:row>
      <xdr:rowOff>0</xdr:rowOff>
    </xdr:from>
    <xdr:to>
      <xdr:col>27</xdr:col>
      <xdr:colOff>0</xdr:colOff>
      <xdr:row>50</xdr:row>
      <xdr:rowOff>152399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0F6754E-FE01-41AF-8724-B38FE0725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28</xdr:row>
      <xdr:rowOff>0</xdr:rowOff>
    </xdr:from>
    <xdr:to>
      <xdr:col>12</xdr:col>
      <xdr:colOff>581025</xdr:colOff>
      <xdr:row>50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D1010B8-7B22-4CF3-A0B3-6C92939AB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78</xdr:row>
      <xdr:rowOff>9525</xdr:rowOff>
    </xdr:from>
    <xdr:to>
      <xdr:col>12</xdr:col>
      <xdr:colOff>581025</xdr:colOff>
      <xdr:row>100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BFB5232-20BB-4FF0-B44B-94B3AE509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609599</xdr:colOff>
      <xdr:row>78</xdr:row>
      <xdr:rowOff>9525</xdr:rowOff>
    </xdr:from>
    <xdr:to>
      <xdr:col>26</xdr:col>
      <xdr:colOff>609554</xdr:colOff>
      <xdr:row>100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6DA5DF-0F84-4791-95FB-FF475F1F5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581025</xdr:colOff>
      <xdr:row>53</xdr:row>
      <xdr:rowOff>12246</xdr:rowOff>
    </xdr:from>
    <xdr:to>
      <xdr:col>12</xdr:col>
      <xdr:colOff>581025</xdr:colOff>
      <xdr:row>75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B243F54-5A68-48B4-A9E8-3F3127E85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53</xdr:row>
      <xdr:rowOff>19049</xdr:rowOff>
    </xdr:from>
    <xdr:to>
      <xdr:col>27</xdr:col>
      <xdr:colOff>0</xdr:colOff>
      <xdr:row>75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BAEA534-B82B-4332-ACA4-A4FEC2446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103</xdr:row>
      <xdr:rowOff>9524</xdr:rowOff>
    </xdr:from>
    <xdr:to>
      <xdr:col>12</xdr:col>
      <xdr:colOff>581025</xdr:colOff>
      <xdr:row>125</xdr:row>
      <xdr:rowOff>161925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387E4BA-D7CE-4D9E-9EEB-30BE9B4D63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103</xdr:row>
      <xdr:rowOff>9524</xdr:rowOff>
    </xdr:from>
    <xdr:to>
      <xdr:col>27</xdr:col>
      <xdr:colOff>0</xdr:colOff>
      <xdr:row>125</xdr:row>
      <xdr:rowOff>171449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929BE7D-6FEE-480F-A059-42D91CF7A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FB22E9-9B34-4D6A-B2BB-517F7B3729EC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Number of people without access to electricit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485B5F3-6737-462F-B541-F53A573E9C56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Number of people without access to electri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370AA-17AE-4476-8582-FBE67A24D2BD}" name="people_without_electricity_country" displayName="people_without_electricity_country" ref="A1:D33" tableType="queryTable" totalsRowShown="0">
  <autoFilter ref="A1:D33" xr:uid="{A24355E2-FDD3-4C30-8AA7-283C9F086189}"/>
  <tableColumns count="4">
    <tableColumn id="1" xr3:uid="{C8299549-4F11-4F0B-B35C-FCAD7AB3336E}" uniqueName="1" name="Entity" queryTableFieldId="1" dataDxfId="4"/>
    <tableColumn id="2" xr3:uid="{5ABBC38F-AD28-476B-8427-88712652E254}" uniqueName="2" name="Code" queryTableFieldId="2" dataDxfId="3"/>
    <tableColumn id="3" xr3:uid="{119EC9C4-15D5-4ECA-AE08-256BAA832364}" uniqueName="3" name="Year" queryTableFieldId="3"/>
    <tableColumn id="4" xr3:uid="{35ED567F-7CFF-47F7-8EC6-577A68647A7B}" uniqueName="4" name="Number of people without access to electricity" queryTableFieldId="4" dataDxfId="2" dataCellStyle="C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6302A-0259-4FF3-8C1A-F08FA8A40C64}" name="people_without_electricity_country__2" displayName="people_without_electricity_country__2" ref="F1:I33" tableType="queryTable" totalsRowShown="0">
  <autoFilter ref="F1:I33" xr:uid="{19489220-B01C-4351-BB93-79504DFD24EC}"/>
  <tableColumns count="4">
    <tableColumn id="1" xr3:uid="{51169945-9074-47D4-ABFC-0DD0D3429ADA}" uniqueName="1" name="Entity" queryTableFieldId="1" dataDxfId="1"/>
    <tableColumn id="2" xr3:uid="{3F72A3A8-8C1E-48E3-A12A-187948C4B469}" uniqueName="2" name="Code" queryTableFieldId="2" dataDxfId="0"/>
    <tableColumn id="3" xr3:uid="{2CE14365-E642-4AE1-81C7-8A6D991F3021}" uniqueName="3" name="Year" queryTableFieldId="3"/>
    <tableColumn id="4" xr3:uid="{36BC54E6-DCB1-41B9-A781-59D67AB2B428}" uniqueName="4" name="Number of people without access to electricity" queryTableFieldId="4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86AF-BC9D-48BC-AA0C-7A0DF8A853B0}">
  <dimension ref="A1:AB126"/>
  <sheetViews>
    <sheetView showGridLines="0" tabSelected="1" topLeftCell="A29" zoomScale="80" zoomScaleNormal="80" workbookViewId="0">
      <selection activeCell="C45" sqref="C45"/>
    </sheetView>
  </sheetViews>
  <sheetFormatPr defaultRowHeight="14.4" x14ac:dyDescent="0.3"/>
  <cols>
    <col min="1" max="1" width="9.44140625" style="4" customWidth="1"/>
    <col min="2" max="2" width="12.88671875" style="4" bestFit="1" customWidth="1"/>
    <col min="3" max="11" width="8.88671875" style="4"/>
    <col min="12" max="13" width="8.88671875" style="4" customWidth="1"/>
    <col min="14" max="14" width="1.6640625" style="3" customWidth="1"/>
    <col min="15" max="15" width="8.88671875" style="4"/>
    <col min="16" max="16" width="12.88671875" style="4" bestFit="1" customWidth="1"/>
    <col min="17" max="16384" width="8.88671875" style="4"/>
  </cols>
  <sheetData>
    <row r="1" spans="1:28" ht="15" thickBot="1" x14ac:dyDescent="0.35">
      <c r="A1" s="59"/>
      <c r="B1" s="59"/>
      <c r="C1" s="60"/>
      <c r="D1" s="60"/>
      <c r="E1" s="16"/>
      <c r="F1" s="66" t="s">
        <v>4</v>
      </c>
      <c r="G1" s="66"/>
      <c r="H1" s="16"/>
      <c r="I1" s="65"/>
      <c r="J1" s="65"/>
      <c r="K1" s="61"/>
      <c r="L1" s="61"/>
      <c r="M1" s="62"/>
      <c r="O1" s="67"/>
      <c r="P1" s="68"/>
      <c r="Q1" s="69"/>
      <c r="R1" s="69"/>
      <c r="S1" s="17"/>
      <c r="T1" s="63" t="s">
        <v>8</v>
      </c>
      <c r="U1" s="63"/>
      <c r="V1" s="17"/>
      <c r="W1" s="64"/>
      <c r="X1" s="64"/>
      <c r="Y1" s="18"/>
      <c r="Z1" s="18"/>
      <c r="AA1" s="18"/>
    </row>
    <row r="3" spans="1:28" ht="15" thickBot="1" x14ac:dyDescent="0.35">
      <c r="A3" s="25" t="s">
        <v>9</v>
      </c>
      <c r="B3" s="25" t="s">
        <v>10</v>
      </c>
      <c r="D3" s="61" t="s">
        <v>11</v>
      </c>
      <c r="E3" s="61"/>
      <c r="F3" s="61"/>
      <c r="G3" s="61"/>
      <c r="H3" s="61"/>
      <c r="I3" s="61"/>
      <c r="J3" s="61"/>
      <c r="K3" s="61"/>
      <c r="L3" s="61"/>
      <c r="M3" s="62"/>
      <c r="O3" s="25" t="s">
        <v>9</v>
      </c>
      <c r="P3" s="25" t="s">
        <v>10</v>
      </c>
      <c r="R3" s="61" t="s">
        <v>11</v>
      </c>
      <c r="S3" s="61"/>
      <c r="T3" s="61"/>
      <c r="U3" s="61"/>
      <c r="V3" s="61"/>
      <c r="W3" s="61"/>
      <c r="X3" s="61"/>
      <c r="Y3" s="61"/>
      <c r="Z3" s="61"/>
      <c r="AA3" s="61"/>
      <c r="AB3" s="10"/>
    </row>
    <row r="4" spans="1:28" x14ac:dyDescent="0.3">
      <c r="A4" s="46" cm="1">
        <f t="array" ref="A4:A30">'PSE COL - MEX'!C2:C28</f>
        <v>1990</v>
      </c>
      <c r="B4" s="12" cm="1">
        <f t="array" ref="B4:B35">people_without_electricity_country[Number of people without access to electricity]</f>
        <v>3461428</v>
      </c>
      <c r="O4" s="4" cm="1">
        <f t="array" ref="O4:O35">people_without_electricity_country__2[Year]</f>
        <v>1990</v>
      </c>
      <c r="P4" s="12" cm="1">
        <f t="array" ref="P4:P35">people_without_electricity_country__2[Number of people without access to electricity]</f>
        <v>4895639</v>
      </c>
      <c r="AB4" s="10"/>
    </row>
    <row r="5" spans="1:28" x14ac:dyDescent="0.3">
      <c r="A5" s="47">
        <v>1991</v>
      </c>
      <c r="B5" s="13">
        <v>3226306</v>
      </c>
      <c r="O5" s="8">
        <v>1991</v>
      </c>
      <c r="P5" s="13">
        <v>4723373</v>
      </c>
      <c r="AB5" s="10"/>
    </row>
    <row r="6" spans="1:28" x14ac:dyDescent="0.3">
      <c r="A6" s="47">
        <v>1992</v>
      </c>
      <c r="B6" s="13">
        <v>3145806</v>
      </c>
      <c r="O6" s="8">
        <v>1992</v>
      </c>
      <c r="P6" s="13">
        <v>6088309</v>
      </c>
      <c r="AB6" s="10"/>
    </row>
    <row r="7" spans="1:28" x14ac:dyDescent="0.3">
      <c r="A7" s="47">
        <v>1993</v>
      </c>
      <c r="B7" s="13">
        <v>3060907</v>
      </c>
      <c r="O7" s="8">
        <v>1993</v>
      </c>
      <c r="P7" s="13">
        <v>4355474</v>
      </c>
      <c r="AB7" s="10"/>
    </row>
    <row r="8" spans="1:28" x14ac:dyDescent="0.3">
      <c r="A8" s="47">
        <v>1994</v>
      </c>
      <c r="B8" s="13">
        <v>2972637</v>
      </c>
      <c r="O8" s="8">
        <v>1994</v>
      </c>
      <c r="P8" s="13">
        <v>4397395</v>
      </c>
      <c r="AB8" s="10"/>
    </row>
    <row r="9" spans="1:28" x14ac:dyDescent="0.3">
      <c r="A9" s="47">
        <v>1995</v>
      </c>
      <c r="B9" s="13">
        <v>3294894</v>
      </c>
      <c r="O9" s="8">
        <v>1995</v>
      </c>
      <c r="P9" s="13">
        <v>3963501</v>
      </c>
      <c r="AB9" s="10"/>
    </row>
    <row r="10" spans="1:28" x14ac:dyDescent="0.3">
      <c r="A10" s="47">
        <v>1996</v>
      </c>
      <c r="B10" s="13">
        <v>2790984</v>
      </c>
      <c r="O10" s="8">
        <v>1996</v>
      </c>
      <c r="P10" s="13">
        <v>3737912</v>
      </c>
      <c r="AB10" s="10"/>
    </row>
    <row r="11" spans="1:28" x14ac:dyDescent="0.3">
      <c r="A11" s="47">
        <v>1997</v>
      </c>
      <c r="B11" s="13">
        <v>2700511</v>
      </c>
      <c r="O11" s="8">
        <v>1997</v>
      </c>
      <c r="P11" s="13">
        <v>3570720</v>
      </c>
      <c r="AB11" s="10"/>
    </row>
    <row r="12" spans="1:28" x14ac:dyDescent="0.3">
      <c r="A12" s="47">
        <v>1998</v>
      </c>
      <c r="B12" s="13">
        <v>2612586</v>
      </c>
      <c r="O12" s="8">
        <v>1998</v>
      </c>
      <c r="P12" s="13">
        <v>3861196</v>
      </c>
      <c r="AB12" s="10"/>
    </row>
    <row r="13" spans="1:28" x14ac:dyDescent="0.3">
      <c r="A13" s="47">
        <v>1999</v>
      </c>
      <c r="B13" s="13">
        <v>2529098</v>
      </c>
      <c r="O13" s="8">
        <v>1999</v>
      </c>
      <c r="P13" s="13">
        <v>3209585</v>
      </c>
      <c r="AB13" s="10"/>
    </row>
    <row r="14" spans="1:28" x14ac:dyDescent="0.3">
      <c r="A14" s="47">
        <v>2000</v>
      </c>
      <c r="B14" s="13">
        <v>1939390</v>
      </c>
      <c r="O14" s="8">
        <v>2000</v>
      </c>
      <c r="P14" s="13">
        <v>2027139</v>
      </c>
      <c r="AB14" s="10"/>
    </row>
    <row r="15" spans="1:28" x14ac:dyDescent="0.3">
      <c r="A15" s="47">
        <v>2001</v>
      </c>
      <c r="B15" s="13">
        <v>2377636</v>
      </c>
      <c r="O15" s="8">
        <v>2001</v>
      </c>
      <c r="P15" s="13">
        <v>2901506</v>
      </c>
      <c r="AB15" s="10"/>
    </row>
    <row r="16" spans="1:28" x14ac:dyDescent="0.3">
      <c r="A16" s="47">
        <v>2002</v>
      </c>
      <c r="B16" s="13">
        <v>2305968</v>
      </c>
      <c r="O16" s="8">
        <v>2002</v>
      </c>
      <c r="P16" s="13">
        <v>2194510</v>
      </c>
      <c r="AB16" s="10"/>
    </row>
    <row r="17" spans="1:28" x14ac:dyDescent="0.3">
      <c r="A17" s="47">
        <v>2003</v>
      </c>
      <c r="B17" s="13">
        <v>2233776</v>
      </c>
      <c r="O17" s="8">
        <v>2003</v>
      </c>
      <c r="P17" s="13">
        <v>2619621</v>
      </c>
      <c r="AB17" s="10"/>
    </row>
    <row r="18" spans="1:28" x14ac:dyDescent="0.3">
      <c r="A18" s="47">
        <v>2004</v>
      </c>
      <c r="B18" s="13">
        <v>2158422</v>
      </c>
      <c r="O18" s="8">
        <v>2004</v>
      </c>
      <c r="P18" s="13">
        <v>1500398</v>
      </c>
      <c r="AB18" s="10"/>
    </row>
    <row r="19" spans="1:28" x14ac:dyDescent="0.3">
      <c r="A19" s="47">
        <v>2005</v>
      </c>
      <c r="B19" s="13">
        <v>1385140</v>
      </c>
      <c r="O19" s="8">
        <v>2005</v>
      </c>
      <c r="P19" s="13">
        <v>1157694</v>
      </c>
      <c r="AB19" s="10"/>
    </row>
    <row r="20" spans="1:28" x14ac:dyDescent="0.3">
      <c r="A20" s="47">
        <v>2006</v>
      </c>
      <c r="B20" s="13">
        <v>1987406</v>
      </c>
      <c r="O20" s="8">
        <v>2006</v>
      </c>
      <c r="P20" s="13">
        <v>975242</v>
      </c>
      <c r="AB20" s="10"/>
    </row>
    <row r="21" spans="1:28" x14ac:dyDescent="0.3">
      <c r="A21" s="47">
        <v>2007</v>
      </c>
      <c r="B21" s="13">
        <v>1886241</v>
      </c>
      <c r="O21" s="8">
        <v>2007</v>
      </c>
      <c r="P21" s="13">
        <v>1953971</v>
      </c>
      <c r="AB21" s="10"/>
    </row>
    <row r="22" spans="1:28" x14ac:dyDescent="0.3">
      <c r="A22" s="47">
        <v>2008</v>
      </c>
      <c r="B22" s="13">
        <v>1433813</v>
      </c>
      <c r="O22" s="8">
        <v>2008</v>
      </c>
      <c r="P22" s="13">
        <v>1234325</v>
      </c>
      <c r="AB22" s="10"/>
    </row>
    <row r="23" spans="1:28" x14ac:dyDescent="0.3">
      <c r="A23" s="47">
        <v>2009</v>
      </c>
      <c r="B23" s="13">
        <v>1790656</v>
      </c>
      <c r="O23" s="8">
        <v>2009</v>
      </c>
      <c r="P23" s="13">
        <v>1482378</v>
      </c>
      <c r="AB23" s="10"/>
    </row>
    <row r="24" spans="1:28" x14ac:dyDescent="0.3">
      <c r="A24" s="47">
        <v>2010</v>
      </c>
      <c r="B24" s="13">
        <v>1474432</v>
      </c>
      <c r="O24" s="8">
        <v>2010</v>
      </c>
      <c r="P24" s="13">
        <v>895500</v>
      </c>
      <c r="AB24" s="10"/>
    </row>
    <row r="25" spans="1:28" x14ac:dyDescent="0.3">
      <c r="A25" s="47">
        <v>2011</v>
      </c>
      <c r="B25" s="13">
        <v>1534389</v>
      </c>
      <c r="O25" s="8">
        <v>2011</v>
      </c>
      <c r="P25" s="13">
        <v>895129</v>
      </c>
      <c r="AB25" s="10"/>
    </row>
    <row r="26" spans="1:28" ht="15" thickBot="1" x14ac:dyDescent="0.35">
      <c r="A26" s="47">
        <v>2012</v>
      </c>
      <c r="B26" s="13">
        <v>1391360</v>
      </c>
      <c r="D26" s="19"/>
      <c r="E26" s="19"/>
      <c r="F26" s="19"/>
      <c r="G26" s="19"/>
      <c r="H26" s="19"/>
      <c r="I26" s="19"/>
      <c r="J26" s="19"/>
      <c r="K26" s="19"/>
      <c r="L26" s="19"/>
      <c r="M26" s="20"/>
      <c r="O26" s="8">
        <v>2012</v>
      </c>
      <c r="P26" s="13">
        <v>1073394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0"/>
    </row>
    <row r="27" spans="1:28" x14ac:dyDescent="0.3">
      <c r="A27" s="47">
        <v>2013</v>
      </c>
      <c r="B27" s="13">
        <v>1051290</v>
      </c>
      <c r="O27" s="8">
        <v>2013</v>
      </c>
      <c r="P27" s="13">
        <v>307892</v>
      </c>
      <c r="AB27" s="10"/>
    </row>
    <row r="28" spans="1:28" ht="15" thickBot="1" x14ac:dyDescent="0.35">
      <c r="A28" s="47">
        <v>2014</v>
      </c>
      <c r="B28" s="13">
        <v>1055753</v>
      </c>
      <c r="D28" s="61" t="s">
        <v>12</v>
      </c>
      <c r="E28" s="61"/>
      <c r="F28" s="61"/>
      <c r="G28" s="61"/>
      <c r="H28" s="61"/>
      <c r="I28" s="61"/>
      <c r="J28" s="61"/>
      <c r="K28" s="61"/>
      <c r="L28" s="61"/>
      <c r="M28" s="62"/>
      <c r="O28" s="8">
        <v>2014</v>
      </c>
      <c r="P28" s="13">
        <v>1027402</v>
      </c>
      <c r="R28" s="61" t="s">
        <v>12</v>
      </c>
      <c r="S28" s="61"/>
      <c r="T28" s="61"/>
      <c r="U28" s="61"/>
      <c r="V28" s="61"/>
      <c r="W28" s="61"/>
      <c r="X28" s="61"/>
      <c r="Y28" s="61"/>
      <c r="Z28" s="61"/>
      <c r="AA28" s="61"/>
      <c r="AB28" s="10"/>
    </row>
    <row r="29" spans="1:28" x14ac:dyDescent="0.3">
      <c r="A29" s="47">
        <v>2015</v>
      </c>
      <c r="B29" s="13">
        <v>874435</v>
      </c>
      <c r="O29" s="8">
        <v>2015</v>
      </c>
      <c r="P29" s="13">
        <v>1258909</v>
      </c>
      <c r="AB29" s="10"/>
    </row>
    <row r="30" spans="1:28" ht="15" thickBot="1" x14ac:dyDescent="0.35">
      <c r="A30" s="48">
        <v>2016</v>
      </c>
      <c r="B30" s="14">
        <v>484366</v>
      </c>
      <c r="O30" s="11">
        <v>2016</v>
      </c>
      <c r="P30" s="14">
        <v>0</v>
      </c>
      <c r="AB30" s="10"/>
    </row>
    <row r="31" spans="1:28" x14ac:dyDescent="0.3">
      <c r="A31" s="47">
        <v>2017</v>
      </c>
      <c r="B31" s="13">
        <v>719969.307692306</v>
      </c>
      <c r="O31" s="8">
        <v>2017</v>
      </c>
      <c r="P31" s="13">
        <v>0</v>
      </c>
      <c r="AB31" s="10"/>
    </row>
    <row r="32" spans="1:28" x14ac:dyDescent="0.3">
      <c r="A32" s="47">
        <v>2018</v>
      </c>
      <c r="B32" s="13">
        <v>620179.73443223594</v>
      </c>
      <c r="O32" s="8">
        <v>2018</v>
      </c>
      <c r="P32" s="13">
        <v>0</v>
      </c>
      <c r="AB32" s="10"/>
    </row>
    <row r="33" spans="1:28" x14ac:dyDescent="0.3">
      <c r="A33" s="47">
        <v>2019</v>
      </c>
      <c r="B33" s="13">
        <v>520390.161172166</v>
      </c>
      <c r="O33" s="8">
        <v>2019</v>
      </c>
      <c r="P33" s="13">
        <v>0</v>
      </c>
      <c r="AB33" s="10"/>
    </row>
    <row r="34" spans="1:28" x14ac:dyDescent="0.3">
      <c r="A34" s="47">
        <v>2020</v>
      </c>
      <c r="B34" s="13">
        <v>420600.58791208599</v>
      </c>
      <c r="O34" s="8">
        <v>2020</v>
      </c>
      <c r="P34" s="13">
        <v>0</v>
      </c>
      <c r="AB34" s="10"/>
    </row>
    <row r="35" spans="1:28" ht="15" thickBot="1" x14ac:dyDescent="0.35">
      <c r="A35" s="48">
        <v>2021</v>
      </c>
      <c r="B35" s="14">
        <v>320811.01465201599</v>
      </c>
      <c r="O35" s="11">
        <v>2021</v>
      </c>
      <c r="P35" s="14">
        <v>0</v>
      </c>
      <c r="AB35" s="10"/>
    </row>
    <row r="36" spans="1:28" x14ac:dyDescent="0.3">
      <c r="A36" s="55"/>
      <c r="B36" s="55"/>
      <c r="O36" s="55"/>
      <c r="P36" s="55"/>
      <c r="AB36" s="10"/>
    </row>
    <row r="37" spans="1:28" x14ac:dyDescent="0.3">
      <c r="A37" s="57" t="s">
        <v>61</v>
      </c>
      <c r="B37" s="57"/>
      <c r="O37" s="57" t="s">
        <v>61</v>
      </c>
      <c r="P37" s="57"/>
      <c r="AB37" s="10"/>
    </row>
    <row r="38" spans="1:28" ht="15" thickBot="1" x14ac:dyDescent="0.35">
      <c r="A38" s="56">
        <f>Operaciones!E4</f>
        <v>1.607338587443034E-5</v>
      </c>
      <c r="B38" s="56"/>
      <c r="O38" s="56">
        <f>Operaciones!S4</f>
        <v>1.8420042815031827E-5</v>
      </c>
      <c r="P38" s="56"/>
      <c r="AB38" s="10"/>
    </row>
    <row r="39" spans="1:28" x14ac:dyDescent="0.3">
      <c r="A39" s="55"/>
      <c r="B39" s="55"/>
      <c r="O39" s="55"/>
      <c r="P39" s="55"/>
      <c r="AB39" s="10"/>
    </row>
    <row r="40" spans="1:28" x14ac:dyDescent="0.3">
      <c r="A40" s="57" t="s">
        <v>62</v>
      </c>
      <c r="B40" s="57"/>
      <c r="O40" s="57" t="s">
        <v>62</v>
      </c>
      <c r="P40" s="57"/>
      <c r="AB40" s="10"/>
    </row>
    <row r="41" spans="1:28" ht="15" thickBot="1" x14ac:dyDescent="0.35">
      <c r="A41" s="56">
        <f>Operaciones!O52</f>
        <v>1.317349981378626</v>
      </c>
      <c r="B41" s="56"/>
      <c r="O41" s="56">
        <f>Operaciones!AF53</f>
        <v>1.4290515758373119</v>
      </c>
      <c r="P41" s="56"/>
      <c r="AB41" s="10"/>
    </row>
    <row r="42" spans="1:28" x14ac:dyDescent="0.3">
      <c r="A42" s="55"/>
      <c r="B42" s="55"/>
      <c r="O42" s="55"/>
      <c r="P42" s="55"/>
      <c r="AB42" s="10"/>
    </row>
    <row r="43" spans="1:28" x14ac:dyDescent="0.3">
      <c r="A43" s="57" t="s">
        <v>63</v>
      </c>
      <c r="B43" s="57"/>
      <c r="O43" s="57" t="s">
        <v>63</v>
      </c>
      <c r="P43" s="57"/>
      <c r="AB43" s="10"/>
    </row>
    <row r="44" spans="1:28" ht="15" thickBot="1" x14ac:dyDescent="0.35">
      <c r="A44" s="56">
        <f>Operaciones!O104</f>
        <v>-586586.62433991604</v>
      </c>
      <c r="B44" s="56"/>
      <c r="O44" s="56">
        <f>Operaciones!AF104</f>
        <v>-717704.40842013888</v>
      </c>
      <c r="P44" s="56"/>
      <c r="AB44" s="10"/>
    </row>
    <row r="45" spans="1:28" x14ac:dyDescent="0.3">
      <c r="A45" s="55"/>
      <c r="B45" s="55"/>
      <c r="O45" s="55"/>
      <c r="P45" s="55"/>
      <c r="AB45" s="10"/>
    </row>
    <row r="46" spans="1:28" x14ac:dyDescent="0.3">
      <c r="A46" s="57" t="s">
        <v>64</v>
      </c>
      <c r="B46" s="57"/>
      <c r="O46" s="57" t="s">
        <v>64</v>
      </c>
      <c r="P46" s="57"/>
      <c r="AB46" s="10"/>
    </row>
    <row r="47" spans="1:28" ht="15" thickBot="1" x14ac:dyDescent="0.35">
      <c r="A47" s="56">
        <f>Operaciones!F160</f>
        <v>0.9365691327413016</v>
      </c>
      <c r="B47" s="56"/>
      <c r="O47" s="56">
        <f>Operaciones!T160</f>
        <v>0.51796990690900191</v>
      </c>
      <c r="P47" s="56"/>
      <c r="AB47" s="10"/>
    </row>
    <row r="48" spans="1:28" x14ac:dyDescent="0.3">
      <c r="A48" s="55"/>
      <c r="B48" s="55"/>
      <c r="O48" s="55"/>
      <c r="P48" s="55"/>
      <c r="AB48" s="10"/>
    </row>
    <row r="49" spans="1:28" x14ac:dyDescent="0.3">
      <c r="A49" s="57" t="s">
        <v>65</v>
      </c>
      <c r="B49" s="57"/>
      <c r="O49" s="57" t="s">
        <v>65</v>
      </c>
      <c r="P49" s="57"/>
      <c r="AB49" s="10"/>
    </row>
    <row r="50" spans="1:28" ht="15" thickBot="1" x14ac:dyDescent="0.35">
      <c r="A50" s="56">
        <f>Operaciones!G208</f>
        <v>-6643.8470578899096</v>
      </c>
      <c r="B50" s="56"/>
      <c r="O50" s="56">
        <f>Operaciones!U208</f>
        <v>596956.55491247168</v>
      </c>
      <c r="P50" s="56"/>
      <c r="AB50" s="10"/>
    </row>
    <row r="51" spans="1:28" ht="15" thickBot="1" x14ac:dyDescent="0.35">
      <c r="A51" s="58"/>
      <c r="B51" s="58"/>
      <c r="D51" s="19"/>
      <c r="E51" s="19"/>
      <c r="F51" s="19"/>
      <c r="G51" s="19"/>
      <c r="H51" s="19"/>
      <c r="I51" s="19"/>
      <c r="J51" s="19"/>
      <c r="K51" s="19"/>
      <c r="L51" s="19"/>
      <c r="M51" s="20"/>
      <c r="O51" s="55"/>
      <c r="P51" s="55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0"/>
    </row>
    <row r="52" spans="1:28" x14ac:dyDescent="0.3">
      <c r="D52" s="30"/>
      <c r="E52" s="30"/>
      <c r="F52" s="30"/>
      <c r="G52" s="30"/>
      <c r="H52" s="30"/>
      <c r="I52" s="30"/>
      <c r="J52" s="30"/>
      <c r="K52" s="30"/>
      <c r="L52" s="30"/>
      <c r="M52" s="30"/>
      <c r="S52" s="21"/>
      <c r="T52" s="21"/>
      <c r="U52" s="21"/>
      <c r="V52" s="21"/>
      <c r="W52" s="21"/>
      <c r="X52" s="21"/>
      <c r="Y52" s="21"/>
      <c r="Z52" s="21"/>
      <c r="AA52" s="21"/>
    </row>
    <row r="53" spans="1:28" ht="15" thickBot="1" x14ac:dyDescent="0.35">
      <c r="D53" s="61" t="s">
        <v>35</v>
      </c>
      <c r="E53" s="61"/>
      <c r="F53" s="61"/>
      <c r="G53" s="61"/>
      <c r="H53" s="61"/>
      <c r="I53" s="61"/>
      <c r="J53" s="61"/>
      <c r="K53" s="61"/>
      <c r="L53" s="61"/>
      <c r="M53" s="62"/>
      <c r="R53" s="61" t="str">
        <f>D53</f>
        <v>Aproximación Cúbica</v>
      </c>
      <c r="S53" s="61"/>
      <c r="T53" s="61"/>
      <c r="U53" s="61"/>
      <c r="V53" s="61"/>
      <c r="W53" s="61"/>
      <c r="X53" s="61"/>
      <c r="Y53" s="61"/>
      <c r="Z53" s="61"/>
      <c r="AA53" s="61"/>
      <c r="AB53" s="10"/>
    </row>
    <row r="58" spans="1:28" x14ac:dyDescent="0.3">
      <c r="O58" s="10"/>
    </row>
    <row r="59" spans="1:28" x14ac:dyDescent="0.3">
      <c r="O59" s="10"/>
    </row>
    <row r="64" spans="1:28" x14ac:dyDescent="0.3">
      <c r="O64" s="10"/>
    </row>
    <row r="65" spans="4:28" x14ac:dyDescent="0.3">
      <c r="O65" s="10"/>
    </row>
    <row r="76" spans="4:28" ht="15" thickBot="1" x14ac:dyDescent="0.35">
      <c r="D76" s="19"/>
      <c r="E76" s="19"/>
      <c r="F76" s="19"/>
      <c r="G76" s="19"/>
      <c r="H76" s="19"/>
      <c r="I76" s="19"/>
      <c r="J76" s="19"/>
      <c r="K76" s="19"/>
      <c r="L76" s="19"/>
      <c r="M76" s="20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0"/>
    </row>
    <row r="78" spans="4:28" ht="15" thickBot="1" x14ac:dyDescent="0.35">
      <c r="D78" s="61" t="s">
        <v>37</v>
      </c>
      <c r="E78" s="61"/>
      <c r="F78" s="61"/>
      <c r="G78" s="61"/>
      <c r="H78" s="61"/>
      <c r="I78" s="61"/>
      <c r="J78" s="61"/>
      <c r="K78" s="61"/>
      <c r="L78" s="61"/>
      <c r="M78" s="62"/>
      <c r="R78" s="61" t="s">
        <v>37</v>
      </c>
      <c r="S78" s="61"/>
      <c r="T78" s="61"/>
      <c r="U78" s="61"/>
      <c r="V78" s="61"/>
      <c r="W78" s="61"/>
      <c r="X78" s="61"/>
      <c r="Y78" s="61"/>
      <c r="Z78" s="61"/>
      <c r="AA78" s="62"/>
      <c r="AB78" s="10"/>
    </row>
    <row r="101" spans="4:28" ht="15" thickBot="1" x14ac:dyDescent="0.35"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0"/>
    </row>
    <row r="103" spans="4:28" ht="15" thickBot="1" x14ac:dyDescent="0.35">
      <c r="D103" s="61" t="s">
        <v>36</v>
      </c>
      <c r="E103" s="61"/>
      <c r="F103" s="61"/>
      <c r="G103" s="61"/>
      <c r="H103" s="61"/>
      <c r="I103" s="61"/>
      <c r="J103" s="61"/>
      <c r="K103" s="61"/>
      <c r="L103" s="61"/>
      <c r="M103" s="62"/>
      <c r="R103" s="61" t="s">
        <v>36</v>
      </c>
      <c r="S103" s="61"/>
      <c r="T103" s="61"/>
      <c r="U103" s="61"/>
      <c r="V103" s="61"/>
      <c r="W103" s="61"/>
      <c r="X103" s="61"/>
      <c r="Y103" s="61"/>
      <c r="Z103" s="61"/>
      <c r="AA103" s="62"/>
    </row>
    <row r="126" spans="4:27" ht="15" thickBot="1" x14ac:dyDescent="0.35"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</sheetData>
  <mergeCells count="40">
    <mergeCell ref="R3:AA3"/>
    <mergeCell ref="D103:M103"/>
    <mergeCell ref="R103:AA103"/>
    <mergeCell ref="T1:U1"/>
    <mergeCell ref="W1:X1"/>
    <mergeCell ref="I1:J1"/>
    <mergeCell ref="K1:M1"/>
    <mergeCell ref="F1:G1"/>
    <mergeCell ref="O1:P1"/>
    <mergeCell ref="Q1:R1"/>
    <mergeCell ref="D53:M53"/>
    <mergeCell ref="D78:M78"/>
    <mergeCell ref="R53:AA53"/>
    <mergeCell ref="R78:AA78"/>
    <mergeCell ref="R28:AA28"/>
    <mergeCell ref="D28:M28"/>
    <mergeCell ref="A43:B43"/>
    <mergeCell ref="A44:B44"/>
    <mergeCell ref="A46:B46"/>
    <mergeCell ref="A1:B1"/>
    <mergeCell ref="C1:D1"/>
    <mergeCell ref="D3:M3"/>
    <mergeCell ref="A37:B37"/>
    <mergeCell ref="A40:B40"/>
    <mergeCell ref="A47:B47"/>
    <mergeCell ref="A49:B49"/>
    <mergeCell ref="A50:B50"/>
    <mergeCell ref="A51:B51"/>
    <mergeCell ref="O37:P37"/>
    <mergeCell ref="O38:P38"/>
    <mergeCell ref="O40:P40"/>
    <mergeCell ref="O41:P41"/>
    <mergeCell ref="O43:P43"/>
    <mergeCell ref="O44:P44"/>
    <mergeCell ref="O46:P46"/>
    <mergeCell ref="O47:P47"/>
    <mergeCell ref="O49:P49"/>
    <mergeCell ref="O50:P50"/>
    <mergeCell ref="A38:B38"/>
    <mergeCell ref="A41:B4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EF04-7949-4D09-831A-2B202F4D949C}">
  <dimension ref="A1:AF239"/>
  <sheetViews>
    <sheetView showGridLines="0" topLeftCell="N202" zoomScale="70" zoomScaleNormal="70" workbookViewId="0">
      <selection activeCell="V229" sqref="V229"/>
    </sheetView>
  </sheetViews>
  <sheetFormatPr defaultRowHeight="14.4" x14ac:dyDescent="0.3"/>
  <cols>
    <col min="1" max="1" width="14.5546875" style="4" customWidth="1"/>
    <col min="2" max="2" width="13.77734375" style="4" bestFit="1" customWidth="1"/>
    <col min="3" max="3" width="17.88671875" style="4" bestFit="1" customWidth="1"/>
    <col min="4" max="4" width="15.6640625" style="4" bestFit="1" customWidth="1"/>
    <col min="5" max="5" width="13.88671875" style="4" customWidth="1"/>
    <col min="6" max="8" width="13.88671875" style="4" bestFit="1" customWidth="1"/>
    <col min="9" max="9" width="24.77734375" style="4" bestFit="1" customWidth="1"/>
    <col min="10" max="10" width="28.109375" style="4" bestFit="1" customWidth="1"/>
    <col min="11" max="11" width="13.88671875" style="4" customWidth="1"/>
    <col min="12" max="12" width="13.33203125" style="4" bestFit="1" customWidth="1"/>
    <col min="13" max="13" width="13" style="4" bestFit="1" customWidth="1"/>
    <col min="14" max="14" width="24.109375" style="4" bestFit="1" customWidth="1"/>
    <col min="15" max="15" width="13.88671875" style="4" bestFit="1" customWidth="1"/>
    <col min="16" max="16" width="13.77734375" style="4" bestFit="1" customWidth="1"/>
    <col min="17" max="17" width="17.88671875" style="4" bestFit="1" customWidth="1"/>
    <col min="18" max="18" width="15.6640625" style="4" bestFit="1" customWidth="1"/>
    <col min="19" max="19" width="15" style="4" bestFit="1" customWidth="1"/>
    <col min="20" max="20" width="14.5546875" style="4" bestFit="1" customWidth="1"/>
    <col min="21" max="21" width="13.88671875" style="4" bestFit="1" customWidth="1"/>
    <col min="22" max="22" width="17.77734375" style="4" bestFit="1" customWidth="1"/>
    <col min="23" max="23" width="24.77734375" style="4" bestFit="1" customWidth="1"/>
    <col min="24" max="24" width="28.109375" style="4" bestFit="1" customWidth="1"/>
    <col min="25" max="25" width="24.77734375" style="4" bestFit="1" customWidth="1"/>
    <col min="26" max="27" width="13.33203125" style="4" bestFit="1" customWidth="1"/>
    <col min="28" max="29" width="8.88671875" style="4"/>
    <col min="30" max="30" width="13.33203125" style="4" bestFit="1" customWidth="1"/>
    <col min="31" max="31" width="14.5546875" style="4" bestFit="1" customWidth="1"/>
    <col min="32" max="32" width="13.77734375" style="4" bestFit="1" customWidth="1"/>
    <col min="33" max="16384" width="8.88671875" style="4"/>
  </cols>
  <sheetData>
    <row r="1" spans="1:26" ht="15" thickBot="1" x14ac:dyDescent="0.35">
      <c r="A1" s="66" t="s">
        <v>13</v>
      </c>
      <c r="B1" s="66"/>
      <c r="C1" s="66"/>
      <c r="D1" s="66"/>
      <c r="E1" s="66"/>
      <c r="F1" s="66"/>
      <c r="G1" s="66"/>
      <c r="H1" s="66"/>
      <c r="I1" s="66"/>
      <c r="O1" s="66" t="s">
        <v>14</v>
      </c>
      <c r="P1" s="66"/>
      <c r="Q1" s="66"/>
      <c r="R1" s="66"/>
      <c r="S1" s="66"/>
      <c r="T1" s="66"/>
      <c r="U1" s="66"/>
      <c r="V1" s="66"/>
      <c r="W1" s="66"/>
    </row>
    <row r="2" spans="1:26" ht="15" thickBot="1" x14ac:dyDescent="0.35">
      <c r="A2" s="22" t="str" cm="1">
        <f t="array" ref="A2:B34">Modelos!A3:B35</f>
        <v>x</v>
      </c>
      <c r="B2" s="22" t="str">
        <v>y</v>
      </c>
      <c r="C2" s="22" t="s">
        <v>15</v>
      </c>
      <c r="D2" s="22" t="s">
        <v>59</v>
      </c>
      <c r="E2" s="22" t="s">
        <v>17</v>
      </c>
      <c r="F2" s="8">
        <v>1</v>
      </c>
      <c r="G2" s="8">
        <f>A3</f>
        <v>1990</v>
      </c>
      <c r="I2" s="6" t="s">
        <v>20</v>
      </c>
      <c r="J2" s="4" cm="1">
        <f t="array" ref="J2:K3">MMULT(_xlfn.ANCHORARRAY(B38),F2:G28)</f>
        <v>27</v>
      </c>
      <c r="K2" s="4">
        <v>54081</v>
      </c>
      <c r="O2" s="22" t="str" cm="1">
        <f t="array" ref="O2:P34">Modelos!O3:P35</f>
        <v>x</v>
      </c>
      <c r="P2" s="22" t="str">
        <v>y</v>
      </c>
      <c r="Q2" s="22" t="s">
        <v>16</v>
      </c>
      <c r="R2" s="22" t="s">
        <v>59</v>
      </c>
      <c r="S2" s="6" t="s">
        <v>17</v>
      </c>
      <c r="T2" s="4">
        <v>1</v>
      </c>
      <c r="U2" s="4">
        <f>O3</f>
        <v>1990</v>
      </c>
      <c r="W2" s="6" t="s">
        <v>20</v>
      </c>
      <c r="X2" s="4" cm="1">
        <f t="array" ref="X2:Y3">MMULT(_xlfn.ANCHORARRAY(B41),T2:U28)</f>
        <v>27</v>
      </c>
      <c r="Y2" s="4">
        <v>54081</v>
      </c>
    </row>
    <row r="3" spans="1:26" ht="15" thickBot="1" x14ac:dyDescent="0.35">
      <c r="A3" s="4">
        <v>1990</v>
      </c>
      <c r="B3" s="12">
        <v>3461428</v>
      </c>
      <c r="C3" s="12">
        <f t="shared" ref="C3:C34" si="0">($J$11*A3)+$L$11</f>
        <v>3414287.7857248783</v>
      </c>
      <c r="D3" s="12">
        <f>(C3-B3)</f>
        <v>-47140.214275121689</v>
      </c>
      <c r="E3" s="22" t="s">
        <v>60</v>
      </c>
      <c r="F3" s="8">
        <v>1</v>
      </c>
      <c r="G3" s="8">
        <f t="shared" ref="G3:G28" si="1">A4</f>
        <v>1991</v>
      </c>
      <c r="J3" s="19">
        <v>54081</v>
      </c>
      <c r="K3" s="19">
        <v>108325881</v>
      </c>
      <c r="O3" s="4">
        <v>1990</v>
      </c>
      <c r="P3" s="12">
        <v>4895639</v>
      </c>
      <c r="Q3" s="12">
        <f t="shared" ref="Q3:Q34" si="2">($X$11*O3)+$Z$11</f>
        <v>4945910.2883677483</v>
      </c>
      <c r="R3" s="12">
        <f>(Q3-P3)</f>
        <v>50271.28836774826</v>
      </c>
      <c r="S3" s="22" t="s">
        <v>60</v>
      </c>
      <c r="T3" s="8">
        <v>1</v>
      </c>
      <c r="U3" s="8">
        <f t="shared" ref="U3:U28" si="3">O4</f>
        <v>1991</v>
      </c>
      <c r="X3" s="19">
        <v>54081</v>
      </c>
      <c r="Y3" s="19">
        <v>108325881</v>
      </c>
    </row>
    <row r="4" spans="1:26" x14ac:dyDescent="0.3">
      <c r="A4" s="8">
        <v>1991</v>
      </c>
      <c r="B4" s="13">
        <v>3226306</v>
      </c>
      <c r="C4" s="13">
        <f t="shared" si="0"/>
        <v>3314498.2124652267</v>
      </c>
      <c r="D4" s="13">
        <f t="shared" ref="D4:D34" si="4">(C4-B4)</f>
        <v>88192.21246522665</v>
      </c>
      <c r="E4" s="49">
        <f>AVERAGE(D3:D29)</f>
        <v>1.607338587443034E-5</v>
      </c>
      <c r="F4" s="8">
        <v>1</v>
      </c>
      <c r="G4" s="8">
        <f t="shared" si="1"/>
        <v>1992</v>
      </c>
      <c r="O4" s="8">
        <v>1991</v>
      </c>
      <c r="P4" s="13">
        <v>4723373</v>
      </c>
      <c r="Q4" s="13">
        <f t="shared" si="2"/>
        <v>4754367.6565003991</v>
      </c>
      <c r="R4" s="13">
        <f t="shared" ref="R4:R34" si="5">(Q4-P4)</f>
        <v>30994.656500399113</v>
      </c>
      <c r="S4" s="49">
        <f>AVERAGE(R3:R29)</f>
        <v>1.8420042815031827E-5</v>
      </c>
      <c r="T4" s="8">
        <v>1</v>
      </c>
      <c r="U4" s="8">
        <f t="shared" si="3"/>
        <v>1992</v>
      </c>
    </row>
    <row r="5" spans="1:26" x14ac:dyDescent="0.3">
      <c r="A5" s="8">
        <v>1992</v>
      </c>
      <c r="B5" s="13">
        <v>3145806</v>
      </c>
      <c r="C5" s="13">
        <f t="shared" si="0"/>
        <v>3214708.639205575</v>
      </c>
      <c r="D5" s="13">
        <f t="shared" si="4"/>
        <v>68902.639205574989</v>
      </c>
      <c r="F5" s="8">
        <v>1</v>
      </c>
      <c r="G5" s="8">
        <f t="shared" si="1"/>
        <v>1993</v>
      </c>
      <c r="I5" s="6" t="s">
        <v>21</v>
      </c>
      <c r="J5" s="4" cm="1">
        <f t="array" ref="J5:K6">MINVERSE(_xlfn.ANCHORARRAY(J2))</f>
        <v>2449.3709808607323</v>
      </c>
      <c r="K5" s="4">
        <v>-1.2228327228276061</v>
      </c>
      <c r="O5" s="8">
        <v>1992</v>
      </c>
      <c r="P5" s="13">
        <v>6088309</v>
      </c>
      <c r="Q5" s="13">
        <f t="shared" si="2"/>
        <v>4562825.0246331096</v>
      </c>
      <c r="R5" s="13">
        <f t="shared" si="5"/>
        <v>-1525483.9753668904</v>
      </c>
      <c r="T5" s="8">
        <v>1</v>
      </c>
      <c r="U5" s="8">
        <f t="shared" si="3"/>
        <v>1993</v>
      </c>
      <c r="W5" s="6" t="s">
        <v>21</v>
      </c>
      <c r="X5" s="4" cm="1">
        <f t="array" ref="X5:Y6">MINVERSE(_xlfn.ANCHORARRAY(X2))</f>
        <v>2449.3709808607323</v>
      </c>
      <c r="Y5" s="4">
        <v>-1.2228327228276061</v>
      </c>
    </row>
    <row r="6" spans="1:26" ht="15" thickBot="1" x14ac:dyDescent="0.35">
      <c r="A6" s="8">
        <v>1993</v>
      </c>
      <c r="B6" s="13">
        <v>3060907</v>
      </c>
      <c r="C6" s="13">
        <f t="shared" si="0"/>
        <v>3114919.0659459233</v>
      </c>
      <c r="D6" s="13">
        <f t="shared" si="4"/>
        <v>54012.065945923328</v>
      </c>
      <c r="F6" s="8">
        <v>1</v>
      </c>
      <c r="G6" s="8">
        <f t="shared" si="1"/>
        <v>1994</v>
      </c>
      <c r="J6" s="19">
        <v>-1.2228327228276061</v>
      </c>
      <c r="K6" s="19">
        <v>6.1050061049805601E-4</v>
      </c>
      <c r="O6" s="8">
        <v>1993</v>
      </c>
      <c r="P6" s="13">
        <v>4355474</v>
      </c>
      <c r="Q6" s="13">
        <f t="shared" si="2"/>
        <v>4371282.3927657604</v>
      </c>
      <c r="R6" s="13">
        <f t="shared" si="5"/>
        <v>15808.392765760422</v>
      </c>
      <c r="T6" s="8">
        <v>1</v>
      </c>
      <c r="U6" s="8">
        <f t="shared" si="3"/>
        <v>1994</v>
      </c>
      <c r="X6" s="19">
        <v>-1.2228327228276061</v>
      </c>
      <c r="Y6" s="19">
        <v>6.1050061049805601E-4</v>
      </c>
    </row>
    <row r="7" spans="1:26" x14ac:dyDescent="0.3">
      <c r="A7" s="8">
        <v>1994</v>
      </c>
      <c r="B7" s="13">
        <v>2972637</v>
      </c>
      <c r="C7" s="13">
        <f t="shared" si="0"/>
        <v>3015129.4926862717</v>
      </c>
      <c r="D7" s="13">
        <f t="shared" si="4"/>
        <v>42492.492686271667</v>
      </c>
      <c r="F7" s="8">
        <v>1</v>
      </c>
      <c r="G7" s="8">
        <f t="shared" si="1"/>
        <v>1995</v>
      </c>
      <c r="O7" s="8">
        <v>1994</v>
      </c>
      <c r="P7" s="13">
        <v>4397395</v>
      </c>
      <c r="Q7" s="13">
        <f t="shared" si="2"/>
        <v>4179739.7608984113</v>
      </c>
      <c r="R7" s="13">
        <f t="shared" si="5"/>
        <v>-217655.23910158873</v>
      </c>
      <c r="T7" s="8">
        <v>1</v>
      </c>
      <c r="U7" s="8">
        <f t="shared" si="3"/>
        <v>1995</v>
      </c>
    </row>
    <row r="8" spans="1:26" x14ac:dyDescent="0.3">
      <c r="A8" s="8">
        <v>1995</v>
      </c>
      <c r="B8" s="13">
        <v>3294894</v>
      </c>
      <c r="C8" s="13">
        <f t="shared" si="0"/>
        <v>2915339.91942662</v>
      </c>
      <c r="D8" s="13">
        <f t="shared" si="4"/>
        <v>-379554.08057337999</v>
      </c>
      <c r="F8" s="8">
        <v>1</v>
      </c>
      <c r="G8" s="8">
        <f t="shared" si="1"/>
        <v>1996</v>
      </c>
      <c r="I8" s="6" t="s">
        <v>24</v>
      </c>
      <c r="J8" s="5" t="s">
        <v>26</v>
      </c>
      <c r="K8" s="4" cm="1">
        <f t="array" ref="K8:K9">MMULT(_xlfn.ANCHORARRAY(B44),B3:B29)</f>
        <v>201995538.57243297</v>
      </c>
      <c r="O8" s="8">
        <v>1995</v>
      </c>
      <c r="P8" s="13">
        <v>3963501</v>
      </c>
      <c r="Q8" s="13">
        <f t="shared" si="2"/>
        <v>3988197.1290311217</v>
      </c>
      <c r="R8" s="13">
        <f t="shared" si="5"/>
        <v>24696.129031121731</v>
      </c>
      <c r="T8" s="8">
        <v>1</v>
      </c>
      <c r="U8" s="8">
        <f t="shared" si="3"/>
        <v>1996</v>
      </c>
      <c r="W8" s="6" t="s">
        <v>24</v>
      </c>
      <c r="X8" s="5" t="s">
        <v>26</v>
      </c>
      <c r="Y8" s="4" cm="1">
        <f t="array" ref="Y8:Y9">MMULT(_xlfn.ANCHORARRAY(B47),P3:P29)</f>
        <v>386115747.70434707</v>
      </c>
    </row>
    <row r="9" spans="1:26" ht="15" thickBot="1" x14ac:dyDescent="0.35">
      <c r="A9" s="8">
        <v>1996</v>
      </c>
      <c r="B9" s="13">
        <v>2790984</v>
      </c>
      <c r="C9" s="13">
        <f t="shared" si="0"/>
        <v>2815550.3461669683</v>
      </c>
      <c r="D9" s="13">
        <f t="shared" si="4"/>
        <v>24566.346166968346</v>
      </c>
      <c r="F9" s="8">
        <v>1</v>
      </c>
      <c r="G9" s="8">
        <f t="shared" si="1"/>
        <v>1997</v>
      </c>
      <c r="J9" s="24" t="s">
        <v>25</v>
      </c>
      <c r="K9" s="11">
        <v>-99789.573259652301</v>
      </c>
      <c r="O9" s="8">
        <v>1996</v>
      </c>
      <c r="P9" s="13">
        <v>3737912</v>
      </c>
      <c r="Q9" s="13">
        <f t="shared" si="2"/>
        <v>3796654.4971637726</v>
      </c>
      <c r="R9" s="13">
        <f t="shared" si="5"/>
        <v>58742.497163772583</v>
      </c>
      <c r="T9" s="8">
        <v>1</v>
      </c>
      <c r="U9" s="8">
        <f t="shared" si="3"/>
        <v>1997</v>
      </c>
      <c r="X9" s="24" t="s">
        <v>25</v>
      </c>
      <c r="Y9" s="11">
        <v>-191542.6318673263</v>
      </c>
    </row>
    <row r="10" spans="1:26" x14ac:dyDescent="0.3">
      <c r="A10" s="8">
        <v>1997</v>
      </c>
      <c r="B10" s="13">
        <v>2700511</v>
      </c>
      <c r="C10" s="13">
        <f t="shared" si="0"/>
        <v>2715760.7729073167</v>
      </c>
      <c r="D10" s="13">
        <f t="shared" si="4"/>
        <v>15249.772907316685</v>
      </c>
      <c r="F10" s="8">
        <v>1</v>
      </c>
      <c r="G10" s="8">
        <f t="shared" si="1"/>
        <v>1998</v>
      </c>
      <c r="O10" s="8">
        <v>1997</v>
      </c>
      <c r="P10" s="13">
        <v>3570720</v>
      </c>
      <c r="Q10" s="13">
        <f t="shared" si="2"/>
        <v>3605111.8652964234</v>
      </c>
      <c r="R10" s="13">
        <f t="shared" si="5"/>
        <v>34391.865296423435</v>
      </c>
      <c r="T10" s="8">
        <v>1</v>
      </c>
      <c r="U10" s="8">
        <f t="shared" si="3"/>
        <v>1998</v>
      </c>
    </row>
    <row r="11" spans="1:26" ht="15" thickBot="1" x14ac:dyDescent="0.35">
      <c r="A11" s="8">
        <v>1998</v>
      </c>
      <c r="B11" s="13">
        <v>2612586</v>
      </c>
      <c r="C11" s="13">
        <f t="shared" si="0"/>
        <v>2615971.199647665</v>
      </c>
      <c r="D11" s="13">
        <f t="shared" si="4"/>
        <v>3385.1996476650238</v>
      </c>
      <c r="F11" s="8">
        <v>1</v>
      </c>
      <c r="G11" s="8">
        <f t="shared" si="1"/>
        <v>1999</v>
      </c>
      <c r="I11" s="25" t="s">
        <v>27</v>
      </c>
      <c r="J11" s="19">
        <f>K9</f>
        <v>-99789.573259652301</v>
      </c>
      <c r="K11" s="25" t="s">
        <v>28</v>
      </c>
      <c r="L11" s="19">
        <f>K8</f>
        <v>201995538.57243297</v>
      </c>
      <c r="O11" s="8">
        <v>1998</v>
      </c>
      <c r="P11" s="13">
        <v>3861196</v>
      </c>
      <c r="Q11" s="13">
        <f t="shared" si="2"/>
        <v>3413569.2334291339</v>
      </c>
      <c r="R11" s="13">
        <f t="shared" si="5"/>
        <v>-447626.76657086611</v>
      </c>
      <c r="T11" s="8">
        <v>1</v>
      </c>
      <c r="U11" s="8">
        <f t="shared" si="3"/>
        <v>1999</v>
      </c>
      <c r="W11" s="25" t="s">
        <v>10</v>
      </c>
      <c r="X11" s="19">
        <f>Y9</f>
        <v>-191542.6318673263</v>
      </c>
      <c r="Y11" s="25" t="s">
        <v>28</v>
      </c>
      <c r="Z11" s="19">
        <f>Y8</f>
        <v>386115747.70434707</v>
      </c>
    </row>
    <row r="12" spans="1:26" x14ac:dyDescent="0.3">
      <c r="A12" s="8">
        <v>1999</v>
      </c>
      <c r="B12" s="13">
        <v>2529098</v>
      </c>
      <c r="C12" s="13">
        <f t="shared" si="0"/>
        <v>2516181.6263880134</v>
      </c>
      <c r="D12" s="13">
        <f t="shared" si="4"/>
        <v>-12916.373611986637</v>
      </c>
      <c r="F12" s="8">
        <v>1</v>
      </c>
      <c r="G12" s="8">
        <f t="shared" si="1"/>
        <v>2000</v>
      </c>
      <c r="O12" s="8">
        <v>1999</v>
      </c>
      <c r="P12" s="13">
        <v>3209585</v>
      </c>
      <c r="Q12" s="13">
        <f t="shared" si="2"/>
        <v>3222026.6015617847</v>
      </c>
      <c r="R12" s="13">
        <f t="shared" si="5"/>
        <v>12441.601561784744</v>
      </c>
      <c r="T12" s="8">
        <v>1</v>
      </c>
      <c r="U12" s="8">
        <f t="shared" si="3"/>
        <v>2000</v>
      </c>
    </row>
    <row r="13" spans="1:26" x14ac:dyDescent="0.3">
      <c r="A13" s="8">
        <v>2000</v>
      </c>
      <c r="B13" s="13">
        <v>1939390</v>
      </c>
      <c r="C13" s="13">
        <f t="shared" si="0"/>
        <v>2416392.0531283617</v>
      </c>
      <c r="D13" s="13">
        <f t="shared" si="4"/>
        <v>477002.0531283617</v>
      </c>
      <c r="F13" s="8">
        <v>1</v>
      </c>
      <c r="G13" s="8">
        <f t="shared" si="1"/>
        <v>2001</v>
      </c>
      <c r="O13" s="8">
        <v>2000</v>
      </c>
      <c r="P13" s="13">
        <v>2027139</v>
      </c>
      <c r="Q13" s="13">
        <f t="shared" si="2"/>
        <v>3030483.9696944952</v>
      </c>
      <c r="R13" s="13">
        <f t="shared" si="5"/>
        <v>1003344.9696944952</v>
      </c>
      <c r="T13" s="8">
        <v>1</v>
      </c>
      <c r="U13" s="8">
        <f t="shared" si="3"/>
        <v>2001</v>
      </c>
    </row>
    <row r="14" spans="1:26" x14ac:dyDescent="0.3">
      <c r="A14" s="8">
        <v>2001</v>
      </c>
      <c r="B14" s="13">
        <v>2377636</v>
      </c>
      <c r="C14" s="13">
        <f t="shared" si="0"/>
        <v>2316602.47986871</v>
      </c>
      <c r="D14" s="13">
        <f t="shared" si="4"/>
        <v>-61033.520131289959</v>
      </c>
      <c r="F14" s="8">
        <v>1</v>
      </c>
      <c r="G14" s="8">
        <f t="shared" si="1"/>
        <v>2002</v>
      </c>
      <c r="O14" s="8">
        <v>2001</v>
      </c>
      <c r="P14" s="13">
        <v>2901506</v>
      </c>
      <c r="Q14" s="13">
        <f t="shared" si="2"/>
        <v>2838941.3378271461</v>
      </c>
      <c r="R14" s="13">
        <f t="shared" si="5"/>
        <v>-62564.662172853947</v>
      </c>
      <c r="T14" s="8">
        <v>1</v>
      </c>
      <c r="U14" s="8">
        <f t="shared" si="3"/>
        <v>2002</v>
      </c>
    </row>
    <row r="15" spans="1:26" x14ac:dyDescent="0.3">
      <c r="A15" s="8">
        <v>2002</v>
      </c>
      <c r="B15" s="13">
        <v>2305968</v>
      </c>
      <c r="C15" s="13">
        <f t="shared" si="0"/>
        <v>2216812.9066090584</v>
      </c>
      <c r="D15" s="13">
        <f t="shared" si="4"/>
        <v>-89155.09339094162</v>
      </c>
      <c r="F15" s="8">
        <v>1</v>
      </c>
      <c r="G15" s="8">
        <f t="shared" si="1"/>
        <v>2003</v>
      </c>
      <c r="O15" s="8">
        <v>2002</v>
      </c>
      <c r="P15" s="13">
        <v>2194510</v>
      </c>
      <c r="Q15" s="13">
        <f t="shared" si="2"/>
        <v>2647398.7059597969</v>
      </c>
      <c r="R15" s="13">
        <f t="shared" si="5"/>
        <v>452888.70595979691</v>
      </c>
      <c r="T15" s="8">
        <v>1</v>
      </c>
      <c r="U15" s="8">
        <f t="shared" si="3"/>
        <v>2003</v>
      </c>
    </row>
    <row r="16" spans="1:26" x14ac:dyDescent="0.3">
      <c r="A16" s="8">
        <v>2003</v>
      </c>
      <c r="B16" s="13">
        <v>2233776</v>
      </c>
      <c r="C16" s="13">
        <f t="shared" si="0"/>
        <v>2117023.3333494067</v>
      </c>
      <c r="D16" s="13">
        <f t="shared" si="4"/>
        <v>-116752.66665059328</v>
      </c>
      <c r="F16" s="8">
        <v>1</v>
      </c>
      <c r="G16" s="8">
        <f t="shared" si="1"/>
        <v>2004</v>
      </c>
      <c r="O16" s="8">
        <v>2003</v>
      </c>
      <c r="P16" s="13">
        <v>2619621</v>
      </c>
      <c r="Q16" s="13">
        <f t="shared" si="2"/>
        <v>2455856.0740925074</v>
      </c>
      <c r="R16" s="13">
        <f t="shared" si="5"/>
        <v>-163764.92590749264</v>
      </c>
      <c r="T16" s="8">
        <v>1</v>
      </c>
      <c r="U16" s="8">
        <f t="shared" si="3"/>
        <v>2004</v>
      </c>
    </row>
    <row r="17" spans="1:25" x14ac:dyDescent="0.3">
      <c r="A17" s="8">
        <v>2004</v>
      </c>
      <c r="B17" s="13">
        <v>2158422</v>
      </c>
      <c r="C17" s="13">
        <f t="shared" si="0"/>
        <v>2017233.7600897551</v>
      </c>
      <c r="D17" s="13">
        <f t="shared" si="4"/>
        <v>-141188.23991024494</v>
      </c>
      <c r="F17" s="8">
        <v>1</v>
      </c>
      <c r="G17" s="8">
        <f t="shared" si="1"/>
        <v>2005</v>
      </c>
      <c r="O17" s="8">
        <v>2004</v>
      </c>
      <c r="P17" s="13">
        <v>1500398</v>
      </c>
      <c r="Q17" s="13">
        <f t="shared" si="2"/>
        <v>2264313.4422251582</v>
      </c>
      <c r="R17" s="13">
        <f t="shared" si="5"/>
        <v>763915.44222515821</v>
      </c>
      <c r="T17" s="8">
        <v>1</v>
      </c>
      <c r="U17" s="8">
        <f t="shared" si="3"/>
        <v>2005</v>
      </c>
      <c r="Y17" s="10"/>
    </row>
    <row r="18" spans="1:25" x14ac:dyDescent="0.3">
      <c r="A18" s="8">
        <v>2005</v>
      </c>
      <c r="B18" s="13">
        <v>1385140</v>
      </c>
      <c r="C18" s="13">
        <f t="shared" si="0"/>
        <v>1917444.1868301034</v>
      </c>
      <c r="D18" s="13">
        <f t="shared" si="4"/>
        <v>532304.1868301034</v>
      </c>
      <c r="F18" s="8">
        <v>1</v>
      </c>
      <c r="G18" s="8">
        <f t="shared" si="1"/>
        <v>2006</v>
      </c>
      <c r="O18" s="8">
        <v>2005</v>
      </c>
      <c r="P18" s="13">
        <v>1157694</v>
      </c>
      <c r="Q18" s="13">
        <f t="shared" si="2"/>
        <v>2072770.8103578687</v>
      </c>
      <c r="R18" s="13">
        <f t="shared" si="5"/>
        <v>915076.81035786867</v>
      </c>
      <c r="T18" s="8">
        <v>1</v>
      </c>
      <c r="U18" s="8">
        <f t="shared" si="3"/>
        <v>2006</v>
      </c>
    </row>
    <row r="19" spans="1:25" x14ac:dyDescent="0.3">
      <c r="A19" s="8">
        <v>2006</v>
      </c>
      <c r="B19" s="13">
        <v>1987406</v>
      </c>
      <c r="C19" s="13">
        <f t="shared" si="0"/>
        <v>1817654.6135704517</v>
      </c>
      <c r="D19" s="13">
        <f t="shared" si="4"/>
        <v>-169751.38642954826</v>
      </c>
      <c r="F19" s="8">
        <v>1</v>
      </c>
      <c r="G19" s="8">
        <f t="shared" si="1"/>
        <v>2007</v>
      </c>
      <c r="O19" s="8">
        <v>2006</v>
      </c>
      <c r="P19" s="13">
        <v>975242</v>
      </c>
      <c r="Q19" s="13">
        <f t="shared" si="2"/>
        <v>1881228.1784905195</v>
      </c>
      <c r="R19" s="13">
        <f t="shared" si="5"/>
        <v>905986.17849051952</v>
      </c>
      <c r="T19" s="8">
        <v>1</v>
      </c>
      <c r="U19" s="8">
        <f t="shared" si="3"/>
        <v>2007</v>
      </c>
    </row>
    <row r="20" spans="1:25" x14ac:dyDescent="0.3">
      <c r="A20" s="8">
        <v>2007</v>
      </c>
      <c r="B20" s="13">
        <v>1886241</v>
      </c>
      <c r="C20" s="13">
        <f t="shared" si="0"/>
        <v>1717865.0403108001</v>
      </c>
      <c r="D20" s="13">
        <f t="shared" si="4"/>
        <v>-168375.95968919992</v>
      </c>
      <c r="F20" s="8">
        <v>1</v>
      </c>
      <c r="G20" s="8">
        <f t="shared" si="1"/>
        <v>2008</v>
      </c>
      <c r="O20" s="8">
        <v>2007</v>
      </c>
      <c r="P20" s="13">
        <v>1953971</v>
      </c>
      <c r="Q20" s="13">
        <f t="shared" si="2"/>
        <v>1689685.5466231704</v>
      </c>
      <c r="R20" s="13">
        <f t="shared" si="5"/>
        <v>-264285.45337682962</v>
      </c>
      <c r="T20" s="8">
        <v>1</v>
      </c>
      <c r="U20" s="8">
        <f t="shared" si="3"/>
        <v>2008</v>
      </c>
    </row>
    <row r="21" spans="1:25" x14ac:dyDescent="0.3">
      <c r="A21" s="8">
        <v>2008</v>
      </c>
      <c r="B21" s="13">
        <v>1433813</v>
      </c>
      <c r="C21" s="13">
        <f t="shared" si="0"/>
        <v>1618075.4670511484</v>
      </c>
      <c r="D21" s="13">
        <f t="shared" si="4"/>
        <v>184262.46705114841</v>
      </c>
      <c r="F21" s="8">
        <v>1</v>
      </c>
      <c r="G21" s="8">
        <f t="shared" si="1"/>
        <v>2009</v>
      </c>
      <c r="O21" s="8">
        <v>2008</v>
      </c>
      <c r="P21" s="13">
        <v>1234325</v>
      </c>
      <c r="Q21" s="13">
        <f t="shared" si="2"/>
        <v>1498142.9147558808</v>
      </c>
      <c r="R21" s="13">
        <f t="shared" si="5"/>
        <v>263817.91475588083</v>
      </c>
      <c r="T21" s="8">
        <v>1</v>
      </c>
      <c r="U21" s="8">
        <f t="shared" si="3"/>
        <v>2009</v>
      </c>
    </row>
    <row r="22" spans="1:25" x14ac:dyDescent="0.3">
      <c r="A22" s="8">
        <v>2009</v>
      </c>
      <c r="B22" s="13">
        <v>1790656</v>
      </c>
      <c r="C22" s="13">
        <f t="shared" si="0"/>
        <v>1518285.8937914968</v>
      </c>
      <c r="D22" s="13">
        <f t="shared" si="4"/>
        <v>-272370.10620850325</v>
      </c>
      <c r="F22" s="8">
        <v>1</v>
      </c>
      <c r="G22" s="8">
        <f t="shared" si="1"/>
        <v>2010</v>
      </c>
      <c r="O22" s="8">
        <v>2009</v>
      </c>
      <c r="P22" s="13">
        <v>1482378</v>
      </c>
      <c r="Q22" s="13">
        <f t="shared" si="2"/>
        <v>1306600.2828885317</v>
      </c>
      <c r="R22" s="13">
        <f t="shared" si="5"/>
        <v>-175777.71711146832</v>
      </c>
      <c r="T22" s="8">
        <v>1</v>
      </c>
      <c r="U22" s="8">
        <f t="shared" si="3"/>
        <v>2010</v>
      </c>
    </row>
    <row r="23" spans="1:25" x14ac:dyDescent="0.3">
      <c r="A23" s="8">
        <v>2010</v>
      </c>
      <c r="B23" s="13">
        <v>1474432</v>
      </c>
      <c r="C23" s="13">
        <f t="shared" si="0"/>
        <v>1418496.3205318451</v>
      </c>
      <c r="D23" s="13">
        <f t="shared" si="4"/>
        <v>-55935.679468154907</v>
      </c>
      <c r="F23" s="8">
        <v>1</v>
      </c>
      <c r="G23" s="8">
        <f t="shared" si="1"/>
        <v>2011</v>
      </c>
      <c r="O23" s="8">
        <v>2010</v>
      </c>
      <c r="P23" s="13">
        <v>895500</v>
      </c>
      <c r="Q23" s="13">
        <f t="shared" si="2"/>
        <v>1115057.6510211825</v>
      </c>
      <c r="R23" s="13">
        <f t="shared" si="5"/>
        <v>219557.65102118254</v>
      </c>
      <c r="T23" s="8">
        <v>1</v>
      </c>
      <c r="U23" s="8">
        <f t="shared" si="3"/>
        <v>2011</v>
      </c>
    </row>
    <row r="24" spans="1:25" x14ac:dyDescent="0.3">
      <c r="A24" s="8">
        <v>2011</v>
      </c>
      <c r="B24" s="13">
        <v>1534389</v>
      </c>
      <c r="C24" s="13">
        <f t="shared" si="0"/>
        <v>1318706.7472721934</v>
      </c>
      <c r="D24" s="13">
        <f t="shared" si="4"/>
        <v>-215682.25272780657</v>
      </c>
      <c r="F24" s="8">
        <v>1</v>
      </c>
      <c r="G24" s="8">
        <f t="shared" si="1"/>
        <v>2012</v>
      </c>
      <c r="O24" s="8">
        <v>2011</v>
      </c>
      <c r="P24" s="13">
        <v>895129</v>
      </c>
      <c r="Q24" s="13">
        <f t="shared" si="2"/>
        <v>923515.01915389299</v>
      </c>
      <c r="R24" s="13">
        <f t="shared" si="5"/>
        <v>28386.019153892994</v>
      </c>
      <c r="T24" s="8">
        <v>1</v>
      </c>
      <c r="U24" s="8">
        <f t="shared" si="3"/>
        <v>2012</v>
      </c>
    </row>
    <row r="25" spans="1:25" x14ac:dyDescent="0.3">
      <c r="A25" s="8">
        <v>2012</v>
      </c>
      <c r="B25" s="13">
        <v>1391360</v>
      </c>
      <c r="C25" s="13">
        <f t="shared" si="0"/>
        <v>1218917.1740125418</v>
      </c>
      <c r="D25" s="13">
        <f t="shared" si="4"/>
        <v>-172442.82598745823</v>
      </c>
      <c r="F25" s="8">
        <v>1</v>
      </c>
      <c r="G25" s="8">
        <f t="shared" si="1"/>
        <v>2013</v>
      </c>
      <c r="O25" s="8">
        <v>2012</v>
      </c>
      <c r="P25" s="13">
        <v>1073394</v>
      </c>
      <c r="Q25" s="13">
        <f t="shared" si="2"/>
        <v>731972.38728654385</v>
      </c>
      <c r="R25" s="13">
        <f t="shared" si="5"/>
        <v>-341421.61271345615</v>
      </c>
      <c r="T25" s="8">
        <v>1</v>
      </c>
      <c r="U25" s="8">
        <f t="shared" si="3"/>
        <v>2013</v>
      </c>
    </row>
    <row r="26" spans="1:25" x14ac:dyDescent="0.3">
      <c r="A26" s="8">
        <v>2013</v>
      </c>
      <c r="B26" s="13">
        <v>1051290</v>
      </c>
      <c r="C26" s="13">
        <f t="shared" si="0"/>
        <v>1119127.6007528901</v>
      </c>
      <c r="D26" s="13">
        <f t="shared" si="4"/>
        <v>67837.60075289011</v>
      </c>
      <c r="F26" s="8">
        <v>1</v>
      </c>
      <c r="G26" s="8">
        <f t="shared" si="1"/>
        <v>2014</v>
      </c>
      <c r="O26" s="8">
        <v>2013</v>
      </c>
      <c r="P26" s="13">
        <v>307892</v>
      </c>
      <c r="Q26" s="13">
        <f t="shared" si="2"/>
        <v>540429.7554192543</v>
      </c>
      <c r="R26" s="13">
        <f t="shared" si="5"/>
        <v>232537.7554192543</v>
      </c>
      <c r="T26" s="8">
        <v>1</v>
      </c>
      <c r="U26" s="8">
        <f t="shared" si="3"/>
        <v>2014</v>
      </c>
    </row>
    <row r="27" spans="1:25" x14ac:dyDescent="0.3">
      <c r="A27" s="8">
        <v>2014</v>
      </c>
      <c r="B27" s="13">
        <v>1055753</v>
      </c>
      <c r="C27" s="13">
        <f t="shared" si="0"/>
        <v>1019338.0274932384</v>
      </c>
      <c r="D27" s="13">
        <f t="shared" si="4"/>
        <v>-36414.972506761551</v>
      </c>
      <c r="F27" s="8">
        <v>1</v>
      </c>
      <c r="G27" s="8">
        <f t="shared" si="1"/>
        <v>2015</v>
      </c>
      <c r="O27" s="8">
        <v>2014</v>
      </c>
      <c r="P27" s="13">
        <v>1027402</v>
      </c>
      <c r="Q27" s="13">
        <f t="shared" si="2"/>
        <v>348887.12355190516</v>
      </c>
      <c r="R27" s="13">
        <f t="shared" si="5"/>
        <v>-678514.87644809484</v>
      </c>
      <c r="T27" s="8">
        <v>1</v>
      </c>
      <c r="U27" s="8">
        <f t="shared" si="3"/>
        <v>2015</v>
      </c>
    </row>
    <row r="28" spans="1:25" ht="15" thickBot="1" x14ac:dyDescent="0.35">
      <c r="A28" s="8">
        <v>2015</v>
      </c>
      <c r="B28" s="13">
        <v>874435</v>
      </c>
      <c r="C28" s="13">
        <f t="shared" si="0"/>
        <v>919548.45423358679</v>
      </c>
      <c r="D28" s="13">
        <f t="shared" si="4"/>
        <v>45113.454233586788</v>
      </c>
      <c r="F28" s="11">
        <v>1</v>
      </c>
      <c r="G28" s="11">
        <f t="shared" si="1"/>
        <v>2016</v>
      </c>
      <c r="O28" s="8">
        <v>2015</v>
      </c>
      <c r="P28" s="13">
        <v>1258909</v>
      </c>
      <c r="Q28" s="13">
        <f t="shared" si="2"/>
        <v>157344.49168455601</v>
      </c>
      <c r="R28" s="13">
        <f t="shared" si="5"/>
        <v>-1101564.508315444</v>
      </c>
      <c r="T28" s="11">
        <v>1</v>
      </c>
      <c r="U28" s="11">
        <f t="shared" si="3"/>
        <v>2016</v>
      </c>
    </row>
    <row r="29" spans="1:25" ht="15" thickBot="1" x14ac:dyDescent="0.35">
      <c r="A29" s="11">
        <v>2016</v>
      </c>
      <c r="B29" s="14">
        <v>484366</v>
      </c>
      <c r="C29" s="14">
        <f t="shared" si="0"/>
        <v>819758.88097393513</v>
      </c>
      <c r="D29" s="14">
        <f t="shared" si="4"/>
        <v>335392.88097393513</v>
      </c>
      <c r="O29" s="11">
        <v>2016</v>
      </c>
      <c r="P29" s="14">
        <v>0</v>
      </c>
      <c r="Q29" s="14">
        <f t="shared" si="2"/>
        <v>-34198.140182733536</v>
      </c>
      <c r="R29" s="14">
        <f t="shared" si="5"/>
        <v>-34198.140182733536</v>
      </c>
    </row>
    <row r="30" spans="1:25" x14ac:dyDescent="0.3">
      <c r="A30" s="26">
        <v>2017</v>
      </c>
      <c r="B30" s="27">
        <v>719969.307692306</v>
      </c>
      <c r="C30" s="27">
        <f t="shared" si="0"/>
        <v>719969.30771428347</v>
      </c>
      <c r="D30" s="27">
        <f t="shared" si="4"/>
        <v>2.1977466531097889E-5</v>
      </c>
      <c r="O30" s="26">
        <v>2017</v>
      </c>
      <c r="P30" s="27">
        <v>0</v>
      </c>
      <c r="Q30" s="27">
        <f t="shared" si="2"/>
        <v>-225740.77205008268</v>
      </c>
      <c r="R30" s="27">
        <f t="shared" si="5"/>
        <v>-225740.77205008268</v>
      </c>
    </row>
    <row r="31" spans="1:25" x14ac:dyDescent="0.3">
      <c r="A31" s="8">
        <v>2018</v>
      </c>
      <c r="B31" s="13">
        <v>620179.73443223594</v>
      </c>
      <c r="C31" s="13">
        <f t="shared" si="0"/>
        <v>620179.73445463181</v>
      </c>
      <c r="D31" s="13">
        <f t="shared" si="4"/>
        <v>2.2395863197743893E-5</v>
      </c>
      <c r="O31" s="8">
        <v>2018</v>
      </c>
      <c r="P31" s="13">
        <v>0</v>
      </c>
      <c r="Q31" s="13">
        <f t="shared" si="2"/>
        <v>-417283.40391737223</v>
      </c>
      <c r="R31" s="13">
        <f t="shared" si="5"/>
        <v>-417283.40391737223</v>
      </c>
    </row>
    <row r="32" spans="1:25" x14ac:dyDescent="0.3">
      <c r="A32" s="8">
        <v>2019</v>
      </c>
      <c r="B32" s="13">
        <v>520390.161172166</v>
      </c>
      <c r="C32" s="13">
        <f t="shared" si="0"/>
        <v>520390.16119498014</v>
      </c>
      <c r="D32" s="13">
        <f t="shared" si="4"/>
        <v>2.2814143449068069E-5</v>
      </c>
      <c r="O32" s="8">
        <v>2019</v>
      </c>
      <c r="P32" s="13">
        <v>0</v>
      </c>
      <c r="Q32" s="13">
        <f t="shared" si="2"/>
        <v>-608826.03578472137</v>
      </c>
      <c r="R32" s="13">
        <f t="shared" si="5"/>
        <v>-608826.03578472137</v>
      </c>
    </row>
    <row r="33" spans="1:28" x14ac:dyDescent="0.3">
      <c r="A33" s="8">
        <v>2020</v>
      </c>
      <c r="B33" s="13">
        <v>420600.58791208599</v>
      </c>
      <c r="C33" s="13">
        <f t="shared" si="0"/>
        <v>420600.58793532848</v>
      </c>
      <c r="D33" s="13">
        <f t="shared" si="4"/>
        <v>2.3242493625730276E-5</v>
      </c>
      <c r="O33" s="8">
        <v>2020</v>
      </c>
      <c r="P33" s="13">
        <v>0</v>
      </c>
      <c r="Q33" s="13">
        <f t="shared" si="2"/>
        <v>-800368.66765207052</v>
      </c>
      <c r="R33" s="13">
        <f t="shared" si="5"/>
        <v>-800368.66765207052</v>
      </c>
    </row>
    <row r="34" spans="1:28" ht="15" thickBot="1" x14ac:dyDescent="0.35">
      <c r="A34" s="11">
        <v>2021</v>
      </c>
      <c r="B34" s="14">
        <v>320811.01465201599</v>
      </c>
      <c r="C34" s="14">
        <f t="shared" si="0"/>
        <v>320811.01467567682</v>
      </c>
      <c r="D34" s="14">
        <f t="shared" si="4"/>
        <v>2.3660832084715366E-5</v>
      </c>
      <c r="O34" s="11">
        <v>2021</v>
      </c>
      <c r="P34" s="14">
        <v>0</v>
      </c>
      <c r="Q34" s="14">
        <f t="shared" si="2"/>
        <v>-991911.29951936007</v>
      </c>
      <c r="R34" s="14">
        <f t="shared" si="5"/>
        <v>-991911.29951936007</v>
      </c>
    </row>
    <row r="35" spans="1:28" x14ac:dyDescent="0.3">
      <c r="A35" s="10"/>
      <c r="B35" s="10"/>
      <c r="D35" s="12"/>
      <c r="O35" s="28"/>
      <c r="P35" s="29"/>
      <c r="Q35" s="29"/>
    </row>
    <row r="36" spans="1:28" x14ac:dyDescent="0.3">
      <c r="A36" s="10"/>
      <c r="B36" s="10"/>
      <c r="N36" s="10"/>
      <c r="O36" s="10"/>
      <c r="P36" s="10"/>
      <c r="Q36" s="10"/>
      <c r="R36" s="10"/>
    </row>
    <row r="38" spans="1:28" ht="15" thickBot="1" x14ac:dyDescent="0.35">
      <c r="A38" s="7" t="s">
        <v>18</v>
      </c>
      <c r="B38" s="8" cm="1">
        <f t="array" ref="B38:AB39">TRANSPOSE(F2:G28)</f>
        <v>1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</row>
    <row r="39" spans="1:28" ht="15" thickBot="1" x14ac:dyDescent="0.35">
      <c r="B39" s="11">
        <v>1990</v>
      </c>
      <c r="C39" s="11">
        <v>1991</v>
      </c>
      <c r="D39" s="11">
        <v>1992</v>
      </c>
      <c r="E39" s="11">
        <v>1993</v>
      </c>
      <c r="F39" s="11">
        <v>1994</v>
      </c>
      <c r="G39" s="11">
        <v>1995</v>
      </c>
      <c r="H39" s="11">
        <v>1996</v>
      </c>
      <c r="I39" s="11">
        <v>1997</v>
      </c>
      <c r="J39" s="11">
        <v>1998</v>
      </c>
      <c r="K39" s="11">
        <v>1999</v>
      </c>
      <c r="L39" s="11">
        <v>2000</v>
      </c>
      <c r="M39" s="11">
        <v>2001</v>
      </c>
      <c r="N39" s="11">
        <v>2002</v>
      </c>
      <c r="O39" s="11">
        <v>2003</v>
      </c>
      <c r="P39" s="11">
        <v>2004</v>
      </c>
      <c r="Q39" s="11">
        <v>2005</v>
      </c>
      <c r="R39" s="11">
        <v>2006</v>
      </c>
      <c r="S39" s="11">
        <v>2007</v>
      </c>
      <c r="T39" s="11">
        <v>2008</v>
      </c>
      <c r="U39" s="11">
        <v>2009</v>
      </c>
      <c r="V39" s="11">
        <v>2010</v>
      </c>
      <c r="W39" s="11">
        <v>2011</v>
      </c>
      <c r="X39" s="11">
        <v>2012</v>
      </c>
      <c r="Y39" s="11">
        <v>2013</v>
      </c>
      <c r="Z39" s="11">
        <v>2014</v>
      </c>
      <c r="AA39" s="11">
        <v>2015</v>
      </c>
      <c r="AB39" s="11">
        <v>2016</v>
      </c>
    </row>
    <row r="40" spans="1:28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" thickBot="1" x14ac:dyDescent="0.35">
      <c r="A41" s="7" t="s">
        <v>19</v>
      </c>
      <c r="B41" s="23" cm="1">
        <f t="array" ref="B41:AB42">TRANSPOSE(T2:U28)</f>
        <v>1</v>
      </c>
      <c r="C41" s="23">
        <v>1</v>
      </c>
      <c r="D41" s="23">
        <v>1</v>
      </c>
      <c r="E41" s="23">
        <v>1</v>
      </c>
      <c r="F41" s="23">
        <v>1</v>
      </c>
      <c r="G41" s="23">
        <v>1</v>
      </c>
      <c r="H41" s="23">
        <v>1</v>
      </c>
      <c r="I41" s="23">
        <v>1</v>
      </c>
      <c r="J41" s="23">
        <v>1</v>
      </c>
      <c r="K41" s="23">
        <v>1</v>
      </c>
      <c r="L41" s="23">
        <v>1</v>
      </c>
      <c r="M41" s="23">
        <v>1</v>
      </c>
      <c r="N41" s="23">
        <v>1</v>
      </c>
      <c r="O41" s="23">
        <v>1</v>
      </c>
      <c r="P41" s="23">
        <v>1</v>
      </c>
      <c r="Q41" s="23">
        <v>1</v>
      </c>
      <c r="R41" s="23">
        <v>1</v>
      </c>
      <c r="S41" s="23">
        <v>1</v>
      </c>
      <c r="T41" s="23">
        <v>1</v>
      </c>
      <c r="U41" s="23">
        <v>1</v>
      </c>
      <c r="V41" s="23">
        <v>1</v>
      </c>
      <c r="W41" s="23">
        <v>1</v>
      </c>
      <c r="X41" s="23">
        <v>1</v>
      </c>
      <c r="Y41" s="23">
        <v>1</v>
      </c>
      <c r="Z41" s="23">
        <v>1</v>
      </c>
      <c r="AA41" s="23">
        <v>1</v>
      </c>
      <c r="AB41" s="23">
        <v>1</v>
      </c>
    </row>
    <row r="42" spans="1:28" ht="15" thickBot="1" x14ac:dyDescent="0.35">
      <c r="B42" s="11">
        <v>1990</v>
      </c>
      <c r="C42" s="11">
        <v>1991</v>
      </c>
      <c r="D42" s="11">
        <v>1992</v>
      </c>
      <c r="E42" s="11">
        <v>1993</v>
      </c>
      <c r="F42" s="11">
        <v>1994</v>
      </c>
      <c r="G42" s="11">
        <v>1995</v>
      </c>
      <c r="H42" s="11">
        <v>1996</v>
      </c>
      <c r="I42" s="11">
        <v>1997</v>
      </c>
      <c r="J42" s="11">
        <v>1998</v>
      </c>
      <c r="K42" s="11">
        <v>1999</v>
      </c>
      <c r="L42" s="11">
        <v>2000</v>
      </c>
      <c r="M42" s="11">
        <v>2001</v>
      </c>
      <c r="N42" s="11">
        <v>2002</v>
      </c>
      <c r="O42" s="11">
        <v>2003</v>
      </c>
      <c r="P42" s="11">
        <v>2004</v>
      </c>
      <c r="Q42" s="11">
        <v>2005</v>
      </c>
      <c r="R42" s="11">
        <v>2006</v>
      </c>
      <c r="S42" s="11">
        <v>2007</v>
      </c>
      <c r="T42" s="11">
        <v>2008</v>
      </c>
      <c r="U42" s="11">
        <v>2009</v>
      </c>
      <c r="V42" s="11">
        <v>2010</v>
      </c>
      <c r="W42" s="11">
        <v>2011</v>
      </c>
      <c r="X42" s="11">
        <v>2012</v>
      </c>
      <c r="Y42" s="11">
        <v>2013</v>
      </c>
      <c r="Z42" s="11">
        <v>2014</v>
      </c>
      <c r="AA42" s="11">
        <v>2015</v>
      </c>
      <c r="AB42" s="11">
        <v>2016</v>
      </c>
    </row>
    <row r="44" spans="1:28" x14ac:dyDescent="0.3">
      <c r="A44" s="70" t="s">
        <v>22</v>
      </c>
      <c r="B44" s="4" cm="1">
        <f t="array" ref="B44:AB45">MMULT(_xlfn.ANCHORARRAY(J5),_xlfn.ANCHORARRAY(B38))</f>
        <v>15.933862433796094</v>
      </c>
      <c r="C44" s="4">
        <v>14.711029710968432</v>
      </c>
      <c r="D44" s="4">
        <v>13.488196988140771</v>
      </c>
      <c r="E44" s="4">
        <v>12.26536426531311</v>
      </c>
      <c r="F44" s="4">
        <v>11.042531542485449</v>
      </c>
      <c r="G44" s="4">
        <v>9.8196988196582424</v>
      </c>
      <c r="H44" s="4">
        <v>8.5968660968305812</v>
      </c>
      <c r="I44" s="4">
        <v>7.37403337400292</v>
      </c>
      <c r="J44" s="4">
        <v>6.1512006511752588</v>
      </c>
      <c r="K44" s="4">
        <v>4.9283679283475976</v>
      </c>
      <c r="L44" s="4">
        <v>3.7055352055199364</v>
      </c>
      <c r="M44" s="4">
        <v>2.4827024826922752</v>
      </c>
      <c r="N44" s="4">
        <v>1.259869759864614</v>
      </c>
      <c r="O44" s="4">
        <v>3.7037037037407572E-2</v>
      </c>
      <c r="P44" s="4">
        <v>-1.1857956857902536</v>
      </c>
      <c r="Q44" s="4">
        <v>-2.4086284086179148</v>
      </c>
      <c r="R44" s="4">
        <v>-3.631461131445576</v>
      </c>
      <c r="S44" s="4">
        <v>-4.8542938542732372</v>
      </c>
      <c r="T44" s="4">
        <v>-6.0771265771008984</v>
      </c>
      <c r="U44" s="4">
        <v>-7.2999592999285596</v>
      </c>
      <c r="V44" s="4">
        <v>-8.5227920227562208</v>
      </c>
      <c r="W44" s="4">
        <v>-9.7456247455834273</v>
      </c>
      <c r="X44" s="4">
        <v>-10.968457468411088</v>
      </c>
      <c r="Y44" s="4">
        <v>-12.19129019123875</v>
      </c>
      <c r="Z44" s="4">
        <v>-13.414122914066411</v>
      </c>
      <c r="AA44" s="4">
        <v>-14.636955636894072</v>
      </c>
      <c r="AB44" s="4">
        <v>-15.859788359721733</v>
      </c>
    </row>
    <row r="45" spans="1:28" ht="15" thickBot="1" x14ac:dyDescent="0.35">
      <c r="A45" s="71"/>
      <c r="B45" s="11">
        <v>-7.9365079364746016E-3</v>
      </c>
      <c r="C45" s="11">
        <v>-7.3260073259766578E-3</v>
      </c>
      <c r="D45" s="11">
        <v>-6.715506715478492E-3</v>
      </c>
      <c r="E45" s="11">
        <v>-6.1050061049805482E-3</v>
      </c>
      <c r="F45" s="11">
        <v>-5.4945054944823823E-3</v>
      </c>
      <c r="G45" s="11">
        <v>-4.8840048839844385E-3</v>
      </c>
      <c r="H45" s="11">
        <v>-4.2735042734862727E-3</v>
      </c>
      <c r="I45" s="11">
        <v>-3.6630036629883289E-3</v>
      </c>
      <c r="J45" s="11">
        <v>-3.0525030524901631E-3</v>
      </c>
      <c r="K45" s="11">
        <v>-2.4420024419922193E-3</v>
      </c>
      <c r="L45" s="11">
        <v>-1.8315018314940534E-3</v>
      </c>
      <c r="M45" s="11">
        <v>-1.2210012209961096E-3</v>
      </c>
      <c r="N45" s="11">
        <v>-6.105006104979438E-4</v>
      </c>
      <c r="O45" s="11">
        <v>0</v>
      </c>
      <c r="P45" s="11">
        <v>6.1050061049816584E-4</v>
      </c>
      <c r="Q45" s="11">
        <v>1.2210012209961096E-3</v>
      </c>
      <c r="R45" s="11">
        <v>1.8315018314942755E-3</v>
      </c>
      <c r="S45" s="11">
        <v>2.4420024419922193E-3</v>
      </c>
      <c r="T45" s="11">
        <v>3.0525030524903851E-3</v>
      </c>
      <c r="U45" s="11">
        <v>3.6630036629883289E-3</v>
      </c>
      <c r="V45" s="11">
        <v>4.2735042734864948E-3</v>
      </c>
      <c r="W45" s="11">
        <v>4.8840048839844385E-3</v>
      </c>
      <c r="X45" s="11">
        <v>5.4945054944826044E-3</v>
      </c>
      <c r="Y45" s="11">
        <v>6.1050061049805482E-3</v>
      </c>
      <c r="Z45" s="11">
        <v>6.715506715478714E-3</v>
      </c>
      <c r="AA45" s="11">
        <v>7.3260073259766578E-3</v>
      </c>
      <c r="AB45" s="11">
        <v>7.9365079364748237E-3</v>
      </c>
    </row>
    <row r="47" spans="1:28" ht="13.2" customHeight="1" x14ac:dyDescent="0.3">
      <c r="A47" s="70" t="s">
        <v>23</v>
      </c>
      <c r="B47" s="4" cm="1">
        <f t="array" ref="B47:AB48">MMULT(_xlfn.ANCHORARRAY(X5),_xlfn.ANCHORARRAY(B41))</f>
        <v>15.933862433796094</v>
      </c>
      <c r="C47" s="4">
        <v>14.711029710968432</v>
      </c>
      <c r="D47" s="4">
        <v>13.488196988140771</v>
      </c>
      <c r="E47" s="4">
        <v>12.26536426531311</v>
      </c>
      <c r="F47" s="4">
        <v>11.042531542485449</v>
      </c>
      <c r="G47" s="4">
        <v>9.8196988196582424</v>
      </c>
      <c r="H47" s="4">
        <v>8.5968660968305812</v>
      </c>
      <c r="I47" s="4">
        <v>7.37403337400292</v>
      </c>
      <c r="J47" s="4">
        <v>6.1512006511752588</v>
      </c>
      <c r="K47" s="4">
        <v>4.9283679283475976</v>
      </c>
      <c r="L47" s="4">
        <v>3.7055352055199364</v>
      </c>
      <c r="M47" s="4">
        <v>2.4827024826922752</v>
      </c>
      <c r="N47" s="4">
        <v>1.259869759864614</v>
      </c>
      <c r="O47" s="4">
        <v>3.7037037037407572E-2</v>
      </c>
      <c r="P47" s="4">
        <v>-1.1857956857902536</v>
      </c>
      <c r="Q47" s="4">
        <v>-2.4086284086179148</v>
      </c>
      <c r="R47" s="4">
        <v>-3.631461131445576</v>
      </c>
      <c r="S47" s="4">
        <v>-4.8542938542732372</v>
      </c>
      <c r="T47" s="4">
        <v>-6.0771265771008984</v>
      </c>
      <c r="U47" s="4">
        <v>-7.2999592999285596</v>
      </c>
      <c r="V47" s="4">
        <v>-8.5227920227562208</v>
      </c>
      <c r="W47" s="4">
        <v>-9.7456247455834273</v>
      </c>
      <c r="X47" s="4">
        <v>-10.968457468411088</v>
      </c>
      <c r="Y47" s="4">
        <v>-12.19129019123875</v>
      </c>
      <c r="Z47" s="4">
        <v>-13.414122914066411</v>
      </c>
      <c r="AA47" s="4">
        <v>-14.636955636894072</v>
      </c>
      <c r="AB47" s="4">
        <v>-15.859788359721733</v>
      </c>
    </row>
    <row r="48" spans="1:28" ht="14.4" customHeight="1" thickBot="1" x14ac:dyDescent="0.35">
      <c r="A48" s="71"/>
      <c r="B48" s="11">
        <v>-7.9365079364746016E-3</v>
      </c>
      <c r="C48" s="11">
        <v>-7.3260073259766578E-3</v>
      </c>
      <c r="D48" s="11">
        <v>-6.715506715478492E-3</v>
      </c>
      <c r="E48" s="11">
        <v>-6.1050061049805482E-3</v>
      </c>
      <c r="F48" s="11">
        <v>-5.4945054944823823E-3</v>
      </c>
      <c r="G48" s="11">
        <v>-4.8840048839844385E-3</v>
      </c>
      <c r="H48" s="11">
        <v>-4.2735042734862727E-3</v>
      </c>
      <c r="I48" s="11">
        <v>-3.6630036629883289E-3</v>
      </c>
      <c r="J48" s="11">
        <v>-3.0525030524901631E-3</v>
      </c>
      <c r="K48" s="11">
        <v>-2.4420024419922193E-3</v>
      </c>
      <c r="L48" s="11">
        <v>-1.8315018314940534E-3</v>
      </c>
      <c r="M48" s="11">
        <v>-1.2210012209961096E-3</v>
      </c>
      <c r="N48" s="11">
        <v>-6.105006104979438E-4</v>
      </c>
      <c r="O48" s="11">
        <v>0</v>
      </c>
      <c r="P48" s="11">
        <v>6.1050061049816584E-4</v>
      </c>
      <c r="Q48" s="11">
        <v>1.2210012209961096E-3</v>
      </c>
      <c r="R48" s="11">
        <v>1.8315018314942755E-3</v>
      </c>
      <c r="S48" s="11">
        <v>2.4420024419922193E-3</v>
      </c>
      <c r="T48" s="11">
        <v>3.0525030524903851E-3</v>
      </c>
      <c r="U48" s="11">
        <v>3.6630036629883289E-3</v>
      </c>
      <c r="V48" s="11">
        <v>4.2735042734864948E-3</v>
      </c>
      <c r="W48" s="11">
        <v>4.8840048839844385E-3</v>
      </c>
      <c r="X48" s="11">
        <v>5.4945054944826044E-3</v>
      </c>
      <c r="Y48" s="11">
        <v>6.1050061049805482E-3</v>
      </c>
      <c r="Z48" s="11">
        <v>6.715506715478714E-3</v>
      </c>
      <c r="AA48" s="11">
        <v>7.3260073259766578E-3</v>
      </c>
      <c r="AB48" s="11">
        <v>7.9365079364748237E-3</v>
      </c>
    </row>
    <row r="50" spans="1:32" ht="15" thickBot="1" x14ac:dyDescent="0.35"/>
    <row r="51" spans="1:32" ht="15" thickBot="1" x14ac:dyDescent="0.35">
      <c r="A51" s="66" t="s">
        <v>29</v>
      </c>
      <c r="B51" s="66"/>
      <c r="C51" s="66"/>
      <c r="D51" s="66"/>
      <c r="E51" s="66"/>
      <c r="F51" s="66"/>
      <c r="G51" s="66"/>
      <c r="H51" s="66"/>
      <c r="I51" s="66"/>
      <c r="N51" s="22" t="s">
        <v>59</v>
      </c>
      <c r="O51" s="22" t="s">
        <v>60</v>
      </c>
      <c r="Q51" s="66" t="s">
        <v>30</v>
      </c>
      <c r="R51" s="66"/>
      <c r="S51" s="66"/>
      <c r="T51" s="66"/>
      <c r="U51" s="66"/>
      <c r="V51" s="66"/>
      <c r="W51" s="66"/>
      <c r="X51" s="66"/>
      <c r="Y51" s="66"/>
    </row>
    <row r="52" spans="1:32" ht="15" thickBot="1" x14ac:dyDescent="0.35">
      <c r="A52" s="22" t="str" cm="1">
        <f t="array" ref="A52:B84">Modelos!A3:B35</f>
        <v>x</v>
      </c>
      <c r="B52" s="22" t="str">
        <v>y</v>
      </c>
      <c r="C52" s="22" t="s">
        <v>31</v>
      </c>
      <c r="D52" s="6" t="s">
        <v>17</v>
      </c>
      <c r="E52" s="8">
        <v>1</v>
      </c>
      <c r="F52" s="8">
        <f t="shared" ref="F52:F78" si="6">A53</f>
        <v>1990</v>
      </c>
      <c r="G52" s="13">
        <f>F52^2</f>
        <v>3960100</v>
      </c>
      <c r="I52" s="6" t="s">
        <v>20</v>
      </c>
      <c r="J52" s="4" cm="1">
        <f t="array" ref="J52:L54">MMULT(_xlfn.ANCHORARRAY(B86),E52:G78)</f>
        <v>27</v>
      </c>
      <c r="K52" s="4">
        <v>54081</v>
      </c>
      <c r="L52" s="4">
        <v>108325881</v>
      </c>
      <c r="N52" s="13">
        <f>(C53-B53)</f>
        <v>-89315.5238904953</v>
      </c>
      <c r="O52" s="49">
        <f>AVERAGE(N52:N78)</f>
        <v>1.317349981378626</v>
      </c>
      <c r="Q52" s="22" t="str" cm="1">
        <f t="array" ref="Q52:R84">Modelos!O3:P35</f>
        <v>x</v>
      </c>
      <c r="R52" s="22" t="str">
        <v>y</v>
      </c>
      <c r="S52" s="22" t="s">
        <v>31</v>
      </c>
      <c r="T52" s="6" t="s">
        <v>17</v>
      </c>
      <c r="U52" s="8">
        <v>1</v>
      </c>
      <c r="V52" s="8">
        <f t="shared" ref="V52:V78" si="7">Q53</f>
        <v>1990</v>
      </c>
      <c r="W52" s="13">
        <f>V52^2</f>
        <v>3960100</v>
      </c>
      <c r="Y52" s="6" t="s">
        <v>20</v>
      </c>
      <c r="Z52" s="4" cm="1">
        <f t="array" ref="Z52:AB54">MMULT(_xlfn.ANCHORARRAY(B90),U52:W78)</f>
        <v>27</v>
      </c>
      <c r="AA52" s="4">
        <v>54081</v>
      </c>
      <c r="AB52" s="4">
        <v>108325881</v>
      </c>
      <c r="AE52" s="22" t="s">
        <v>59</v>
      </c>
      <c r="AF52" s="22" t="s">
        <v>60</v>
      </c>
    </row>
    <row r="53" spans="1:32" x14ac:dyDescent="0.3">
      <c r="A53" s="4">
        <v>1990</v>
      </c>
      <c r="B53" s="12">
        <v>3461428</v>
      </c>
      <c r="C53" s="12">
        <f>$I$65+($K$65*A53)+($K$62*(A53^2))</f>
        <v>3372112.4761095047</v>
      </c>
      <c r="E53" s="8">
        <v>1</v>
      </c>
      <c r="F53" s="8">
        <f t="shared" si="6"/>
        <v>1991</v>
      </c>
      <c r="G53" s="13">
        <f t="shared" ref="G53:G78" si="8">F53^2</f>
        <v>3964081</v>
      </c>
      <c r="J53" s="4">
        <v>54081</v>
      </c>
      <c r="K53" s="4">
        <v>108325881</v>
      </c>
      <c r="L53" s="4">
        <v>216983301471</v>
      </c>
      <c r="N53" s="13">
        <f t="shared" ref="N53:N78" si="9">(C54-B54)</f>
        <v>55749.962526321411</v>
      </c>
      <c r="Q53" s="4">
        <v>1990</v>
      </c>
      <c r="R53" s="12">
        <v>4895639</v>
      </c>
      <c r="S53" s="12">
        <f t="shared" ref="S53:S84" si="10">$Y$65+($AA$65*Q53)+($AC$65*(Q53^2))</f>
        <v>5511660.9474258423</v>
      </c>
      <c r="U53" s="8">
        <v>1</v>
      </c>
      <c r="V53" s="8">
        <f t="shared" si="7"/>
        <v>1991</v>
      </c>
      <c r="W53" s="13">
        <f t="shared" ref="W53:W78" si="11">V53^2</f>
        <v>3964081</v>
      </c>
      <c r="Z53" s="4">
        <v>54081</v>
      </c>
      <c r="AA53" s="4">
        <v>108325881</v>
      </c>
      <c r="AB53" s="4">
        <v>216983301471</v>
      </c>
      <c r="AE53" s="13">
        <f>(S53-R53)</f>
        <v>616021.94742584229</v>
      </c>
      <c r="AF53" s="49">
        <f>AVERAGE(AE53:AE79)</f>
        <v>1.4290515758373119</v>
      </c>
    </row>
    <row r="54" spans="1:32" ht="15" thickBot="1" x14ac:dyDescent="0.35">
      <c r="A54" s="8">
        <v>1991</v>
      </c>
      <c r="B54" s="13">
        <v>3226306</v>
      </c>
      <c r="C54" s="13">
        <f t="shared" ref="C54:C84" si="12">$I$65+($K$65*A54)+($K$62*(A54^2))</f>
        <v>3282055.9625263214</v>
      </c>
      <c r="E54" s="8">
        <v>1</v>
      </c>
      <c r="F54" s="8">
        <f t="shared" si="6"/>
        <v>1992</v>
      </c>
      <c r="G54" s="13">
        <f t="shared" si="8"/>
        <v>3968064</v>
      </c>
      <c r="J54" s="19">
        <v>108325881</v>
      </c>
      <c r="K54" s="19">
        <v>216983301471</v>
      </c>
      <c r="L54" s="19">
        <v>434637268037181</v>
      </c>
      <c r="N54" s="13">
        <f t="shared" si="9"/>
        <v>45414.804492473602</v>
      </c>
      <c r="Q54" s="8">
        <v>1991</v>
      </c>
      <c r="R54" s="13">
        <v>4723373</v>
      </c>
      <c r="S54" s="13">
        <f t="shared" si="10"/>
        <v>5189560.7914543152</v>
      </c>
      <c r="U54" s="8">
        <v>1</v>
      </c>
      <c r="V54" s="8">
        <f t="shared" si="7"/>
        <v>1992</v>
      </c>
      <c r="W54" s="13">
        <f t="shared" si="11"/>
        <v>3968064</v>
      </c>
      <c r="Z54" s="19">
        <v>108325881</v>
      </c>
      <c r="AA54" s="19">
        <v>216983301471</v>
      </c>
      <c r="AB54" s="19">
        <v>434637268037181</v>
      </c>
      <c r="AE54" s="13">
        <f t="shared" ref="AE54:AE79" si="13">(S54-R54)</f>
        <v>466187.79145431519</v>
      </c>
    </row>
    <row r="55" spans="1:32" x14ac:dyDescent="0.3">
      <c r="A55" s="8">
        <v>1992</v>
      </c>
      <c r="B55" s="13">
        <v>3145806</v>
      </c>
      <c r="C55" s="13">
        <f t="shared" si="12"/>
        <v>3191220.8044924736</v>
      </c>
      <c r="E55" s="8">
        <v>1</v>
      </c>
      <c r="F55" s="8">
        <f t="shared" si="6"/>
        <v>1993</v>
      </c>
      <c r="G55" s="13">
        <f t="shared" si="8"/>
        <v>3972049</v>
      </c>
      <c r="N55" s="13">
        <f t="shared" si="9"/>
        <v>38700.002007246017</v>
      </c>
      <c r="Q55" s="8">
        <v>1992</v>
      </c>
      <c r="R55" s="13">
        <v>6088309</v>
      </c>
      <c r="S55" s="13">
        <f t="shared" si="10"/>
        <v>4877905.2377967834</v>
      </c>
      <c r="U55" s="8">
        <v>1</v>
      </c>
      <c r="V55" s="8">
        <f t="shared" si="7"/>
        <v>1993</v>
      </c>
      <c r="W55" s="13">
        <f t="shared" si="11"/>
        <v>3972049</v>
      </c>
      <c r="AE55" s="13">
        <f t="shared" si="13"/>
        <v>-1210403.7622032166</v>
      </c>
    </row>
    <row r="56" spans="1:32" x14ac:dyDescent="0.3">
      <c r="A56" s="8">
        <v>1993</v>
      </c>
      <c r="B56" s="13">
        <v>3060907</v>
      </c>
      <c r="C56" s="13">
        <f t="shared" si="12"/>
        <v>3099607.002007246</v>
      </c>
      <c r="E56" s="8">
        <v>1</v>
      </c>
      <c r="F56" s="8">
        <f t="shared" si="6"/>
        <v>1994</v>
      </c>
      <c r="G56" s="13">
        <f t="shared" si="8"/>
        <v>3976036</v>
      </c>
      <c r="I56" s="6" t="s">
        <v>21</v>
      </c>
      <c r="J56" s="4" cm="1">
        <f t="array" ref="J56:L58">MINVERSE(_xlfn.ANCHORARRAY(J52))</f>
        <v>203308170.02572742</v>
      </c>
      <c r="K56" s="4">
        <v>-203005.51134206905</v>
      </c>
      <c r="L56" s="4">
        <v>50.675059538133766</v>
      </c>
      <c r="N56" s="13">
        <f t="shared" si="9"/>
        <v>34577.555071353912</v>
      </c>
      <c r="Q56" s="8">
        <v>1993</v>
      </c>
      <c r="R56" s="13">
        <v>4355474</v>
      </c>
      <c r="S56" s="13">
        <f t="shared" si="10"/>
        <v>4576694.286441803</v>
      </c>
      <c r="U56" s="8">
        <v>1</v>
      </c>
      <c r="V56" s="8">
        <f t="shared" si="7"/>
        <v>1994</v>
      </c>
      <c r="W56" s="13">
        <f t="shared" si="11"/>
        <v>3976036</v>
      </c>
      <c r="Y56" s="6" t="s">
        <v>21</v>
      </c>
      <c r="Z56" s="4" cm="1">
        <f t="array" ref="Z56:AB58">MINVERSE(_xlfn.ANCHORARRAY(Z52))</f>
        <v>203308170.02572742</v>
      </c>
      <c r="AA56" s="4">
        <v>-203005.51134206905</v>
      </c>
      <c r="AB56" s="4">
        <v>50.675059538133766</v>
      </c>
      <c r="AE56" s="13">
        <f t="shared" si="13"/>
        <v>221220.28644180298</v>
      </c>
    </row>
    <row r="57" spans="1:32" x14ac:dyDescent="0.3">
      <c r="A57" s="8">
        <v>1994</v>
      </c>
      <c r="B57" s="13">
        <v>2972637</v>
      </c>
      <c r="C57" s="13">
        <f t="shared" si="12"/>
        <v>3007214.5550713539</v>
      </c>
      <c r="E57" s="8">
        <v>1</v>
      </c>
      <c r="F57" s="8">
        <f t="shared" si="6"/>
        <v>1995</v>
      </c>
      <c r="G57" s="13">
        <f t="shared" si="8"/>
        <v>3980025</v>
      </c>
      <c r="J57" s="4">
        <v>-203005.51134291387</v>
      </c>
      <c r="K57" s="4">
        <v>202.70391378513236</v>
      </c>
      <c r="L57" s="4">
        <v>-5.0599925932336219E-2</v>
      </c>
      <c r="N57" s="13">
        <f t="shared" si="9"/>
        <v>-380850.53631520271</v>
      </c>
      <c r="Q57" s="8">
        <v>1994</v>
      </c>
      <c r="R57" s="13">
        <v>4397395</v>
      </c>
      <c r="S57" s="13">
        <f t="shared" si="10"/>
        <v>4285927.9374046326</v>
      </c>
      <c r="U57" s="8">
        <v>1</v>
      </c>
      <c r="V57" s="8">
        <f t="shared" si="7"/>
        <v>1995</v>
      </c>
      <c r="W57" s="13">
        <f t="shared" si="11"/>
        <v>3980025</v>
      </c>
      <c r="Z57" s="10">
        <v>-203005.51134291387</v>
      </c>
      <c r="AA57" s="10">
        <v>202.70391378513236</v>
      </c>
      <c r="AB57" s="10">
        <v>-5.0599925932336219E-2</v>
      </c>
      <c r="AE57" s="13">
        <f t="shared" si="13"/>
        <v>-111467.06259536743</v>
      </c>
    </row>
    <row r="58" spans="1:32" ht="15" thickBot="1" x14ac:dyDescent="0.35">
      <c r="A58" s="8">
        <v>1995</v>
      </c>
      <c r="B58" s="13">
        <v>3294894</v>
      </c>
      <c r="C58" s="13">
        <f t="shared" si="12"/>
        <v>2914043.4636847973</v>
      </c>
      <c r="E58" s="8">
        <v>1</v>
      </c>
      <c r="F58" s="8">
        <f t="shared" si="6"/>
        <v>1996</v>
      </c>
      <c r="G58" s="13">
        <f t="shared" si="8"/>
        <v>3984016</v>
      </c>
      <c r="J58" s="19">
        <v>50.675059538555551</v>
      </c>
      <c r="K58" s="19">
        <v>-5.0599925932546794E-2</v>
      </c>
      <c r="L58" s="19">
        <v>1.2631034930766577E-5</v>
      </c>
      <c r="N58" s="13">
        <f t="shared" si="9"/>
        <v>29109.727847099304</v>
      </c>
      <c r="Q58" s="8">
        <v>1995</v>
      </c>
      <c r="R58" s="13">
        <v>3963501</v>
      </c>
      <c r="S58" s="13">
        <f t="shared" si="10"/>
        <v>4005606.190662384</v>
      </c>
      <c r="U58" s="8">
        <v>1</v>
      </c>
      <c r="V58" s="8">
        <f t="shared" si="7"/>
        <v>1996</v>
      </c>
      <c r="W58" s="13">
        <f t="shared" si="11"/>
        <v>3984016</v>
      </c>
      <c r="Z58" s="19">
        <v>50.675059538555551</v>
      </c>
      <c r="AA58" s="19">
        <v>-5.0599925932546794E-2</v>
      </c>
      <c r="AB58" s="19">
        <v>1.2631034930766577E-5</v>
      </c>
      <c r="AE58" s="13">
        <f t="shared" si="13"/>
        <v>42105.190662384033</v>
      </c>
    </row>
    <row r="59" spans="1:32" x14ac:dyDescent="0.3">
      <c r="A59" s="8">
        <v>1996</v>
      </c>
      <c r="B59" s="13">
        <v>2790984</v>
      </c>
      <c r="C59" s="13">
        <f t="shared" si="12"/>
        <v>2820093.7278470993</v>
      </c>
      <c r="E59" s="8">
        <v>1</v>
      </c>
      <c r="F59" s="8">
        <f t="shared" si="6"/>
        <v>1997</v>
      </c>
      <c r="G59" s="13">
        <f t="shared" si="8"/>
        <v>3988009</v>
      </c>
      <c r="N59" s="13">
        <f t="shared" si="9"/>
        <v>24854.347558736801</v>
      </c>
      <c r="Q59" s="8">
        <v>1996</v>
      </c>
      <c r="R59" s="13">
        <v>3737912</v>
      </c>
      <c r="S59" s="13">
        <f t="shared" si="10"/>
        <v>3735729.0462303162</v>
      </c>
      <c r="U59" s="8">
        <v>1</v>
      </c>
      <c r="V59" s="8">
        <f t="shared" si="7"/>
        <v>1997</v>
      </c>
      <c r="W59" s="13">
        <f t="shared" si="11"/>
        <v>3988009</v>
      </c>
      <c r="AE59" s="13">
        <f t="shared" si="13"/>
        <v>-2182.9537696838379</v>
      </c>
    </row>
    <row r="60" spans="1:32" x14ac:dyDescent="0.3">
      <c r="A60" s="8">
        <v>1997</v>
      </c>
      <c r="B60" s="13">
        <v>2700511</v>
      </c>
      <c r="C60" s="13">
        <f t="shared" si="12"/>
        <v>2725365.3475587368</v>
      </c>
      <c r="E60" s="8">
        <v>1</v>
      </c>
      <c r="F60" s="8">
        <f t="shared" si="6"/>
        <v>1998</v>
      </c>
      <c r="G60" s="13">
        <f t="shared" si="8"/>
        <v>3992004</v>
      </c>
      <c r="I60" s="6" t="s">
        <v>24</v>
      </c>
      <c r="J60" s="5" t="s">
        <v>32</v>
      </c>
      <c r="K60" s="4" cm="1">
        <f t="array" ref="K60:K62">MMULT(_xlfn.ANCHORARRAY(B94),B53:B79)</f>
        <v>-1359945121.6677423</v>
      </c>
      <c r="N60" s="13">
        <f t="shared" si="9"/>
        <v>17272.322819471359</v>
      </c>
      <c r="Q60" s="8">
        <v>1997</v>
      </c>
      <c r="R60" s="13">
        <v>3570720</v>
      </c>
      <c r="S60" s="13">
        <f t="shared" si="10"/>
        <v>3476296.5041046143</v>
      </c>
      <c r="U60" s="8">
        <v>1</v>
      </c>
      <c r="V60" s="8">
        <f t="shared" si="7"/>
        <v>1998</v>
      </c>
      <c r="W60" s="13">
        <f t="shared" si="11"/>
        <v>3992004</v>
      </c>
      <c r="Y60" s="6" t="s">
        <v>24</v>
      </c>
      <c r="Z60" s="5" t="s">
        <v>32</v>
      </c>
      <c r="AA60" s="4" cm="1">
        <f t="array" ref="AA60:AA62">MMULT(_xlfn.ANCHORARRAY(B98),R53:R79)</f>
        <v>21337718148.918247</v>
      </c>
      <c r="AE60" s="13">
        <f t="shared" si="13"/>
        <v>-94423.495895385742</v>
      </c>
    </row>
    <row r="61" spans="1:32" x14ac:dyDescent="0.3">
      <c r="A61" s="8">
        <v>1998</v>
      </c>
      <c r="B61" s="13">
        <v>2612586</v>
      </c>
      <c r="C61" s="13">
        <f t="shared" si="12"/>
        <v>2629858.3228194714</v>
      </c>
      <c r="E61" s="8">
        <v>1</v>
      </c>
      <c r="F61" s="8">
        <f t="shared" si="6"/>
        <v>1999</v>
      </c>
      <c r="G61" s="13">
        <f t="shared" si="8"/>
        <v>3996001</v>
      </c>
      <c r="J61" s="31" t="s">
        <v>26</v>
      </c>
      <c r="K61" s="8">
        <v>1459835.2658742275</v>
      </c>
      <c r="N61" s="13">
        <f t="shared" si="9"/>
        <v>4474.6536290645599</v>
      </c>
      <c r="Q61" s="8">
        <v>1998</v>
      </c>
      <c r="R61" s="13">
        <v>3861196</v>
      </c>
      <c r="S61" s="13">
        <f t="shared" si="10"/>
        <v>3227308.564289093</v>
      </c>
      <c r="U61" s="8">
        <v>1</v>
      </c>
      <c r="V61" s="8">
        <f t="shared" si="7"/>
        <v>1999</v>
      </c>
      <c r="W61" s="13">
        <f t="shared" si="11"/>
        <v>3996001</v>
      </c>
      <c r="Z61" s="31" t="s">
        <v>26</v>
      </c>
      <c r="AA61" s="8">
        <v>-21112081.048377361</v>
      </c>
      <c r="AE61" s="13">
        <f t="shared" si="13"/>
        <v>-633887.43571090698</v>
      </c>
    </row>
    <row r="62" spans="1:32" ht="15" thickBot="1" x14ac:dyDescent="0.35">
      <c r="A62" s="8">
        <v>1999</v>
      </c>
      <c r="B62" s="13">
        <v>2529098</v>
      </c>
      <c r="C62" s="13">
        <f t="shared" si="12"/>
        <v>2533572.6536290646</v>
      </c>
      <c r="E62" s="8">
        <v>1</v>
      </c>
      <c r="F62" s="8">
        <f t="shared" si="6"/>
        <v>2000</v>
      </c>
      <c r="G62" s="13">
        <f t="shared" si="8"/>
        <v>4000000</v>
      </c>
      <c r="J62" s="24" t="s">
        <v>33</v>
      </c>
      <c r="K62" s="11">
        <v>-389.32222543518117</v>
      </c>
      <c r="N62" s="13">
        <f t="shared" si="9"/>
        <v>497118.33998823166</v>
      </c>
      <c r="Q62" s="8">
        <v>1999</v>
      </c>
      <c r="R62" s="13">
        <v>3209585</v>
      </c>
      <c r="S62" s="13">
        <f t="shared" si="10"/>
        <v>2988765.226776123</v>
      </c>
      <c r="U62" s="8">
        <v>1</v>
      </c>
      <c r="V62" s="8">
        <f t="shared" si="7"/>
        <v>2000</v>
      </c>
      <c r="W62" s="13">
        <f t="shared" si="11"/>
        <v>4000000</v>
      </c>
      <c r="Z62" s="24" t="s">
        <v>33</v>
      </c>
      <c r="AA62" s="11">
        <v>5222.3011535820124</v>
      </c>
      <c r="AE62" s="13">
        <f t="shared" si="13"/>
        <v>-220819.77322387695</v>
      </c>
    </row>
    <row r="63" spans="1:32" x14ac:dyDescent="0.3">
      <c r="A63" s="8">
        <v>2000</v>
      </c>
      <c r="B63" s="13">
        <v>1939390</v>
      </c>
      <c r="C63" s="13">
        <f t="shared" si="12"/>
        <v>2436508.3399882317</v>
      </c>
      <c r="E63" s="8">
        <v>1</v>
      </c>
      <c r="F63" s="8">
        <f t="shared" si="6"/>
        <v>2001</v>
      </c>
      <c r="G63" s="13">
        <f t="shared" si="8"/>
        <v>4004001</v>
      </c>
      <c r="N63" s="13">
        <f t="shared" si="9"/>
        <v>-38970.618103742599</v>
      </c>
      <c r="Q63" s="8">
        <v>2000</v>
      </c>
      <c r="R63" s="13">
        <v>2027139</v>
      </c>
      <c r="S63" s="13">
        <f t="shared" si="10"/>
        <v>2760666.4915733337</v>
      </c>
      <c r="U63" s="8">
        <v>1</v>
      </c>
      <c r="V63" s="8">
        <f t="shared" si="7"/>
        <v>2001</v>
      </c>
      <c r="W63" s="13">
        <f t="shared" si="11"/>
        <v>4004001</v>
      </c>
      <c r="AE63" s="13">
        <f t="shared" si="13"/>
        <v>733527.49157333374</v>
      </c>
    </row>
    <row r="64" spans="1:32" x14ac:dyDescent="0.3">
      <c r="A64" s="8">
        <v>2001</v>
      </c>
      <c r="B64" s="13">
        <v>2377636</v>
      </c>
      <c r="C64" s="13">
        <f t="shared" si="12"/>
        <v>2338665.3818962574</v>
      </c>
      <c r="E64" s="8">
        <v>1</v>
      </c>
      <c r="F64" s="8">
        <f t="shared" si="6"/>
        <v>2002</v>
      </c>
      <c r="G64" s="13">
        <f t="shared" si="8"/>
        <v>4008004</v>
      </c>
      <c r="N64" s="13">
        <f t="shared" si="9"/>
        <v>-65924.220646858215</v>
      </c>
      <c r="Q64" s="8">
        <v>2001</v>
      </c>
      <c r="R64" s="13">
        <v>2901506</v>
      </c>
      <c r="S64" s="13">
        <f t="shared" si="10"/>
        <v>2543012.3586769104</v>
      </c>
      <c r="U64" s="8">
        <v>1</v>
      </c>
      <c r="V64" s="8">
        <f t="shared" si="7"/>
        <v>2002</v>
      </c>
      <c r="W64" s="13">
        <f t="shared" si="11"/>
        <v>4008004</v>
      </c>
      <c r="AE64" s="13">
        <f t="shared" si="13"/>
        <v>-358493.6413230896</v>
      </c>
    </row>
    <row r="65" spans="1:31" ht="15" thickBot="1" x14ac:dyDescent="0.35">
      <c r="A65" s="8">
        <v>2002</v>
      </c>
      <c r="B65" s="13">
        <v>2305968</v>
      </c>
      <c r="C65" s="13">
        <f t="shared" si="12"/>
        <v>2240043.7793531418</v>
      </c>
      <c r="E65" s="8">
        <v>1</v>
      </c>
      <c r="F65" s="8">
        <f t="shared" si="6"/>
        <v>2003</v>
      </c>
      <c r="G65" s="13">
        <f t="shared" si="8"/>
        <v>4012009</v>
      </c>
      <c r="I65" s="19">
        <f>K60</f>
        <v>-1359945121.6677423</v>
      </c>
      <c r="J65" s="25" t="s">
        <v>34</v>
      </c>
      <c r="K65" s="19">
        <f>K61</f>
        <v>1459835.2658742275</v>
      </c>
      <c r="L65" s="25" t="s">
        <v>28</v>
      </c>
      <c r="M65" s="32">
        <f>K62</f>
        <v>-389.32222543518117</v>
      </c>
      <c r="N65" s="13">
        <f t="shared" si="9"/>
        <v>-93132.467640399933</v>
      </c>
      <c r="Q65" s="8">
        <v>2002</v>
      </c>
      <c r="R65" s="13">
        <v>2194510</v>
      </c>
      <c r="S65" s="13">
        <f t="shared" si="10"/>
        <v>2335802.828086853</v>
      </c>
      <c r="U65" s="8">
        <v>1</v>
      </c>
      <c r="V65" s="8">
        <f t="shared" si="7"/>
        <v>2003</v>
      </c>
      <c r="W65" s="13">
        <f t="shared" si="11"/>
        <v>4012009</v>
      </c>
      <c r="Y65" s="19">
        <f>AA60</f>
        <v>21337718148.918247</v>
      </c>
      <c r="Z65" s="34" t="s">
        <v>34</v>
      </c>
      <c r="AA65" s="19">
        <f>AA61</f>
        <v>-21112081.048377361</v>
      </c>
      <c r="AB65" s="34" t="s">
        <v>28</v>
      </c>
      <c r="AC65" s="32">
        <f>AA62</f>
        <v>5222.3011535820124</v>
      </c>
      <c r="AE65" s="13">
        <f t="shared" si="13"/>
        <v>141292.82808685303</v>
      </c>
    </row>
    <row r="66" spans="1:31" x14ac:dyDescent="0.3">
      <c r="A66" s="8">
        <v>2003</v>
      </c>
      <c r="B66" s="13">
        <v>2233776</v>
      </c>
      <c r="C66" s="13">
        <f t="shared" si="12"/>
        <v>2140643.5323596001</v>
      </c>
      <c r="E66" s="8">
        <v>1</v>
      </c>
      <c r="F66" s="8">
        <f t="shared" si="6"/>
        <v>2004</v>
      </c>
      <c r="G66" s="13">
        <f t="shared" si="8"/>
        <v>4016016</v>
      </c>
      <c r="N66" s="13">
        <f t="shared" si="9"/>
        <v>-117957.35908460617</v>
      </c>
      <c r="Q66" s="8">
        <v>2003</v>
      </c>
      <c r="R66" s="13">
        <v>2619621</v>
      </c>
      <c r="S66" s="13">
        <f t="shared" si="10"/>
        <v>2139037.8998069763</v>
      </c>
      <c r="U66" s="8">
        <v>1</v>
      </c>
      <c r="V66" s="8">
        <f t="shared" si="7"/>
        <v>2004</v>
      </c>
      <c r="W66" s="13">
        <f t="shared" si="11"/>
        <v>4016016</v>
      </c>
      <c r="AE66" s="13">
        <f t="shared" si="13"/>
        <v>-480583.10019302368</v>
      </c>
    </row>
    <row r="67" spans="1:31" x14ac:dyDescent="0.3">
      <c r="A67" s="8">
        <v>2004</v>
      </c>
      <c r="B67" s="13">
        <v>2158422</v>
      </c>
      <c r="C67" s="13">
        <f t="shared" si="12"/>
        <v>2040464.6409153938</v>
      </c>
      <c r="E67" s="8">
        <v>1</v>
      </c>
      <c r="F67" s="8">
        <f t="shared" si="6"/>
        <v>2005</v>
      </c>
      <c r="G67" s="13">
        <f t="shared" si="8"/>
        <v>4020025</v>
      </c>
      <c r="N67" s="13">
        <f t="shared" si="9"/>
        <v>554367.1050195694</v>
      </c>
      <c r="Q67" s="8">
        <v>2004</v>
      </c>
      <c r="R67" s="13">
        <v>1500398</v>
      </c>
      <c r="S67" s="13">
        <f t="shared" si="10"/>
        <v>1952717.5738334656</v>
      </c>
      <c r="U67" s="8">
        <v>1</v>
      </c>
      <c r="V67" s="8">
        <f t="shared" si="7"/>
        <v>2005</v>
      </c>
      <c r="W67" s="13">
        <f t="shared" si="11"/>
        <v>4020025</v>
      </c>
      <c r="AE67" s="13">
        <f t="shared" si="13"/>
        <v>452319.57383346558</v>
      </c>
    </row>
    <row r="68" spans="1:31" x14ac:dyDescent="0.3">
      <c r="A68" s="8">
        <v>2005</v>
      </c>
      <c r="B68" s="13">
        <v>1385140</v>
      </c>
      <c r="C68" s="13">
        <f t="shared" si="12"/>
        <v>1939507.1050195694</v>
      </c>
      <c r="E68" s="8">
        <v>1</v>
      </c>
      <c r="F68" s="8">
        <f t="shared" si="6"/>
        <v>2006</v>
      </c>
      <c r="G68" s="13">
        <f t="shared" si="8"/>
        <v>4024036</v>
      </c>
      <c r="N68" s="13">
        <f t="shared" si="9"/>
        <v>-149635.07532644272</v>
      </c>
      <c r="Q68" s="8">
        <v>2005</v>
      </c>
      <c r="R68" s="13">
        <v>1157694</v>
      </c>
      <c r="S68" s="13">
        <f t="shared" si="10"/>
        <v>1776841.8501625061</v>
      </c>
      <c r="U68" s="8">
        <v>1</v>
      </c>
      <c r="V68" s="8">
        <f t="shared" si="7"/>
        <v>2006</v>
      </c>
      <c r="W68" s="13">
        <f t="shared" si="11"/>
        <v>4024036</v>
      </c>
      <c r="AE68" s="13">
        <f t="shared" si="13"/>
        <v>619147.8501625061</v>
      </c>
    </row>
    <row r="69" spans="1:31" x14ac:dyDescent="0.3">
      <c r="A69" s="8">
        <v>2006</v>
      </c>
      <c r="B69" s="13">
        <v>1987406</v>
      </c>
      <c r="C69" s="13">
        <f t="shared" si="12"/>
        <v>1837770.9246735573</v>
      </c>
      <c r="E69" s="8">
        <v>1</v>
      </c>
      <c r="F69" s="8">
        <f t="shared" si="6"/>
        <v>2007</v>
      </c>
      <c r="G69" s="13">
        <f t="shared" si="8"/>
        <v>4028049</v>
      </c>
      <c r="N69" s="13">
        <f t="shared" si="9"/>
        <v>-150984.90012359619</v>
      </c>
      <c r="Q69" s="8">
        <v>2006</v>
      </c>
      <c r="R69" s="13">
        <v>975242</v>
      </c>
      <c r="S69" s="13">
        <f t="shared" si="10"/>
        <v>1611410.7288093567</v>
      </c>
      <c r="U69" s="8">
        <v>1</v>
      </c>
      <c r="V69" s="8">
        <f t="shared" si="7"/>
        <v>2007</v>
      </c>
      <c r="W69" s="13">
        <f t="shared" si="11"/>
        <v>4028049</v>
      </c>
      <c r="AE69" s="13">
        <f t="shared" si="13"/>
        <v>636168.72880935669</v>
      </c>
    </row>
    <row r="70" spans="1:31" x14ac:dyDescent="0.3">
      <c r="A70" s="8">
        <v>2007</v>
      </c>
      <c r="B70" s="13">
        <v>1886241</v>
      </c>
      <c r="C70" s="13">
        <f t="shared" si="12"/>
        <v>1735256.0998764038</v>
      </c>
      <c r="E70" s="8">
        <v>1</v>
      </c>
      <c r="F70" s="8">
        <f t="shared" si="6"/>
        <v>2008</v>
      </c>
      <c r="G70" s="13">
        <f t="shared" si="8"/>
        <v>4032064</v>
      </c>
      <c r="N70" s="13">
        <f t="shared" si="9"/>
        <v>198149.63062810898</v>
      </c>
      <c r="Q70" s="8">
        <v>2007</v>
      </c>
      <c r="R70" s="13">
        <v>1953971</v>
      </c>
      <c r="S70" s="13">
        <f t="shared" si="10"/>
        <v>1456424.2097587585</v>
      </c>
      <c r="U70" s="8">
        <v>1</v>
      </c>
      <c r="V70" s="8">
        <f t="shared" si="7"/>
        <v>2008</v>
      </c>
      <c r="W70" s="13">
        <f t="shared" si="11"/>
        <v>4032064</v>
      </c>
      <c r="AE70" s="13">
        <f t="shared" si="13"/>
        <v>-497546.79024124146</v>
      </c>
    </row>
    <row r="71" spans="1:31" x14ac:dyDescent="0.3">
      <c r="A71" s="8">
        <v>2008</v>
      </c>
      <c r="B71" s="13">
        <v>1433813</v>
      </c>
      <c r="C71" s="13">
        <f t="shared" si="12"/>
        <v>1631962.630628109</v>
      </c>
      <c r="E71" s="8">
        <v>1</v>
      </c>
      <c r="F71" s="8">
        <f t="shared" si="6"/>
        <v>2009</v>
      </c>
      <c r="G71" s="13">
        <f t="shared" si="8"/>
        <v>4036081</v>
      </c>
      <c r="N71" s="13">
        <f t="shared" si="9"/>
        <v>-262765.48307061195</v>
      </c>
      <c r="Q71" s="8">
        <v>2008</v>
      </c>
      <c r="R71" s="13">
        <v>1234325</v>
      </c>
      <c r="S71" s="13">
        <f t="shared" si="10"/>
        <v>1311882.2930107117</v>
      </c>
      <c r="U71" s="8">
        <v>1</v>
      </c>
      <c r="V71" s="8">
        <f t="shared" si="7"/>
        <v>2009</v>
      </c>
      <c r="W71" s="13">
        <f t="shared" si="11"/>
        <v>4036081</v>
      </c>
      <c r="AE71" s="13">
        <f t="shared" si="13"/>
        <v>77557.29301071167</v>
      </c>
    </row>
    <row r="72" spans="1:31" x14ac:dyDescent="0.3">
      <c r="A72" s="8">
        <v>2009</v>
      </c>
      <c r="B72" s="13">
        <v>1790656</v>
      </c>
      <c r="C72" s="13">
        <f t="shared" si="12"/>
        <v>1527890.516929388</v>
      </c>
      <c r="E72" s="8">
        <v>1</v>
      </c>
      <c r="F72" s="8">
        <f t="shared" si="6"/>
        <v>2010</v>
      </c>
      <c r="G72" s="13">
        <f t="shared" si="8"/>
        <v>4040100</v>
      </c>
      <c r="N72" s="13">
        <f t="shared" si="9"/>
        <v>-51392.241220235825</v>
      </c>
      <c r="Q72" s="8">
        <v>2009</v>
      </c>
      <c r="R72" s="13">
        <v>1482378</v>
      </c>
      <c r="S72" s="13">
        <f t="shared" si="10"/>
        <v>1177784.9785728455</v>
      </c>
      <c r="U72" s="8">
        <v>1</v>
      </c>
      <c r="V72" s="8">
        <f t="shared" si="7"/>
        <v>2010</v>
      </c>
      <c r="W72" s="13">
        <f t="shared" si="11"/>
        <v>4040100</v>
      </c>
      <c r="AE72" s="13">
        <f t="shared" si="13"/>
        <v>-304593.02142715454</v>
      </c>
    </row>
    <row r="73" spans="1:31" x14ac:dyDescent="0.3">
      <c r="A73" s="8">
        <v>2010</v>
      </c>
      <c r="B73" s="13">
        <v>1474432</v>
      </c>
      <c r="C73" s="13">
        <f t="shared" si="12"/>
        <v>1423039.7587797642</v>
      </c>
      <c r="E73" s="8">
        <v>1</v>
      </c>
      <c r="F73" s="8">
        <f t="shared" si="6"/>
        <v>2011</v>
      </c>
      <c r="G73" s="13">
        <f t="shared" si="8"/>
        <v>4044121</v>
      </c>
      <c r="N73" s="13">
        <f t="shared" si="9"/>
        <v>-216978.64382123947</v>
      </c>
      <c r="Q73" s="8">
        <v>2010</v>
      </c>
      <c r="R73" s="13">
        <v>895500</v>
      </c>
      <c r="S73" s="13">
        <f t="shared" si="10"/>
        <v>1054132.2664413452</v>
      </c>
      <c r="U73" s="8">
        <v>1</v>
      </c>
      <c r="V73" s="8">
        <f t="shared" si="7"/>
        <v>2011</v>
      </c>
      <c r="W73" s="13">
        <f t="shared" si="11"/>
        <v>4044121</v>
      </c>
      <c r="AE73" s="13">
        <f t="shared" si="13"/>
        <v>158632.26644134521</v>
      </c>
    </row>
    <row r="74" spans="1:31" x14ac:dyDescent="0.3">
      <c r="A74" s="8">
        <v>2011</v>
      </c>
      <c r="B74" s="13">
        <v>1534389</v>
      </c>
      <c r="C74" s="13">
        <f t="shared" si="12"/>
        <v>1317410.3561787605</v>
      </c>
      <c r="E74" s="8">
        <v>1</v>
      </c>
      <c r="F74" s="8">
        <f t="shared" si="6"/>
        <v>2012</v>
      </c>
      <c r="G74" s="13">
        <f t="shared" si="8"/>
        <v>4048144</v>
      </c>
      <c r="N74" s="13">
        <f t="shared" si="9"/>
        <v>-180357.6908724308</v>
      </c>
      <c r="Q74" s="8">
        <v>2011</v>
      </c>
      <c r="R74" s="13">
        <v>895129</v>
      </c>
      <c r="S74" s="13">
        <f t="shared" si="10"/>
        <v>940924.15661621094</v>
      </c>
      <c r="U74" s="8">
        <v>1</v>
      </c>
      <c r="V74" s="8">
        <f t="shared" si="7"/>
        <v>2012</v>
      </c>
      <c r="W74" s="13">
        <f t="shared" si="11"/>
        <v>4048144</v>
      </c>
      <c r="AE74" s="13">
        <f t="shared" si="13"/>
        <v>45795.156616210938</v>
      </c>
    </row>
    <row r="75" spans="1:31" x14ac:dyDescent="0.3">
      <c r="A75" s="8">
        <v>2012</v>
      </c>
      <c r="B75" s="13">
        <v>1391360</v>
      </c>
      <c r="C75" s="13">
        <f t="shared" si="12"/>
        <v>1211002.3091275692</v>
      </c>
      <c r="E75" s="8">
        <v>1</v>
      </c>
      <c r="F75" s="8">
        <f t="shared" si="6"/>
        <v>2013</v>
      </c>
      <c r="G75" s="13">
        <f t="shared" si="8"/>
        <v>4052169</v>
      </c>
      <c r="N75" s="13">
        <f t="shared" si="9"/>
        <v>52525.617625236511</v>
      </c>
      <c r="Q75" s="8">
        <v>2012</v>
      </c>
      <c r="R75" s="13">
        <v>1073394</v>
      </c>
      <c r="S75" s="13">
        <f t="shared" si="10"/>
        <v>838160.64909744263</v>
      </c>
      <c r="U75" s="8">
        <v>1</v>
      </c>
      <c r="V75" s="8">
        <f t="shared" si="7"/>
        <v>2013</v>
      </c>
      <c r="W75" s="13">
        <f t="shared" si="11"/>
        <v>4052169</v>
      </c>
      <c r="AE75" s="13">
        <f t="shared" si="13"/>
        <v>-235233.35090255737</v>
      </c>
    </row>
    <row r="76" spans="1:31" x14ac:dyDescent="0.3">
      <c r="A76" s="8">
        <v>2013</v>
      </c>
      <c r="B76" s="13">
        <v>1051290</v>
      </c>
      <c r="C76" s="13">
        <f t="shared" si="12"/>
        <v>1103815.6176252365</v>
      </c>
      <c r="E76" s="8">
        <v>1</v>
      </c>
      <c r="F76" s="8">
        <f t="shared" si="6"/>
        <v>2014</v>
      </c>
      <c r="G76" s="13">
        <f t="shared" si="8"/>
        <v>4056196</v>
      </c>
      <c r="N76" s="13">
        <f t="shared" si="9"/>
        <v>-59902.718328237534</v>
      </c>
      <c r="Q76" s="8">
        <v>2013</v>
      </c>
      <c r="R76" s="13">
        <v>307892</v>
      </c>
      <c r="S76" s="13">
        <f t="shared" si="10"/>
        <v>745841.74388885498</v>
      </c>
      <c r="U76" s="8">
        <v>1</v>
      </c>
      <c r="V76" s="8">
        <f t="shared" si="7"/>
        <v>2014</v>
      </c>
      <c r="W76" s="13">
        <f t="shared" si="11"/>
        <v>4056196</v>
      </c>
      <c r="AE76" s="13">
        <f t="shared" si="13"/>
        <v>437949.74388885498</v>
      </c>
    </row>
    <row r="77" spans="1:31" x14ac:dyDescent="0.3">
      <c r="A77" s="8">
        <v>2014</v>
      </c>
      <c r="B77" s="13">
        <v>1055753</v>
      </c>
      <c r="C77" s="13">
        <f t="shared" si="12"/>
        <v>995850.28167176247</v>
      </c>
      <c r="E77" s="8">
        <v>1</v>
      </c>
      <c r="F77" s="8">
        <f t="shared" si="6"/>
        <v>2015</v>
      </c>
      <c r="G77" s="13">
        <f t="shared" si="8"/>
        <v>4060225</v>
      </c>
      <c r="N77" s="13">
        <f t="shared" si="9"/>
        <v>12671.30126786232</v>
      </c>
      <c r="Q77" s="8">
        <v>2014</v>
      </c>
      <c r="R77" s="13">
        <v>1027402</v>
      </c>
      <c r="S77" s="13">
        <f t="shared" si="10"/>
        <v>663967.4409828186</v>
      </c>
      <c r="U77" s="8">
        <v>1</v>
      </c>
      <c r="V77" s="8">
        <f t="shared" si="7"/>
        <v>2015</v>
      </c>
      <c r="W77" s="13">
        <f t="shared" si="11"/>
        <v>4060225</v>
      </c>
      <c r="AE77" s="13">
        <f t="shared" si="13"/>
        <v>-363434.5590171814</v>
      </c>
    </row>
    <row r="78" spans="1:31" ht="15" thickBot="1" x14ac:dyDescent="0.35">
      <c r="A78" s="8">
        <v>2015</v>
      </c>
      <c r="B78" s="13">
        <v>874435</v>
      </c>
      <c r="C78" s="13">
        <f t="shared" si="12"/>
        <v>887106.30126786232</v>
      </c>
      <c r="E78" s="11">
        <v>1</v>
      </c>
      <c r="F78" s="11">
        <f t="shared" si="6"/>
        <v>2016</v>
      </c>
      <c r="G78" s="14">
        <f t="shared" si="8"/>
        <v>4064256</v>
      </c>
      <c r="N78" s="13">
        <f t="shared" si="9"/>
        <v>293217.67641282082</v>
      </c>
      <c r="Q78" s="8">
        <v>2015</v>
      </c>
      <c r="R78" s="13">
        <v>1258909</v>
      </c>
      <c r="S78" s="13">
        <f t="shared" si="10"/>
        <v>592537.74038696289</v>
      </c>
      <c r="U78" s="11">
        <v>1</v>
      </c>
      <c r="V78" s="11">
        <f t="shared" si="7"/>
        <v>2016</v>
      </c>
      <c r="W78" s="14">
        <f t="shared" si="11"/>
        <v>4064256</v>
      </c>
      <c r="AE78" s="13">
        <f t="shared" si="13"/>
        <v>-666371.25961303711</v>
      </c>
    </row>
    <row r="79" spans="1:31" ht="15" thickBot="1" x14ac:dyDescent="0.35">
      <c r="A79" s="11">
        <v>2016</v>
      </c>
      <c r="B79" s="14">
        <v>484366</v>
      </c>
      <c r="C79" s="14">
        <f t="shared" si="12"/>
        <v>777583.67641282082</v>
      </c>
      <c r="Q79" s="11">
        <v>2016</v>
      </c>
      <c r="R79" s="14">
        <v>0</v>
      </c>
      <c r="S79" s="14">
        <f t="shared" si="10"/>
        <v>531552.64210128784</v>
      </c>
      <c r="AE79" s="13">
        <f t="shared" si="13"/>
        <v>531552.64210128784</v>
      </c>
    </row>
    <row r="80" spans="1:31" x14ac:dyDescent="0.3">
      <c r="A80" s="26">
        <v>2017</v>
      </c>
      <c r="B80" s="27">
        <v>719969.307692306</v>
      </c>
      <c r="C80" s="27">
        <f t="shared" si="12"/>
        <v>667282.40710663795</v>
      </c>
      <c r="Q80" s="26">
        <v>2017</v>
      </c>
      <c r="R80" s="13">
        <v>0</v>
      </c>
      <c r="S80" s="27">
        <f t="shared" si="10"/>
        <v>481012.14611816406</v>
      </c>
    </row>
    <row r="81" spans="1:28" x14ac:dyDescent="0.3">
      <c r="A81" s="8">
        <v>2018</v>
      </c>
      <c r="B81" s="13">
        <v>620179.73443223594</v>
      </c>
      <c r="C81" s="13">
        <f t="shared" si="12"/>
        <v>556202.49335026741</v>
      </c>
      <c r="Q81" s="8">
        <v>2018</v>
      </c>
      <c r="R81" s="13">
        <v>0</v>
      </c>
      <c r="S81" s="13">
        <f t="shared" si="10"/>
        <v>440916.25245285034</v>
      </c>
    </row>
    <row r="82" spans="1:28" x14ac:dyDescent="0.3">
      <c r="A82" s="8">
        <v>2019</v>
      </c>
      <c r="B82" s="13">
        <v>520390.161172166</v>
      </c>
      <c r="C82" s="13">
        <f t="shared" si="12"/>
        <v>444343.93514275551</v>
      </c>
      <c r="Q82" s="8">
        <v>2019</v>
      </c>
      <c r="R82" s="13">
        <v>0</v>
      </c>
      <c r="S82" s="13">
        <f t="shared" si="10"/>
        <v>411264.9610824585</v>
      </c>
    </row>
    <row r="83" spans="1:28" x14ac:dyDescent="0.3">
      <c r="A83" s="8">
        <v>2020</v>
      </c>
      <c r="B83" s="13">
        <v>420600.58791208599</v>
      </c>
      <c r="C83" s="13">
        <f t="shared" si="12"/>
        <v>331706.73248386383</v>
      </c>
      <c r="Q83" s="8">
        <v>2020</v>
      </c>
      <c r="R83" s="13">
        <v>0</v>
      </c>
      <c r="S83" s="13">
        <f t="shared" si="10"/>
        <v>392058.27202224731</v>
      </c>
    </row>
    <row r="84" spans="1:28" ht="15" thickBot="1" x14ac:dyDescent="0.35">
      <c r="A84" s="11">
        <v>2021</v>
      </c>
      <c r="B84" s="14">
        <v>320811.01465201599</v>
      </c>
      <c r="C84" s="14">
        <f t="shared" si="12"/>
        <v>218290.88537478447</v>
      </c>
      <c r="Q84" s="11">
        <v>2021</v>
      </c>
      <c r="R84" s="13">
        <v>0</v>
      </c>
      <c r="S84" s="14">
        <f t="shared" si="10"/>
        <v>383296.1852684021</v>
      </c>
    </row>
    <row r="86" spans="1:28" ht="15" thickBot="1" x14ac:dyDescent="0.35">
      <c r="A86" s="7" t="s">
        <v>18</v>
      </c>
      <c r="B86" s="8" cm="1">
        <f t="array" ref="B86:AB88">TRANSPOSE(E52:G78)</f>
        <v>1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1</v>
      </c>
    </row>
    <row r="87" spans="1:28" x14ac:dyDescent="0.3">
      <c r="B87" s="9">
        <v>1990</v>
      </c>
      <c r="C87" s="9">
        <v>1991</v>
      </c>
      <c r="D87" s="9">
        <v>1992</v>
      </c>
      <c r="E87" s="9">
        <v>1993</v>
      </c>
      <c r="F87" s="9">
        <v>1994</v>
      </c>
      <c r="G87" s="9">
        <v>1995</v>
      </c>
      <c r="H87" s="9">
        <v>1996</v>
      </c>
      <c r="I87" s="9">
        <v>1997</v>
      </c>
      <c r="J87" s="9">
        <v>1998</v>
      </c>
      <c r="K87" s="9">
        <v>1999</v>
      </c>
      <c r="L87" s="9">
        <v>2000</v>
      </c>
      <c r="M87" s="9">
        <v>2001</v>
      </c>
      <c r="N87" s="9">
        <v>2002</v>
      </c>
      <c r="O87" s="9">
        <v>2003</v>
      </c>
      <c r="P87" s="9">
        <v>2004</v>
      </c>
      <c r="Q87" s="9">
        <v>2005</v>
      </c>
      <c r="R87" s="9">
        <v>2006</v>
      </c>
      <c r="S87" s="9">
        <v>2007</v>
      </c>
      <c r="T87" s="9">
        <v>2008</v>
      </c>
      <c r="U87" s="9">
        <v>2009</v>
      </c>
      <c r="V87" s="9">
        <v>2010</v>
      </c>
      <c r="W87" s="9">
        <v>2011</v>
      </c>
      <c r="X87" s="9">
        <v>2012</v>
      </c>
      <c r="Y87" s="9">
        <v>2013</v>
      </c>
      <c r="Z87" s="9">
        <v>2014</v>
      </c>
      <c r="AA87" s="9">
        <v>2015</v>
      </c>
      <c r="AB87" s="9">
        <v>2016</v>
      </c>
    </row>
    <row r="88" spans="1:28" ht="15" thickBot="1" x14ac:dyDescent="0.35">
      <c r="B88" s="11">
        <v>3960100</v>
      </c>
      <c r="C88" s="11">
        <v>3964081</v>
      </c>
      <c r="D88" s="11">
        <v>3968064</v>
      </c>
      <c r="E88" s="11">
        <v>3972049</v>
      </c>
      <c r="F88" s="11">
        <v>3976036</v>
      </c>
      <c r="G88" s="11">
        <v>3980025</v>
      </c>
      <c r="H88" s="11">
        <v>3984016</v>
      </c>
      <c r="I88" s="11">
        <v>3988009</v>
      </c>
      <c r="J88" s="11">
        <v>3992004</v>
      </c>
      <c r="K88" s="11">
        <v>3996001</v>
      </c>
      <c r="L88" s="11">
        <v>4000000</v>
      </c>
      <c r="M88" s="11">
        <v>4004001</v>
      </c>
      <c r="N88" s="11">
        <v>4008004</v>
      </c>
      <c r="O88" s="11">
        <v>4012009</v>
      </c>
      <c r="P88" s="11">
        <v>4016016</v>
      </c>
      <c r="Q88" s="11">
        <v>4020025</v>
      </c>
      <c r="R88" s="11">
        <v>4024036</v>
      </c>
      <c r="S88" s="11">
        <v>4028049</v>
      </c>
      <c r="T88" s="11">
        <v>4032064</v>
      </c>
      <c r="U88" s="11">
        <v>4036081</v>
      </c>
      <c r="V88" s="11">
        <v>4040100</v>
      </c>
      <c r="W88" s="11">
        <v>4044121</v>
      </c>
      <c r="X88" s="11">
        <v>4048144</v>
      </c>
      <c r="Y88" s="11">
        <v>4052169</v>
      </c>
      <c r="Z88" s="11">
        <v>4056196</v>
      </c>
      <c r="AA88" s="11">
        <v>4060225</v>
      </c>
      <c r="AB88" s="11">
        <v>4064256</v>
      </c>
    </row>
    <row r="89" spans="1:28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" thickBot="1" x14ac:dyDescent="0.35">
      <c r="A90" s="7" t="s">
        <v>19</v>
      </c>
      <c r="B90" s="23" cm="1">
        <f t="array" ref="B90:AB92">TRANSPOSE(U52:W78)</f>
        <v>1</v>
      </c>
      <c r="C90" s="23">
        <v>1</v>
      </c>
      <c r="D90" s="23">
        <v>1</v>
      </c>
      <c r="E90" s="23">
        <v>1</v>
      </c>
      <c r="F90" s="23">
        <v>1</v>
      </c>
      <c r="G90" s="23">
        <v>1</v>
      </c>
      <c r="H90" s="23">
        <v>1</v>
      </c>
      <c r="I90" s="23">
        <v>1</v>
      </c>
      <c r="J90" s="23">
        <v>1</v>
      </c>
      <c r="K90" s="23">
        <v>1</v>
      </c>
      <c r="L90" s="23">
        <v>1</v>
      </c>
      <c r="M90" s="23">
        <v>1</v>
      </c>
      <c r="N90" s="23">
        <v>1</v>
      </c>
      <c r="O90" s="23">
        <v>1</v>
      </c>
      <c r="P90" s="23">
        <v>1</v>
      </c>
      <c r="Q90" s="23">
        <v>1</v>
      </c>
      <c r="R90" s="23">
        <v>1</v>
      </c>
      <c r="S90" s="23">
        <v>1</v>
      </c>
      <c r="T90" s="23">
        <v>1</v>
      </c>
      <c r="U90" s="23">
        <v>1</v>
      </c>
      <c r="V90" s="23">
        <v>1</v>
      </c>
      <c r="W90" s="23">
        <v>1</v>
      </c>
      <c r="X90" s="23">
        <v>1</v>
      </c>
      <c r="Y90" s="23">
        <v>1</v>
      </c>
      <c r="Z90" s="23">
        <v>1</v>
      </c>
      <c r="AA90" s="23">
        <v>1</v>
      </c>
      <c r="AB90" s="23">
        <v>1</v>
      </c>
    </row>
    <row r="91" spans="1:28" x14ac:dyDescent="0.3">
      <c r="B91" s="9">
        <v>1990</v>
      </c>
      <c r="C91" s="9">
        <v>1991</v>
      </c>
      <c r="D91" s="9">
        <v>1992</v>
      </c>
      <c r="E91" s="9">
        <v>1993</v>
      </c>
      <c r="F91" s="9">
        <v>1994</v>
      </c>
      <c r="G91" s="9">
        <v>1995</v>
      </c>
      <c r="H91" s="9">
        <v>1996</v>
      </c>
      <c r="I91" s="9">
        <v>1997</v>
      </c>
      <c r="J91" s="9">
        <v>1998</v>
      </c>
      <c r="K91" s="9">
        <v>1999</v>
      </c>
      <c r="L91" s="9">
        <v>2000</v>
      </c>
      <c r="M91" s="9">
        <v>2001</v>
      </c>
      <c r="N91" s="9">
        <v>2002</v>
      </c>
      <c r="O91" s="9">
        <v>2003</v>
      </c>
      <c r="P91" s="9">
        <v>2004</v>
      </c>
      <c r="Q91" s="9">
        <v>2005</v>
      </c>
      <c r="R91" s="9">
        <v>2006</v>
      </c>
      <c r="S91" s="9">
        <v>2007</v>
      </c>
      <c r="T91" s="9">
        <v>2008</v>
      </c>
      <c r="U91" s="9">
        <v>2009</v>
      </c>
      <c r="V91" s="9">
        <v>2010</v>
      </c>
      <c r="W91" s="9">
        <v>2011</v>
      </c>
      <c r="X91" s="9">
        <v>2012</v>
      </c>
      <c r="Y91" s="9">
        <v>2013</v>
      </c>
      <c r="Z91" s="9">
        <v>2014</v>
      </c>
      <c r="AA91" s="9">
        <v>2015</v>
      </c>
      <c r="AB91" s="9">
        <v>2016</v>
      </c>
    </row>
    <row r="92" spans="1:28" ht="15" thickBot="1" x14ac:dyDescent="0.35">
      <c r="B92" s="11">
        <v>3960100</v>
      </c>
      <c r="C92" s="11">
        <v>3964081</v>
      </c>
      <c r="D92" s="11">
        <v>3968064</v>
      </c>
      <c r="E92" s="11">
        <v>3972049</v>
      </c>
      <c r="F92" s="11">
        <v>3976036</v>
      </c>
      <c r="G92" s="11">
        <v>3980025</v>
      </c>
      <c r="H92" s="11">
        <v>3984016</v>
      </c>
      <c r="I92" s="11">
        <v>3988009</v>
      </c>
      <c r="J92" s="11">
        <v>3992004</v>
      </c>
      <c r="K92" s="11">
        <v>3996001</v>
      </c>
      <c r="L92" s="11">
        <v>4000000</v>
      </c>
      <c r="M92" s="11">
        <v>4004001</v>
      </c>
      <c r="N92" s="11">
        <v>4008004</v>
      </c>
      <c r="O92" s="11">
        <v>4012009</v>
      </c>
      <c r="P92" s="11">
        <v>4016016</v>
      </c>
      <c r="Q92" s="11">
        <v>4020025</v>
      </c>
      <c r="R92" s="11">
        <v>4024036</v>
      </c>
      <c r="S92" s="11">
        <v>4028049</v>
      </c>
      <c r="T92" s="11">
        <v>4032064</v>
      </c>
      <c r="U92" s="11">
        <v>4036081</v>
      </c>
      <c r="V92" s="11">
        <v>4040100</v>
      </c>
      <c r="W92" s="11">
        <v>4044121</v>
      </c>
      <c r="X92" s="11">
        <v>4048144</v>
      </c>
      <c r="Y92" s="11">
        <v>4052169</v>
      </c>
      <c r="Z92" s="11">
        <v>4056196</v>
      </c>
      <c r="AA92" s="11">
        <v>4060225</v>
      </c>
      <c r="AB92" s="11">
        <v>4064256</v>
      </c>
    </row>
    <row r="94" spans="1:28" x14ac:dyDescent="0.3">
      <c r="A94" s="70" t="s">
        <v>22</v>
      </c>
      <c r="B94" s="4" cm="1">
        <f t="array" ref="B94:AB96">MMULT(_xlfn.ANCHORARRAY(J56),_xlfn.ANCHORARRAY(B86))</f>
        <v>5505.7319735586643</v>
      </c>
      <c r="C94" s="4">
        <v>4237.6326528191566</v>
      </c>
      <c r="D94" s="4">
        <v>3070.8834511041641</v>
      </c>
      <c r="E94" s="4">
        <v>2005.4843685030937</v>
      </c>
      <c r="F94" s="4">
        <v>1041.4354049265385</v>
      </c>
      <c r="G94" s="4">
        <v>178.73656049370766</v>
      </c>
      <c r="H94" s="4">
        <v>-582.61216485500336</v>
      </c>
      <c r="I94" s="4">
        <v>-1242.6107711791992</v>
      </c>
      <c r="J94" s="4">
        <v>-1801.259258389473</v>
      </c>
      <c r="K94" s="4">
        <v>-2258.5576265156269</v>
      </c>
      <c r="L94" s="4">
        <v>-2614.505875647068</v>
      </c>
      <c r="M94" s="4">
        <v>-2869.1040056049824</v>
      </c>
      <c r="N94" s="4">
        <v>-3022.3520165085793</v>
      </c>
      <c r="O94" s="4">
        <v>-3074.249908387661</v>
      </c>
      <c r="P94" s="4">
        <v>-3024.7976811230183</v>
      </c>
      <c r="Q94" s="4">
        <v>-2873.9953348040581</v>
      </c>
      <c r="R94" s="4">
        <v>-2621.8428694605827</v>
      </c>
      <c r="S94" s="4">
        <v>-2268.3402849733829</v>
      </c>
      <c r="T94" s="4">
        <v>-1813.4875814318657</v>
      </c>
      <c r="U94" s="4">
        <v>-1257.284758836031</v>
      </c>
      <c r="V94" s="4">
        <v>-599.73181712627411</v>
      </c>
      <c r="W94" s="4">
        <v>159.17124363780022</v>
      </c>
      <c r="X94" s="4">
        <v>1019.424423456192</v>
      </c>
      <c r="Y94" s="4">
        <v>1981.0277223885059</v>
      </c>
      <c r="Z94" s="4">
        <v>3043.9811404049397</v>
      </c>
      <c r="AA94" s="4">
        <v>4208.2846774458885</v>
      </c>
      <c r="AB94" s="4">
        <v>5473.9383336007595</v>
      </c>
    </row>
    <row r="95" spans="1:28" ht="15" thickBot="1" x14ac:dyDescent="0.35">
      <c r="A95" s="71"/>
      <c r="B95" s="9">
        <v>-5.4895951451617293</v>
      </c>
      <c r="C95" s="9">
        <v>-4.2239864966250025</v>
      </c>
      <c r="D95" s="9">
        <v>-3.0595777000125963</v>
      </c>
      <c r="E95" s="9">
        <v>-1.9963687552080955</v>
      </c>
      <c r="F95" s="9">
        <v>-1.0343596623279154</v>
      </c>
      <c r="G95" s="9">
        <v>-0.17355042131384835</v>
      </c>
      <c r="H95" s="9">
        <v>0.58605896792141721</v>
      </c>
      <c r="I95" s="9">
        <v>1.2444685052032582</v>
      </c>
      <c r="J95" s="9">
        <v>1.8016781906771939</v>
      </c>
      <c r="K95" s="9">
        <v>2.2576880242559128</v>
      </c>
      <c r="L95" s="9">
        <v>2.6124980059394147</v>
      </c>
      <c r="M95" s="9">
        <v>2.8661081358441152</v>
      </c>
      <c r="N95" s="9">
        <v>3.0185184137953911</v>
      </c>
      <c r="O95" s="9">
        <v>3.0697288399678655</v>
      </c>
      <c r="P95" s="9">
        <v>3.0197394142160192</v>
      </c>
      <c r="Q95" s="9">
        <v>2.8685501365689561</v>
      </c>
      <c r="R95" s="9">
        <v>2.6161610071430914</v>
      </c>
      <c r="S95" s="9">
        <v>2.2625720257929061</v>
      </c>
      <c r="T95" s="9">
        <v>1.8077831925766077</v>
      </c>
      <c r="U95" s="9">
        <v>1.251794507552404</v>
      </c>
      <c r="V95" s="9">
        <v>0.59460597060387954</v>
      </c>
      <c r="W95" s="9">
        <v>-0.16378241815255024</v>
      </c>
      <c r="X95" s="9">
        <v>-1.0233706588333007</v>
      </c>
      <c r="Y95" s="9">
        <v>-1.9841587513801642</v>
      </c>
      <c r="Z95" s="9">
        <v>-3.046146695734933</v>
      </c>
      <c r="AA95" s="9">
        <v>-4.2093344920140225</v>
      </c>
      <c r="AB95" s="9">
        <v>-5.4737221401010174</v>
      </c>
    </row>
    <row r="96" spans="1:28" ht="15" thickBot="1" x14ac:dyDescent="0.35">
      <c r="B96" s="11">
        <v>1.3683621161604265E-3</v>
      </c>
      <c r="C96" s="11">
        <v>1.0525862429915378E-3</v>
      </c>
      <c r="D96" s="11">
        <v>7.620724396772971E-4</v>
      </c>
      <c r="E96" s="11">
        <v>4.9682070623902064E-4</v>
      </c>
      <c r="F96" s="11">
        <v>2.5683104266249757E-4</v>
      </c>
      <c r="G96" s="11">
        <v>4.2103448940622457E-5</v>
      </c>
      <c r="H96" s="11">
        <v>-1.4736207491239384E-4</v>
      </c>
      <c r="I96" s="11">
        <v>-3.1156552890365674E-4</v>
      </c>
      <c r="J96" s="11">
        <v>-4.5050691304027168E-4</v>
      </c>
      <c r="K96" s="11">
        <v>-5.6418622732223866E-4</v>
      </c>
      <c r="L96" s="11">
        <v>-6.5260347173534683E-4</v>
      </c>
      <c r="M96" s="11">
        <v>-7.1575864627959618E-4</v>
      </c>
      <c r="N96" s="11">
        <v>-7.5365175096919756E-4</v>
      </c>
      <c r="O96" s="11">
        <v>-7.6628278578994014E-4</v>
      </c>
      <c r="P96" s="11">
        <v>-7.5365175075603474E-4</v>
      </c>
      <c r="Q96" s="11">
        <v>-7.1575864586037596E-4</v>
      </c>
      <c r="R96" s="11">
        <v>-6.5260347109585837E-4</v>
      </c>
      <c r="S96" s="11">
        <v>-5.6418622649090366E-4</v>
      </c>
      <c r="T96" s="11">
        <v>-4.5050691200998472E-4</v>
      </c>
      <c r="U96" s="11">
        <v>-3.1156552766020695E-4</v>
      </c>
      <c r="V96" s="11">
        <v>-1.4736207345578123E-4</v>
      </c>
      <c r="W96" s="11">
        <v>4.2103450610397886E-5</v>
      </c>
      <c r="X96" s="11">
        <v>2.5683104453833039E-4</v>
      </c>
      <c r="Y96" s="11">
        <v>4.9682070832801628E-4</v>
      </c>
      <c r="Z96" s="11">
        <v>7.6207244196524471E-4</v>
      </c>
      <c r="AA96" s="11">
        <v>1.0525862454784374E-3</v>
      </c>
      <c r="AB96" s="11">
        <v>1.3683621188533834E-3</v>
      </c>
    </row>
    <row r="98" spans="1:32" x14ac:dyDescent="0.3">
      <c r="A98" s="70" t="s">
        <v>23</v>
      </c>
      <c r="B98" s="4" cm="1">
        <f t="array" ref="B98:AB100">MMULT(_xlfn.ANCHORARRAY(Z56),_xlfn.ANCHORARRAY(B90))</f>
        <v>5505.7319735586643</v>
      </c>
      <c r="C98" s="4">
        <v>4237.6326528191566</v>
      </c>
      <c r="D98" s="4">
        <v>3070.8834511041641</v>
      </c>
      <c r="E98" s="4">
        <v>2005.4843685030937</v>
      </c>
      <c r="F98" s="4">
        <v>1041.4354049265385</v>
      </c>
      <c r="G98" s="4">
        <v>178.73656049370766</v>
      </c>
      <c r="H98" s="4">
        <v>-582.61216485500336</v>
      </c>
      <c r="I98" s="4">
        <v>-1242.6107711791992</v>
      </c>
      <c r="J98" s="4">
        <v>-1801.259258389473</v>
      </c>
      <c r="K98" s="4">
        <v>-2258.5576265156269</v>
      </c>
      <c r="L98" s="4">
        <v>-2614.505875647068</v>
      </c>
      <c r="M98" s="4">
        <v>-2869.1040056049824</v>
      </c>
      <c r="N98" s="4">
        <v>-3022.3520165085793</v>
      </c>
      <c r="O98" s="4">
        <v>-3074.249908387661</v>
      </c>
      <c r="P98" s="4">
        <v>-3024.7976811230183</v>
      </c>
      <c r="Q98" s="4">
        <v>-2873.9953348040581</v>
      </c>
      <c r="R98" s="4">
        <v>-2621.8428694605827</v>
      </c>
      <c r="S98" s="4">
        <v>-2268.3402849733829</v>
      </c>
      <c r="T98" s="4">
        <v>-1813.4875814318657</v>
      </c>
      <c r="U98" s="4">
        <v>-1257.284758836031</v>
      </c>
      <c r="V98" s="4">
        <v>-599.73181712627411</v>
      </c>
      <c r="W98" s="4">
        <v>159.17124363780022</v>
      </c>
      <c r="X98" s="4">
        <v>1019.424423456192</v>
      </c>
      <c r="Y98" s="4">
        <v>1981.0277223885059</v>
      </c>
      <c r="Z98" s="4">
        <v>3043.9811404049397</v>
      </c>
      <c r="AA98" s="4">
        <v>4208.2846774458885</v>
      </c>
      <c r="AB98" s="4">
        <v>5473.9383336007595</v>
      </c>
    </row>
    <row r="99" spans="1:32" ht="15" thickBot="1" x14ac:dyDescent="0.35">
      <c r="A99" s="71"/>
      <c r="B99" s="9">
        <v>-5.4895951451617293</v>
      </c>
      <c r="C99" s="9">
        <v>-4.2239864966250025</v>
      </c>
      <c r="D99" s="9">
        <v>-3.0595777000125963</v>
      </c>
      <c r="E99" s="9">
        <v>-1.9963687552080955</v>
      </c>
      <c r="F99" s="9">
        <v>-1.0343596623279154</v>
      </c>
      <c r="G99" s="9">
        <v>-0.17355042131384835</v>
      </c>
      <c r="H99" s="9">
        <v>0.58605896792141721</v>
      </c>
      <c r="I99" s="9">
        <v>1.2444685052032582</v>
      </c>
      <c r="J99" s="9">
        <v>1.8016781906771939</v>
      </c>
      <c r="K99" s="9">
        <v>2.2576880242559128</v>
      </c>
      <c r="L99" s="9">
        <v>2.6124980059394147</v>
      </c>
      <c r="M99" s="9">
        <v>2.8661081358441152</v>
      </c>
      <c r="N99" s="9">
        <v>3.0185184137953911</v>
      </c>
      <c r="O99" s="9">
        <v>3.0697288399678655</v>
      </c>
      <c r="P99" s="9">
        <v>3.0197394142160192</v>
      </c>
      <c r="Q99" s="9">
        <v>2.8685501365689561</v>
      </c>
      <c r="R99" s="9">
        <v>2.6161610071430914</v>
      </c>
      <c r="S99" s="9">
        <v>2.2625720257929061</v>
      </c>
      <c r="T99" s="9">
        <v>1.8077831925766077</v>
      </c>
      <c r="U99" s="9">
        <v>1.251794507552404</v>
      </c>
      <c r="V99" s="9">
        <v>0.59460597060387954</v>
      </c>
      <c r="W99" s="9">
        <v>-0.16378241815255024</v>
      </c>
      <c r="X99" s="9">
        <v>-1.0233706588333007</v>
      </c>
      <c r="Y99" s="9">
        <v>-1.9841587513801642</v>
      </c>
      <c r="Z99" s="9">
        <v>-3.046146695734933</v>
      </c>
      <c r="AA99" s="9">
        <v>-4.2093344920140225</v>
      </c>
      <c r="AB99" s="9">
        <v>-5.4737221401010174</v>
      </c>
    </row>
    <row r="100" spans="1:32" ht="15" thickBot="1" x14ac:dyDescent="0.35">
      <c r="B100" s="11">
        <v>1.3683621161604265E-3</v>
      </c>
      <c r="C100" s="11">
        <v>1.0525862429915378E-3</v>
      </c>
      <c r="D100" s="11">
        <v>7.620724396772971E-4</v>
      </c>
      <c r="E100" s="11">
        <v>4.9682070623902064E-4</v>
      </c>
      <c r="F100" s="11">
        <v>2.5683104266249757E-4</v>
      </c>
      <c r="G100" s="11">
        <v>4.2103448940622457E-5</v>
      </c>
      <c r="H100" s="11">
        <v>-1.4736207491239384E-4</v>
      </c>
      <c r="I100" s="11">
        <v>-3.1156552890365674E-4</v>
      </c>
      <c r="J100" s="11">
        <v>-4.5050691304027168E-4</v>
      </c>
      <c r="K100" s="11">
        <v>-5.6418622732223866E-4</v>
      </c>
      <c r="L100" s="11">
        <v>-6.5260347173534683E-4</v>
      </c>
      <c r="M100" s="11">
        <v>-7.1575864627959618E-4</v>
      </c>
      <c r="N100" s="11">
        <v>-7.5365175096919756E-4</v>
      </c>
      <c r="O100" s="11">
        <v>-7.6628278578994014E-4</v>
      </c>
      <c r="P100" s="11">
        <v>-7.5365175075603474E-4</v>
      </c>
      <c r="Q100" s="11">
        <v>-7.1575864586037596E-4</v>
      </c>
      <c r="R100" s="11">
        <v>-6.5260347109585837E-4</v>
      </c>
      <c r="S100" s="11">
        <v>-5.6418622649090366E-4</v>
      </c>
      <c r="T100" s="11">
        <v>-4.5050691200998472E-4</v>
      </c>
      <c r="U100" s="11">
        <v>-3.1156552766020695E-4</v>
      </c>
      <c r="V100" s="11">
        <v>-1.4736207345578123E-4</v>
      </c>
      <c r="W100" s="11">
        <v>4.2103450610397886E-5</v>
      </c>
      <c r="X100" s="11">
        <v>2.5683104453833039E-4</v>
      </c>
      <c r="Y100" s="11">
        <v>4.9682070832801628E-4</v>
      </c>
      <c r="Z100" s="11">
        <v>7.6207244196524471E-4</v>
      </c>
      <c r="AA100" s="11">
        <v>1.0525862454784374E-3</v>
      </c>
      <c r="AB100" s="11">
        <v>1.3683621188533834E-3</v>
      </c>
    </row>
    <row r="102" spans="1:32" ht="15" thickBot="1" x14ac:dyDescent="0.35"/>
    <row r="103" spans="1:32" ht="15" thickBot="1" x14ac:dyDescent="0.35">
      <c r="A103" s="66" t="s">
        <v>38</v>
      </c>
      <c r="B103" s="66"/>
      <c r="C103" s="66"/>
      <c r="D103" s="66"/>
      <c r="E103" s="66"/>
      <c r="F103" s="66"/>
      <c r="G103" s="66"/>
      <c r="H103" s="66"/>
      <c r="I103" s="66"/>
      <c r="N103" s="22" t="s">
        <v>59</v>
      </c>
      <c r="O103" s="22" t="s">
        <v>60</v>
      </c>
      <c r="Q103" s="66" t="s">
        <v>39</v>
      </c>
      <c r="R103" s="66"/>
      <c r="S103" s="66"/>
      <c r="T103" s="66"/>
      <c r="U103" s="66"/>
      <c r="V103" s="66"/>
      <c r="W103" s="66"/>
      <c r="X103" s="66"/>
      <c r="Y103" s="66"/>
      <c r="AE103" s="22" t="s">
        <v>59</v>
      </c>
      <c r="AF103" s="22" t="s">
        <v>60</v>
      </c>
    </row>
    <row r="104" spans="1:32" ht="15" thickBot="1" x14ac:dyDescent="0.35">
      <c r="A104" s="22" t="str" cm="1">
        <f t="array" ref="A104:B136">_xlfn.ANCHORARRAY(A52)</f>
        <v>x</v>
      </c>
      <c r="B104" s="22" t="str">
        <v>y</v>
      </c>
      <c r="C104" s="22" t="s">
        <v>42</v>
      </c>
      <c r="D104" s="6" t="s">
        <v>17</v>
      </c>
      <c r="E104" s="8">
        <v>1</v>
      </c>
      <c r="F104" s="8">
        <f t="shared" ref="F104:F130" si="14">A105</f>
        <v>1990</v>
      </c>
      <c r="G104" s="8">
        <f>F104^2</f>
        <v>3960100</v>
      </c>
      <c r="H104" s="8">
        <f>F104^3</f>
        <v>7880599000</v>
      </c>
      <c r="I104" s="6" t="s">
        <v>20</v>
      </c>
      <c r="J104" s="4" cm="1">
        <f t="array" ref="J104:M107">MMULT(_xlfn.ANCHORARRAY(B138),E104:H130)</f>
        <v>27</v>
      </c>
      <c r="K104" s="4">
        <v>54081</v>
      </c>
      <c r="L104" s="4">
        <v>108325881</v>
      </c>
      <c r="M104" s="4">
        <v>216983301471</v>
      </c>
      <c r="N104" s="8">
        <f>(C105-B105)</f>
        <v>-600115.61401367188</v>
      </c>
      <c r="O104" s="49">
        <f>AVERAGE(N104:N130)</f>
        <v>-586586.62433991604</v>
      </c>
      <c r="Q104" s="22" t="str" cm="1">
        <f t="array" ref="Q104:R136">_xlfn.ANCHORARRAY(Q52)</f>
        <v>x</v>
      </c>
      <c r="R104" s="22" t="str">
        <v>y</v>
      </c>
      <c r="S104" s="22" t="s">
        <v>42</v>
      </c>
      <c r="T104" s="6" t="s">
        <v>17</v>
      </c>
      <c r="U104" s="8">
        <v>1</v>
      </c>
      <c r="V104" s="8">
        <f t="shared" ref="V104:V130" si="15">Q105</f>
        <v>1990</v>
      </c>
      <c r="W104" s="13">
        <f>V104^2</f>
        <v>3960100</v>
      </c>
      <c r="X104" s="13">
        <f>V104^3</f>
        <v>7880599000</v>
      </c>
      <c r="Y104" s="6" t="s">
        <v>20</v>
      </c>
      <c r="Z104" s="4" cm="1">
        <f t="array" ref="Z104:AC107">MMULT(_xlfn.ANCHORARRAY(B143),U104:X130)</f>
        <v>27</v>
      </c>
      <c r="AA104" s="4">
        <v>54081</v>
      </c>
      <c r="AB104" s="4">
        <v>108325881</v>
      </c>
      <c r="AC104" s="4">
        <v>216983301471</v>
      </c>
      <c r="AE104" s="13">
        <f>(S105-R105)</f>
        <v>-206403.12084960938</v>
      </c>
      <c r="AF104" s="49">
        <f>AVERAGE(AE104:AE130)</f>
        <v>-717704.40842013888</v>
      </c>
    </row>
    <row r="105" spans="1:32" x14ac:dyDescent="0.3">
      <c r="A105" s="4">
        <v>1990</v>
      </c>
      <c r="B105" s="12">
        <v>3461428</v>
      </c>
      <c r="C105" s="12">
        <f>$E$133+($G$133*(A105))+($I$133*(A105^2))+($K$133*(A105^3))</f>
        <v>2861312.3859863281</v>
      </c>
      <c r="E105" s="8">
        <v>1</v>
      </c>
      <c r="F105" s="8">
        <f t="shared" si="14"/>
        <v>1991</v>
      </c>
      <c r="G105" s="8">
        <f t="shared" ref="G105:G130" si="16">F105^2</f>
        <v>3964081</v>
      </c>
      <c r="H105" s="8">
        <f t="shared" ref="H105:H130" si="17">F105^3</f>
        <v>7892485271</v>
      </c>
      <c r="J105" s="4">
        <v>54081</v>
      </c>
      <c r="K105" s="4">
        <v>108325881</v>
      </c>
      <c r="L105" s="4">
        <v>216983301471</v>
      </c>
      <c r="M105" s="4">
        <v>434637268037181</v>
      </c>
      <c r="N105" s="8">
        <f t="shared" ref="N105:N130" si="18">(C106-B106)</f>
        <v>-487010.64086914063</v>
      </c>
      <c r="Q105" s="4">
        <v>1990</v>
      </c>
      <c r="R105" s="12">
        <v>4895639</v>
      </c>
      <c r="S105" s="12">
        <f t="shared" ref="S105:S136" si="19">$U$133+($W$133*Q105)+($Y$133*(Q105^2))+($AA$133*(Q105^3))</f>
        <v>4689235.8791503906</v>
      </c>
      <c r="U105" s="8">
        <v>1</v>
      </c>
      <c r="V105" s="8">
        <f t="shared" si="15"/>
        <v>1991</v>
      </c>
      <c r="W105" s="13">
        <f t="shared" ref="W105:W130" si="20">V105^2</f>
        <v>3964081</v>
      </c>
      <c r="X105" s="13">
        <f t="shared" ref="X105:X129" si="21">V105^3</f>
        <v>7892485271</v>
      </c>
      <c r="Z105" s="4">
        <v>54081</v>
      </c>
      <c r="AA105" s="4">
        <v>108325881</v>
      </c>
      <c r="AB105" s="4">
        <v>216983301471</v>
      </c>
      <c r="AC105" s="4">
        <v>434637268037181</v>
      </c>
      <c r="AE105" s="13">
        <f t="shared" ref="AE105:AE130" si="22">(S106-R106)</f>
        <v>-304281.83715820313</v>
      </c>
    </row>
    <row r="106" spans="1:32" x14ac:dyDescent="0.3">
      <c r="A106" s="8">
        <v>1991</v>
      </c>
      <c r="B106" s="13">
        <v>3226306</v>
      </c>
      <c r="C106" s="13">
        <f t="shared" ref="C106:C136" si="23">$E$133+($G$133*(A106))+($I$133*(A106^2))+($K$133*(A106^3))</f>
        <v>2739295.3591308594</v>
      </c>
      <c r="E106" s="8">
        <v>1</v>
      </c>
      <c r="F106" s="8">
        <f t="shared" si="14"/>
        <v>1992</v>
      </c>
      <c r="G106" s="8">
        <f t="shared" si="16"/>
        <v>3968064</v>
      </c>
      <c r="H106" s="8">
        <f t="shared" si="17"/>
        <v>7904383488</v>
      </c>
      <c r="J106" s="4">
        <v>108325881</v>
      </c>
      <c r="K106" s="4">
        <v>216983301471</v>
      </c>
      <c r="L106" s="4">
        <v>434637268037181</v>
      </c>
      <c r="M106" s="4">
        <v>8.7063110153493683E+17</v>
      </c>
      <c r="N106" s="8">
        <f t="shared" si="18"/>
        <v>-523034.02001953125</v>
      </c>
      <c r="Q106" s="8">
        <v>1991</v>
      </c>
      <c r="R106" s="13">
        <v>4723373</v>
      </c>
      <c r="S106" s="13">
        <f t="shared" si="19"/>
        <v>4419091.1628417969</v>
      </c>
      <c r="U106" s="8">
        <v>1</v>
      </c>
      <c r="V106" s="8">
        <f t="shared" si="15"/>
        <v>1992</v>
      </c>
      <c r="W106" s="13">
        <f t="shared" si="20"/>
        <v>3968064</v>
      </c>
      <c r="X106" s="13">
        <f t="shared" si="21"/>
        <v>7904383488</v>
      </c>
      <c r="Z106" s="4">
        <v>108325881</v>
      </c>
      <c r="AA106" s="4">
        <v>216983301471</v>
      </c>
      <c r="AB106" s="4">
        <v>434637268037181</v>
      </c>
      <c r="AC106" s="4">
        <v>8.7063110153493683E+17</v>
      </c>
      <c r="AE106" s="13">
        <f t="shared" si="22"/>
        <v>-1939454.4267578125</v>
      </c>
    </row>
    <row r="107" spans="1:32" ht="15" thickBot="1" x14ac:dyDescent="0.35">
      <c r="A107" s="8">
        <v>1992</v>
      </c>
      <c r="B107" s="13">
        <v>3145806</v>
      </c>
      <c r="C107" s="13">
        <f t="shared" si="23"/>
        <v>2622771.9799804688</v>
      </c>
      <c r="E107" s="8">
        <v>1</v>
      </c>
      <c r="F107" s="8">
        <f t="shared" si="14"/>
        <v>1993</v>
      </c>
      <c r="G107" s="8">
        <f t="shared" si="16"/>
        <v>3972049</v>
      </c>
      <c r="H107" s="8">
        <f t="shared" si="17"/>
        <v>7916293657</v>
      </c>
      <c r="J107" s="19">
        <v>216983301471</v>
      </c>
      <c r="K107" s="19">
        <v>434637268037181</v>
      </c>
      <c r="L107" s="19">
        <v>8.7063110153493683E+17</v>
      </c>
      <c r="M107" s="19">
        <v>1.7440059315484329E+21</v>
      </c>
      <c r="N107" s="8">
        <f t="shared" si="18"/>
        <v>-549687.51989746094</v>
      </c>
      <c r="Q107" s="8">
        <v>1992</v>
      </c>
      <c r="R107" s="13">
        <v>6088309</v>
      </c>
      <c r="S107" s="13">
        <f t="shared" si="19"/>
        <v>4148854.5732421875</v>
      </c>
      <c r="U107" s="8">
        <v>1</v>
      </c>
      <c r="V107" s="8">
        <f t="shared" si="15"/>
        <v>1993</v>
      </c>
      <c r="W107" s="13">
        <f t="shared" si="20"/>
        <v>3972049</v>
      </c>
      <c r="X107" s="13">
        <f t="shared" si="21"/>
        <v>7916293657</v>
      </c>
      <c r="Z107" s="19">
        <v>216983301471</v>
      </c>
      <c r="AA107" s="19">
        <v>434637268037181</v>
      </c>
      <c r="AB107" s="4">
        <v>8.7063110153493683E+17</v>
      </c>
      <c r="AC107" s="4">
        <v>1.7440059315484329E+21</v>
      </c>
      <c r="AE107" s="13">
        <f t="shared" si="22"/>
        <v>-476069.81127929688</v>
      </c>
    </row>
    <row r="108" spans="1:32" x14ac:dyDescent="0.3">
      <c r="A108" s="8">
        <v>1993</v>
      </c>
      <c r="B108" s="13">
        <v>3060907</v>
      </c>
      <c r="C108" s="13">
        <f t="shared" si="23"/>
        <v>2511219.4801025391</v>
      </c>
      <c r="E108" s="8">
        <v>1</v>
      </c>
      <c r="F108" s="8">
        <f t="shared" si="14"/>
        <v>1994</v>
      </c>
      <c r="G108" s="8">
        <f t="shared" si="16"/>
        <v>3976036</v>
      </c>
      <c r="H108" s="8">
        <f t="shared" si="17"/>
        <v>7928215784</v>
      </c>
      <c r="N108" s="8">
        <f t="shared" si="18"/>
        <v>-568521.90881347656</v>
      </c>
      <c r="Q108" s="8">
        <v>1993</v>
      </c>
      <c r="R108" s="13">
        <v>4355474</v>
      </c>
      <c r="S108" s="13">
        <f t="shared" si="19"/>
        <v>3879404.1887207031</v>
      </c>
      <c r="U108" s="8">
        <v>1</v>
      </c>
      <c r="V108" s="8">
        <f t="shared" si="15"/>
        <v>1994</v>
      </c>
      <c r="W108" s="13">
        <f t="shared" si="20"/>
        <v>3976036</v>
      </c>
      <c r="X108" s="13">
        <f t="shared" si="21"/>
        <v>7928215784</v>
      </c>
      <c r="AE108" s="13">
        <f t="shared" si="22"/>
        <v>-785776.91455078125</v>
      </c>
    </row>
    <row r="109" spans="1:32" x14ac:dyDescent="0.3">
      <c r="A109" s="8">
        <v>1994</v>
      </c>
      <c r="B109" s="13">
        <v>2972637</v>
      </c>
      <c r="C109" s="13">
        <f t="shared" si="23"/>
        <v>2404115.0911865234</v>
      </c>
      <c r="E109" s="8">
        <v>1</v>
      </c>
      <c r="F109" s="8">
        <f t="shared" si="14"/>
        <v>1995</v>
      </c>
      <c r="G109" s="8">
        <f t="shared" si="16"/>
        <v>3980025</v>
      </c>
      <c r="H109" s="8">
        <f t="shared" si="17"/>
        <v>7940149875</v>
      </c>
      <c r="I109" s="6" t="s">
        <v>21</v>
      </c>
      <c r="J109" s="4" cm="1">
        <f t="array" ref="J109:M112">MINVERSE(_xlfn.ANCHORARRAY(J104))</f>
        <v>11793820263396.369</v>
      </c>
      <c r="K109" s="4">
        <v>-17664458481.918617</v>
      </c>
      <c r="L109" s="4">
        <v>8819032.9231372755</v>
      </c>
      <c r="M109" s="4">
        <v>-1467.6294293571366</v>
      </c>
      <c r="N109" s="8">
        <f t="shared" si="18"/>
        <v>-993957.95556640625</v>
      </c>
      <c r="Q109" s="8">
        <v>1994</v>
      </c>
      <c r="R109" s="13">
        <v>4397395</v>
      </c>
      <c r="S109" s="13">
        <f t="shared" si="19"/>
        <v>3611618.0854492188</v>
      </c>
      <c r="U109" s="8">
        <v>1</v>
      </c>
      <c r="V109" s="8">
        <f t="shared" si="15"/>
        <v>1995</v>
      </c>
      <c r="W109" s="13">
        <f t="shared" si="20"/>
        <v>3980025</v>
      </c>
      <c r="X109" s="13">
        <f t="shared" si="21"/>
        <v>7940149875</v>
      </c>
      <c r="Y109" s="6" t="s">
        <v>21</v>
      </c>
      <c r="Z109" s="4" cm="1">
        <f t="array" ref="Z109:AC112">MINVERSE(_xlfn.ANCHORARRAY(Z104))</f>
        <v>11793820263396.369</v>
      </c>
      <c r="AA109" s="4">
        <v>-17664458481.918617</v>
      </c>
      <c r="AB109" s="4">
        <v>8819032.9231372755</v>
      </c>
      <c r="AC109" s="4">
        <v>-1467.6294293571366</v>
      </c>
      <c r="AE109" s="13">
        <f t="shared" si="22"/>
        <v>-617126.65966796875</v>
      </c>
    </row>
    <row r="110" spans="1:32" x14ac:dyDescent="0.3">
      <c r="A110" s="8">
        <v>1995</v>
      </c>
      <c r="B110" s="13">
        <v>3294894</v>
      </c>
      <c r="C110" s="13">
        <f t="shared" si="23"/>
        <v>2300936.0444335938</v>
      </c>
      <c r="E110" s="8">
        <v>1</v>
      </c>
      <c r="F110" s="8">
        <f t="shared" si="14"/>
        <v>1996</v>
      </c>
      <c r="G110" s="8">
        <f t="shared" si="16"/>
        <v>3984016</v>
      </c>
      <c r="H110" s="8">
        <f t="shared" si="17"/>
        <v>7952095936</v>
      </c>
      <c r="J110" s="4">
        <v>-17664461632.184586</v>
      </c>
      <c r="K110" s="4">
        <v>26457393.773263816</v>
      </c>
      <c r="L110" s="4">
        <v>-13208.957065665685</v>
      </c>
      <c r="M110" s="4">
        <v>2.1981878762696478</v>
      </c>
      <c r="N110" s="8">
        <f t="shared" si="18"/>
        <v>-589824.42846679688</v>
      </c>
      <c r="Q110" s="8">
        <v>1995</v>
      </c>
      <c r="R110" s="13">
        <v>3963501</v>
      </c>
      <c r="S110" s="13">
        <f t="shared" si="19"/>
        <v>3346374.3403320313</v>
      </c>
      <c r="U110" s="8">
        <v>1</v>
      </c>
      <c r="V110" s="8">
        <f t="shared" si="15"/>
        <v>1996</v>
      </c>
      <c r="W110" s="13">
        <f t="shared" si="20"/>
        <v>3984016</v>
      </c>
      <c r="X110" s="13">
        <f t="shared" si="21"/>
        <v>7952095936</v>
      </c>
      <c r="Z110" s="4">
        <v>-17664461632.184586</v>
      </c>
      <c r="AA110" s="4">
        <v>26457393.773263816</v>
      </c>
      <c r="AB110" s="4">
        <v>-13208.957065665685</v>
      </c>
      <c r="AC110" s="4">
        <v>2.1981878762696478</v>
      </c>
      <c r="AE110" s="13">
        <f t="shared" si="22"/>
        <v>-653360.9697265625</v>
      </c>
    </row>
    <row r="111" spans="1:32" x14ac:dyDescent="0.3">
      <c r="A111" s="8">
        <v>1996</v>
      </c>
      <c r="B111" s="13">
        <v>2790984</v>
      </c>
      <c r="C111" s="13">
        <f t="shared" si="23"/>
        <v>2201159.5715332031</v>
      </c>
      <c r="E111" s="8">
        <v>1</v>
      </c>
      <c r="F111" s="8">
        <f t="shared" si="14"/>
        <v>1997</v>
      </c>
      <c r="G111" s="8">
        <f t="shared" si="16"/>
        <v>3988009</v>
      </c>
      <c r="H111" s="8">
        <f t="shared" si="17"/>
        <v>7964053973</v>
      </c>
      <c r="J111" s="4">
        <v>8819036.0686901789</v>
      </c>
      <c r="K111" s="4">
        <v>-13208.959421322188</v>
      </c>
      <c r="L111" s="4">
        <v>6.5946371578456988</v>
      </c>
      <c r="M111" s="4">
        <v>-1.0974582734003962E-3</v>
      </c>
      <c r="N111" s="8">
        <f t="shared" si="18"/>
        <v>-596248.09594726563</v>
      </c>
      <c r="Q111" s="8">
        <v>1996</v>
      </c>
      <c r="R111" s="13">
        <v>3737912</v>
      </c>
      <c r="S111" s="13">
        <f t="shared" si="19"/>
        <v>3084551.0302734375</v>
      </c>
      <c r="U111" s="8">
        <v>1</v>
      </c>
      <c r="V111" s="8">
        <f t="shared" si="15"/>
        <v>1997</v>
      </c>
      <c r="W111" s="13">
        <f t="shared" si="20"/>
        <v>3988009</v>
      </c>
      <c r="X111" s="13">
        <f t="shared" si="21"/>
        <v>7964053973</v>
      </c>
      <c r="Z111" s="10">
        <v>8819036.0686901789</v>
      </c>
      <c r="AA111" s="10">
        <v>-13208.959421322188</v>
      </c>
      <c r="AB111" s="4">
        <v>6.5946371578456988</v>
      </c>
      <c r="AC111" s="4">
        <v>-1.0974582734003962E-3</v>
      </c>
      <c r="AE111" s="13">
        <f t="shared" si="22"/>
        <v>-743693.767578125</v>
      </c>
    </row>
    <row r="112" spans="1:32" ht="15" thickBot="1" x14ac:dyDescent="0.35">
      <c r="A112" s="8">
        <v>1997</v>
      </c>
      <c r="B112" s="13">
        <v>2700511</v>
      </c>
      <c r="C112" s="13">
        <f t="shared" si="23"/>
        <v>2104262.9040527344</v>
      </c>
      <c r="E112" s="8">
        <v>1</v>
      </c>
      <c r="F112" s="8">
        <f t="shared" si="14"/>
        <v>1998</v>
      </c>
      <c r="G112" s="8">
        <f t="shared" si="16"/>
        <v>3992004</v>
      </c>
      <c r="H112" s="8">
        <f t="shared" si="17"/>
        <v>7976023992</v>
      </c>
      <c r="J112" s="19">
        <v>-1467.630214556985</v>
      </c>
      <c r="K112" s="19">
        <v>2.1981886602994933</v>
      </c>
      <c r="L112" s="19">
        <v>-1.0974584691128329E-3</v>
      </c>
      <c r="M112" s="19">
        <v>1.8263585314760779E-7</v>
      </c>
      <c r="N112" s="8">
        <f t="shared" si="18"/>
        <v>-602862.72631835938</v>
      </c>
      <c r="Q112" s="8">
        <v>1997</v>
      </c>
      <c r="R112" s="13">
        <v>3570720</v>
      </c>
      <c r="S112" s="13">
        <f t="shared" si="19"/>
        <v>2827026.232421875</v>
      </c>
      <c r="U112" s="8">
        <v>1</v>
      </c>
      <c r="V112" s="8">
        <f t="shared" si="15"/>
        <v>1998</v>
      </c>
      <c r="W112" s="13">
        <f t="shared" si="20"/>
        <v>3992004</v>
      </c>
      <c r="X112" s="13">
        <f t="shared" si="21"/>
        <v>7976023992</v>
      </c>
      <c r="Z112" s="19">
        <v>-1467.630214556985</v>
      </c>
      <c r="AA112" s="19">
        <v>2.1981886602994933</v>
      </c>
      <c r="AB112" s="4">
        <v>-1.0974584691128329E-3</v>
      </c>
      <c r="AC112" s="4">
        <v>1.8263585314760779E-7</v>
      </c>
      <c r="AE112" s="13">
        <f t="shared" si="22"/>
        <v>-1286517.9768066406</v>
      </c>
    </row>
    <row r="113" spans="1:31" x14ac:dyDescent="0.3">
      <c r="A113" s="8">
        <v>1998</v>
      </c>
      <c r="B113" s="13">
        <v>2612586</v>
      </c>
      <c r="C113" s="13">
        <f t="shared" si="23"/>
        <v>2009723.2736816406</v>
      </c>
      <c r="E113" s="8">
        <v>1</v>
      </c>
      <c r="F113" s="8">
        <f t="shared" si="14"/>
        <v>1999</v>
      </c>
      <c r="G113" s="8">
        <f t="shared" si="16"/>
        <v>3996001</v>
      </c>
      <c r="H113" s="8">
        <f t="shared" si="17"/>
        <v>7988005999</v>
      </c>
      <c r="N113" s="8">
        <f t="shared" si="18"/>
        <v>-612080.08837890625</v>
      </c>
      <c r="Q113" s="8">
        <v>1998</v>
      </c>
      <c r="R113" s="13">
        <v>3861196</v>
      </c>
      <c r="S113" s="13">
        <f t="shared" si="19"/>
        <v>2574678.0231933594</v>
      </c>
      <c r="U113" s="8">
        <v>1</v>
      </c>
      <c r="V113" s="8">
        <f t="shared" si="15"/>
        <v>1999</v>
      </c>
      <c r="W113" s="13">
        <f t="shared" si="20"/>
        <v>3996001</v>
      </c>
      <c r="X113" s="13">
        <f t="shared" si="21"/>
        <v>7988005999</v>
      </c>
      <c r="AE113" s="13">
        <f t="shared" si="22"/>
        <v>-881200.52099609375</v>
      </c>
    </row>
    <row r="114" spans="1:31" x14ac:dyDescent="0.3">
      <c r="A114" s="8">
        <v>1999</v>
      </c>
      <c r="B114" s="13">
        <v>2529098</v>
      </c>
      <c r="C114" s="13">
        <f t="shared" si="23"/>
        <v>1917017.9116210938</v>
      </c>
      <c r="E114" s="8">
        <v>1</v>
      </c>
      <c r="F114" s="8">
        <f t="shared" si="14"/>
        <v>2000</v>
      </c>
      <c r="G114" s="8">
        <f t="shared" si="16"/>
        <v>4000000</v>
      </c>
      <c r="H114" s="8">
        <f t="shared" si="17"/>
        <v>8000000000</v>
      </c>
      <c r="I114" s="6" t="s">
        <v>24</v>
      </c>
      <c r="J114" s="5" t="s">
        <v>32</v>
      </c>
      <c r="K114" s="4" cm="1">
        <f t="array" ref="K114:K117">MMULT(_xlfn.ANCHORARRAY(B148),B105:B131)</f>
        <v>698785722509.12305</v>
      </c>
      <c r="N114" s="8">
        <f t="shared" si="18"/>
        <v>-113765.95031738281</v>
      </c>
      <c r="Q114" s="8">
        <v>1999</v>
      </c>
      <c r="R114" s="13">
        <v>3209585</v>
      </c>
      <c r="S114" s="13">
        <f t="shared" si="19"/>
        <v>2328384.4790039063</v>
      </c>
      <c r="U114" s="8">
        <v>1</v>
      </c>
      <c r="V114" s="8">
        <f t="shared" si="15"/>
        <v>2000</v>
      </c>
      <c r="W114" s="13">
        <f t="shared" si="20"/>
        <v>4000000</v>
      </c>
      <c r="X114" s="13">
        <f t="shared" si="21"/>
        <v>8000000000</v>
      </c>
      <c r="Y114" s="6" t="s">
        <v>24</v>
      </c>
      <c r="Z114" s="5" t="s">
        <v>32</v>
      </c>
      <c r="AA114" s="4" cm="1">
        <f t="array" ref="AA114:AA117">MMULT(_xlfn.ANCHORARRAY(B153),R105:R131)</f>
        <v>-1154674165751.498</v>
      </c>
      <c r="AE114" s="13">
        <f t="shared" si="22"/>
        <v>61884.67724609375</v>
      </c>
    </row>
    <row r="115" spans="1:31" x14ac:dyDescent="0.3">
      <c r="A115" s="8">
        <v>2000</v>
      </c>
      <c r="B115" s="13">
        <v>1939390</v>
      </c>
      <c r="C115" s="13">
        <f t="shared" si="23"/>
        <v>1825624.0496826172</v>
      </c>
      <c r="E115" s="8">
        <v>1</v>
      </c>
      <c r="F115" s="8">
        <f t="shared" si="14"/>
        <v>2001</v>
      </c>
      <c r="G115" s="8">
        <f t="shared" si="16"/>
        <v>4004001</v>
      </c>
      <c r="H115" s="8">
        <f t="shared" si="17"/>
        <v>8012006001</v>
      </c>
      <c r="J115" s="31" t="s">
        <v>26</v>
      </c>
      <c r="K115" s="8">
        <v>-1047205288.9907494</v>
      </c>
      <c r="N115" s="8">
        <f t="shared" si="18"/>
        <v>-642617.08056640625</v>
      </c>
      <c r="Q115" s="8">
        <v>2000</v>
      </c>
      <c r="R115" s="13">
        <v>2027139</v>
      </c>
      <c r="S115" s="13">
        <f t="shared" si="19"/>
        <v>2089023.6772460938</v>
      </c>
      <c r="U115" s="8">
        <v>1</v>
      </c>
      <c r="V115" s="8">
        <f t="shared" si="15"/>
        <v>2001</v>
      </c>
      <c r="W115" s="13">
        <f t="shared" si="20"/>
        <v>4004001</v>
      </c>
      <c r="X115" s="13">
        <f t="shared" si="21"/>
        <v>8012006001</v>
      </c>
      <c r="Z115" s="31" t="s">
        <v>26</v>
      </c>
      <c r="AA115" s="8">
        <v>1740296404.7754707</v>
      </c>
      <c r="AE115" s="13">
        <f t="shared" si="22"/>
        <v>-1044032.3051757813</v>
      </c>
    </row>
    <row r="116" spans="1:31" x14ac:dyDescent="0.3">
      <c r="A116" s="8">
        <v>2001</v>
      </c>
      <c r="B116" s="13">
        <v>2377636</v>
      </c>
      <c r="C116" s="13">
        <f t="shared" si="23"/>
        <v>1735018.9194335938</v>
      </c>
      <c r="E116" s="8">
        <v>1</v>
      </c>
      <c r="F116" s="8">
        <f t="shared" si="14"/>
        <v>2002</v>
      </c>
      <c r="G116" s="8">
        <f t="shared" si="16"/>
        <v>4008004</v>
      </c>
      <c r="H116" s="8">
        <f t="shared" si="17"/>
        <v>8024024008</v>
      </c>
      <c r="J116" s="5" t="s">
        <v>33</v>
      </c>
      <c r="K116" s="4">
        <v>523162.82251094282</v>
      </c>
      <c r="N116" s="8">
        <f t="shared" si="18"/>
        <v>-661288.24755859375</v>
      </c>
      <c r="Q116" s="8">
        <v>2001</v>
      </c>
      <c r="R116" s="13">
        <v>2901506</v>
      </c>
      <c r="S116" s="13">
        <f t="shared" si="19"/>
        <v>1857473.6948242188</v>
      </c>
      <c r="U116" s="8">
        <v>1</v>
      </c>
      <c r="V116" s="8">
        <f t="shared" si="15"/>
        <v>2002</v>
      </c>
      <c r="W116" s="13">
        <f t="shared" si="20"/>
        <v>4008004</v>
      </c>
      <c r="X116" s="13">
        <f t="shared" si="21"/>
        <v>8024024008</v>
      </c>
      <c r="Z116" s="5" t="s">
        <v>33</v>
      </c>
      <c r="AA116" s="4">
        <v>-874171.41282496788</v>
      </c>
      <c r="AE116" s="13">
        <f t="shared" si="22"/>
        <v>-559897.39208984375</v>
      </c>
    </row>
    <row r="117" spans="1:31" ht="15" thickBot="1" x14ac:dyDescent="0.35">
      <c r="A117" s="8">
        <v>2002</v>
      </c>
      <c r="B117" s="13">
        <v>2305968</v>
      </c>
      <c r="C117" s="13">
        <f t="shared" si="23"/>
        <v>1644679.7524414063</v>
      </c>
      <c r="E117" s="8">
        <v>1</v>
      </c>
      <c r="F117" s="8">
        <f t="shared" si="14"/>
        <v>2003</v>
      </c>
      <c r="G117" s="8">
        <f t="shared" si="16"/>
        <v>4012009</v>
      </c>
      <c r="H117" s="8">
        <f t="shared" si="17"/>
        <v>8036054027</v>
      </c>
      <c r="J117" s="24" t="s">
        <v>40</v>
      </c>
      <c r="K117" s="11">
        <v>-87.128076118418221</v>
      </c>
      <c r="N117" s="8">
        <f t="shared" si="18"/>
        <v>-679692.21997070313</v>
      </c>
      <c r="Q117" s="8">
        <v>2002</v>
      </c>
      <c r="R117" s="13">
        <v>2194510</v>
      </c>
      <c r="S117" s="13">
        <f t="shared" si="19"/>
        <v>1634612.6079101563</v>
      </c>
      <c r="U117" s="8">
        <v>1</v>
      </c>
      <c r="V117" s="8">
        <f t="shared" si="15"/>
        <v>2003</v>
      </c>
      <c r="W117" s="13">
        <f t="shared" si="20"/>
        <v>4012009</v>
      </c>
      <c r="X117" s="13">
        <f t="shared" si="21"/>
        <v>8036054027</v>
      </c>
      <c r="Z117" s="24" t="s">
        <v>40</v>
      </c>
      <c r="AA117" s="11">
        <v>146.34613706551318</v>
      </c>
      <c r="AE117" s="13">
        <f t="shared" si="22"/>
        <v>-1198302.5051269531</v>
      </c>
    </row>
    <row r="118" spans="1:31" x14ac:dyDescent="0.3">
      <c r="A118" s="8">
        <v>2003</v>
      </c>
      <c r="B118" s="13">
        <v>2233776</v>
      </c>
      <c r="C118" s="13">
        <f t="shared" si="23"/>
        <v>1554083.7800292969</v>
      </c>
      <c r="E118" s="8">
        <v>1</v>
      </c>
      <c r="F118" s="8">
        <f t="shared" si="14"/>
        <v>2004</v>
      </c>
      <c r="G118" s="8">
        <f t="shared" si="16"/>
        <v>4016016</v>
      </c>
      <c r="H118" s="8">
        <f t="shared" si="17"/>
        <v>8048096064</v>
      </c>
      <c r="N118" s="8">
        <f t="shared" si="18"/>
        <v>-695713.76623535156</v>
      </c>
      <c r="Q118" s="8">
        <v>2003</v>
      </c>
      <c r="R118" s="13">
        <v>2619621</v>
      </c>
      <c r="S118" s="13">
        <f t="shared" si="19"/>
        <v>1421318.4948730469</v>
      </c>
      <c r="U118" s="8">
        <v>1</v>
      </c>
      <c r="V118" s="8">
        <f t="shared" si="15"/>
        <v>2004</v>
      </c>
      <c r="W118" s="13">
        <f t="shared" si="20"/>
        <v>4016016</v>
      </c>
      <c r="X118" s="13">
        <f t="shared" si="21"/>
        <v>8048096064</v>
      </c>
      <c r="AE118" s="13">
        <f t="shared" si="22"/>
        <v>-281928.56982421875</v>
      </c>
    </row>
    <row r="119" spans="1:31" x14ac:dyDescent="0.3">
      <c r="A119" s="8">
        <v>2004</v>
      </c>
      <c r="B119" s="13">
        <v>2158422</v>
      </c>
      <c r="C119" s="13">
        <f t="shared" si="23"/>
        <v>1462708.2337646484</v>
      </c>
      <c r="E119" s="8">
        <v>1</v>
      </c>
      <c r="F119" s="8">
        <f t="shared" si="14"/>
        <v>2005</v>
      </c>
      <c r="G119" s="8">
        <f t="shared" si="16"/>
        <v>4020025</v>
      </c>
      <c r="H119" s="8">
        <f t="shared" si="17"/>
        <v>8060150125</v>
      </c>
      <c r="N119" s="8">
        <f t="shared" si="18"/>
        <v>-15109.654541015625</v>
      </c>
      <c r="Q119" s="8">
        <v>2004</v>
      </c>
      <c r="R119" s="13">
        <v>1500398</v>
      </c>
      <c r="S119" s="13">
        <f t="shared" si="19"/>
        <v>1218469.4301757813</v>
      </c>
      <c r="U119" s="8">
        <v>1</v>
      </c>
      <c r="V119" s="8">
        <f t="shared" si="15"/>
        <v>2005</v>
      </c>
      <c r="W119" s="13">
        <f t="shared" si="20"/>
        <v>4020025</v>
      </c>
      <c r="X119" s="13">
        <f t="shared" si="21"/>
        <v>8060150125</v>
      </c>
      <c r="AE119" s="13">
        <f t="shared" si="22"/>
        <v>-130750.50756835938</v>
      </c>
    </row>
    <row r="120" spans="1:31" x14ac:dyDescent="0.3">
      <c r="A120" s="8">
        <v>2005</v>
      </c>
      <c r="B120" s="13">
        <v>1385140</v>
      </c>
      <c r="C120" s="13">
        <f t="shared" si="23"/>
        <v>1370030.3454589844</v>
      </c>
      <c r="E120" s="8">
        <v>1</v>
      </c>
      <c r="F120" s="8">
        <f t="shared" si="14"/>
        <v>2006</v>
      </c>
      <c r="G120" s="8">
        <f t="shared" si="16"/>
        <v>4024036</v>
      </c>
      <c r="H120" s="8">
        <f t="shared" si="17"/>
        <v>8072216216</v>
      </c>
      <c r="N120" s="8">
        <f t="shared" si="18"/>
        <v>-711878.65368652344</v>
      </c>
      <c r="Q120" s="8">
        <v>2005</v>
      </c>
      <c r="R120" s="13">
        <v>1157694</v>
      </c>
      <c r="S120" s="13">
        <f t="shared" si="19"/>
        <v>1026943.4924316406</v>
      </c>
      <c r="U120" s="8">
        <v>1</v>
      </c>
      <c r="V120" s="8">
        <f t="shared" si="15"/>
        <v>2006</v>
      </c>
      <c r="W120" s="13">
        <f t="shared" si="20"/>
        <v>4024036</v>
      </c>
      <c r="X120" s="13">
        <f t="shared" si="21"/>
        <v>8072216216</v>
      </c>
      <c r="AE120" s="13">
        <f t="shared" si="22"/>
        <v>-127623.24194335938</v>
      </c>
    </row>
    <row r="121" spans="1:31" x14ac:dyDescent="0.3">
      <c r="A121" s="8">
        <v>2006</v>
      </c>
      <c r="B121" s="13">
        <v>1987406</v>
      </c>
      <c r="C121" s="13">
        <f t="shared" si="23"/>
        <v>1275527.3463134766</v>
      </c>
      <c r="E121" s="8">
        <v>1</v>
      </c>
      <c r="F121" s="8">
        <f t="shared" si="14"/>
        <v>2007</v>
      </c>
      <c r="G121" s="8">
        <f t="shared" si="16"/>
        <v>4028049</v>
      </c>
      <c r="H121" s="8">
        <f t="shared" si="17"/>
        <v>8084294343</v>
      </c>
      <c r="N121" s="8">
        <f t="shared" si="18"/>
        <v>-707564.5322265625</v>
      </c>
      <c r="Q121" s="8">
        <v>2006</v>
      </c>
      <c r="R121" s="13">
        <v>975242</v>
      </c>
      <c r="S121" s="13">
        <f t="shared" si="19"/>
        <v>847618.75805664063</v>
      </c>
      <c r="U121" s="8">
        <v>1</v>
      </c>
      <c r="V121" s="8">
        <f t="shared" si="15"/>
        <v>2007</v>
      </c>
      <c r="W121" s="13">
        <f t="shared" si="20"/>
        <v>4028049</v>
      </c>
      <c r="X121" s="13">
        <f t="shared" si="21"/>
        <v>8084294343</v>
      </c>
      <c r="AE121" s="13">
        <f t="shared" si="22"/>
        <v>-1272597.6967773438</v>
      </c>
    </row>
    <row r="122" spans="1:31" x14ac:dyDescent="0.3">
      <c r="A122" s="8">
        <v>2007</v>
      </c>
      <c r="B122" s="13">
        <v>1886241</v>
      </c>
      <c r="C122" s="13">
        <f t="shared" si="23"/>
        <v>1178676.4677734375</v>
      </c>
      <c r="E122" s="8">
        <v>1</v>
      </c>
      <c r="F122" s="8">
        <f t="shared" si="14"/>
        <v>2008</v>
      </c>
      <c r="G122" s="8">
        <f t="shared" si="16"/>
        <v>4032064</v>
      </c>
      <c r="H122" s="8">
        <f t="shared" si="17"/>
        <v>8096384512</v>
      </c>
      <c r="N122" s="8">
        <f t="shared" si="18"/>
        <v>-354858.05786132813</v>
      </c>
      <c r="Q122" s="8">
        <v>2007</v>
      </c>
      <c r="R122" s="13">
        <v>1953971</v>
      </c>
      <c r="S122" s="13">
        <f t="shared" si="19"/>
        <v>681373.30322265625</v>
      </c>
      <c r="U122" s="8">
        <v>1</v>
      </c>
      <c r="V122" s="8">
        <f t="shared" si="15"/>
        <v>2008</v>
      </c>
      <c r="W122" s="13">
        <f t="shared" si="20"/>
        <v>4032064</v>
      </c>
      <c r="X122" s="13">
        <f t="shared" si="21"/>
        <v>8096384512</v>
      </c>
      <c r="AE122" s="13">
        <f t="shared" si="22"/>
        <v>-705239.79443359375</v>
      </c>
    </row>
    <row r="123" spans="1:31" x14ac:dyDescent="0.3">
      <c r="A123" s="8">
        <v>2008</v>
      </c>
      <c r="B123" s="13">
        <v>1433813</v>
      </c>
      <c r="C123" s="13">
        <f t="shared" si="23"/>
        <v>1078954.9421386719</v>
      </c>
      <c r="E123" s="8">
        <v>1</v>
      </c>
      <c r="F123" s="8">
        <f t="shared" si="14"/>
        <v>2009</v>
      </c>
      <c r="G123" s="8">
        <f t="shared" si="16"/>
        <v>4036081</v>
      </c>
      <c r="H123" s="8">
        <f t="shared" si="17"/>
        <v>8108486729</v>
      </c>
      <c r="N123" s="8">
        <f t="shared" si="18"/>
        <v>-814815.99987792969</v>
      </c>
      <c r="Q123" s="8">
        <v>2008</v>
      </c>
      <c r="R123" s="13">
        <v>1234325</v>
      </c>
      <c r="S123" s="13">
        <f t="shared" si="19"/>
        <v>529085.20556640625</v>
      </c>
      <c r="U123" s="8">
        <v>1</v>
      </c>
      <c r="V123" s="8">
        <f t="shared" si="15"/>
        <v>2009</v>
      </c>
      <c r="W123" s="13">
        <f t="shared" si="20"/>
        <v>4036081</v>
      </c>
      <c r="X123" s="13">
        <f t="shared" si="21"/>
        <v>8108486729</v>
      </c>
      <c r="AE123" s="13">
        <f t="shared" si="22"/>
        <v>-1090745.4577636719</v>
      </c>
    </row>
    <row r="124" spans="1:31" x14ac:dyDescent="0.3">
      <c r="A124" s="8">
        <v>2009</v>
      </c>
      <c r="B124" s="13">
        <v>1790656</v>
      </c>
      <c r="C124" s="13">
        <f t="shared" si="23"/>
        <v>975840.00012207031</v>
      </c>
      <c r="E124" s="8">
        <v>1</v>
      </c>
      <c r="F124" s="8">
        <f t="shared" si="14"/>
        <v>2010</v>
      </c>
      <c r="G124" s="8">
        <f t="shared" si="16"/>
        <v>4040100</v>
      </c>
      <c r="H124" s="8">
        <f t="shared" si="17"/>
        <v>8120601000</v>
      </c>
      <c r="N124" s="8">
        <f t="shared" si="18"/>
        <v>-605623.12634277344</v>
      </c>
      <c r="Q124" s="8">
        <v>2009</v>
      </c>
      <c r="R124" s="13">
        <v>1482378</v>
      </c>
      <c r="S124" s="13">
        <f t="shared" si="19"/>
        <v>391632.54223632813</v>
      </c>
      <c r="U124" s="8">
        <v>1</v>
      </c>
      <c r="V124" s="8">
        <f t="shared" si="15"/>
        <v>2010</v>
      </c>
      <c r="W124" s="13">
        <f t="shared" si="20"/>
        <v>4040100</v>
      </c>
      <c r="X124" s="13">
        <f t="shared" si="21"/>
        <v>8120601000</v>
      </c>
      <c r="AE124" s="13">
        <f t="shared" si="22"/>
        <v>-625606.611328125</v>
      </c>
    </row>
    <row r="125" spans="1:31" x14ac:dyDescent="0.3">
      <c r="A125" s="8">
        <v>2010</v>
      </c>
      <c r="B125" s="13">
        <v>1474432</v>
      </c>
      <c r="C125" s="13">
        <f t="shared" si="23"/>
        <v>868808.87365722656</v>
      </c>
      <c r="E125" s="8">
        <v>1</v>
      </c>
      <c r="F125" s="8">
        <f t="shared" si="14"/>
        <v>2011</v>
      </c>
      <c r="G125" s="8">
        <f t="shared" si="16"/>
        <v>4044121</v>
      </c>
      <c r="H125" s="8">
        <f t="shared" si="17"/>
        <v>8132727331</v>
      </c>
      <c r="N125" s="8">
        <f t="shared" si="18"/>
        <v>-777050.20556640625</v>
      </c>
      <c r="Q125" s="8">
        <v>2010</v>
      </c>
      <c r="R125" s="13">
        <v>895500</v>
      </c>
      <c r="S125" s="13">
        <f t="shared" si="19"/>
        <v>269893.388671875</v>
      </c>
      <c r="U125" s="8">
        <v>1</v>
      </c>
      <c r="V125" s="8">
        <f t="shared" si="15"/>
        <v>2011</v>
      </c>
      <c r="W125" s="13">
        <f t="shared" si="20"/>
        <v>4044121</v>
      </c>
      <c r="X125" s="13">
        <f t="shared" si="21"/>
        <v>8132727331</v>
      </c>
      <c r="AE125" s="13">
        <f t="shared" si="22"/>
        <v>-730383.17724609375</v>
      </c>
    </row>
    <row r="126" spans="1:31" x14ac:dyDescent="0.3">
      <c r="A126" s="8">
        <v>2011</v>
      </c>
      <c r="B126" s="13">
        <v>1534389</v>
      </c>
      <c r="C126" s="13">
        <f t="shared" si="23"/>
        <v>757338.79443359375</v>
      </c>
      <c r="E126" s="8">
        <v>1</v>
      </c>
      <c r="F126" s="8">
        <f t="shared" si="14"/>
        <v>2012</v>
      </c>
      <c r="G126" s="8">
        <f t="shared" si="16"/>
        <v>4048144</v>
      </c>
      <c r="H126" s="8">
        <f t="shared" si="17"/>
        <v>8144865728</v>
      </c>
      <c r="N126" s="8">
        <f t="shared" si="18"/>
        <v>-750453.00646972656</v>
      </c>
      <c r="Q126" s="8">
        <v>2011</v>
      </c>
      <c r="R126" s="13">
        <v>895129</v>
      </c>
      <c r="S126" s="13">
        <f t="shared" si="19"/>
        <v>164745.82275390625</v>
      </c>
      <c r="U126" s="8">
        <v>1</v>
      </c>
      <c r="V126" s="8">
        <f t="shared" si="15"/>
        <v>2012</v>
      </c>
      <c r="W126" s="13">
        <f t="shared" si="20"/>
        <v>4048144</v>
      </c>
      <c r="X126" s="13">
        <f t="shared" si="21"/>
        <v>8144865728</v>
      </c>
      <c r="AE126" s="13">
        <f t="shared" si="22"/>
        <v>-996326.0791015625</v>
      </c>
    </row>
    <row r="127" spans="1:31" x14ac:dyDescent="0.3">
      <c r="A127" s="8">
        <v>2012</v>
      </c>
      <c r="B127" s="13">
        <v>1391360</v>
      </c>
      <c r="C127" s="13">
        <f t="shared" si="23"/>
        <v>640906.99353027344</v>
      </c>
      <c r="E127" s="8">
        <v>1</v>
      </c>
      <c r="F127" s="8">
        <f t="shared" si="14"/>
        <v>2013</v>
      </c>
      <c r="G127" s="8">
        <f t="shared" si="16"/>
        <v>4052169</v>
      </c>
      <c r="H127" s="8">
        <f t="shared" si="17"/>
        <v>8157016197</v>
      </c>
      <c r="N127" s="8">
        <f t="shared" si="18"/>
        <v>-532299.29699707031</v>
      </c>
      <c r="Q127" s="8">
        <v>2012</v>
      </c>
      <c r="R127" s="13">
        <v>1073394</v>
      </c>
      <c r="S127" s="13">
        <f t="shared" si="19"/>
        <v>77067.9208984375</v>
      </c>
      <c r="U127" s="8">
        <v>1</v>
      </c>
      <c r="V127" s="8">
        <f t="shared" si="15"/>
        <v>2013</v>
      </c>
      <c r="W127" s="13">
        <f t="shared" si="20"/>
        <v>4052169</v>
      </c>
      <c r="X127" s="13">
        <f t="shared" si="21"/>
        <v>8157016197</v>
      </c>
      <c r="AE127" s="13">
        <f t="shared" si="22"/>
        <v>-300154.23974609375</v>
      </c>
    </row>
    <row r="128" spans="1:31" x14ac:dyDescent="0.3">
      <c r="A128" s="8">
        <v>2013</v>
      </c>
      <c r="B128" s="13">
        <v>1051290</v>
      </c>
      <c r="C128" s="13">
        <f t="shared" si="23"/>
        <v>518990.70300292969</v>
      </c>
      <c r="E128" s="8">
        <v>1</v>
      </c>
      <c r="F128" s="8">
        <f t="shared" si="14"/>
        <v>2014</v>
      </c>
      <c r="G128" s="8">
        <f t="shared" si="16"/>
        <v>4056196</v>
      </c>
      <c r="H128" s="8">
        <f t="shared" si="17"/>
        <v>8169178744</v>
      </c>
      <c r="N128" s="8">
        <f t="shared" si="18"/>
        <v>-664685.84606933594</v>
      </c>
      <c r="Q128" s="8">
        <v>2013</v>
      </c>
      <c r="R128" s="13">
        <v>307892</v>
      </c>
      <c r="S128" s="13">
        <f t="shared" si="19"/>
        <v>7737.76025390625</v>
      </c>
      <c r="U128" s="8">
        <v>1</v>
      </c>
      <c r="V128" s="8">
        <f t="shared" si="15"/>
        <v>2014</v>
      </c>
      <c r="W128" s="13">
        <f t="shared" si="20"/>
        <v>4056196</v>
      </c>
      <c r="X128" s="13">
        <f t="shared" si="21"/>
        <v>8169178744</v>
      </c>
      <c r="AE128" s="13">
        <f t="shared" si="22"/>
        <v>-1069768.5827636719</v>
      </c>
    </row>
    <row r="129" spans="1:31" x14ac:dyDescent="0.3">
      <c r="A129" s="8">
        <v>2014</v>
      </c>
      <c r="B129" s="13">
        <v>1055753</v>
      </c>
      <c r="C129" s="13">
        <f t="shared" si="23"/>
        <v>391067.15393066406</v>
      </c>
      <c r="E129" s="8">
        <v>1</v>
      </c>
      <c r="F129" s="8">
        <f t="shared" si="14"/>
        <v>2015</v>
      </c>
      <c r="G129" s="8">
        <f t="shared" si="16"/>
        <v>4060225</v>
      </c>
      <c r="H129" s="8">
        <f t="shared" si="17"/>
        <v>8181353375</v>
      </c>
      <c r="N129" s="8">
        <f t="shared" si="18"/>
        <v>-617821.42175292969</v>
      </c>
      <c r="Q129" s="8">
        <v>2014</v>
      </c>
      <c r="R129" s="13">
        <v>1027402</v>
      </c>
      <c r="S129" s="13">
        <f t="shared" si="19"/>
        <v>-42366.582763671875</v>
      </c>
      <c r="U129" s="8">
        <v>1</v>
      </c>
      <c r="V129" s="8">
        <f t="shared" si="15"/>
        <v>2015</v>
      </c>
      <c r="W129" s="13">
        <f t="shared" si="20"/>
        <v>4060225</v>
      </c>
      <c r="X129" s="13">
        <f t="shared" si="21"/>
        <v>8181353375</v>
      </c>
      <c r="AE129" s="13">
        <f t="shared" si="22"/>
        <v>-1331276.0307617188</v>
      </c>
    </row>
    <row r="130" spans="1:31" ht="15" thickBot="1" x14ac:dyDescent="0.35">
      <c r="A130" s="8">
        <v>2015</v>
      </c>
      <c r="B130" s="13">
        <v>874435</v>
      </c>
      <c r="C130" s="13">
        <f t="shared" si="23"/>
        <v>256613.57824707031</v>
      </c>
      <c r="E130" s="11">
        <v>1</v>
      </c>
      <c r="F130" s="11">
        <f t="shared" si="14"/>
        <v>2016</v>
      </c>
      <c r="G130" s="11">
        <f t="shared" si="16"/>
        <v>4064256</v>
      </c>
      <c r="H130" s="11">
        <f t="shared" si="17"/>
        <v>8193540096</v>
      </c>
      <c r="N130" s="11">
        <f t="shared" si="18"/>
        <v>-369258.79284667969</v>
      </c>
      <c r="Q130" s="8">
        <v>2015</v>
      </c>
      <c r="R130" s="13">
        <v>1258909</v>
      </c>
      <c r="S130" s="13">
        <f t="shared" si="19"/>
        <v>-72367.03076171875</v>
      </c>
      <c r="U130" s="11">
        <v>1</v>
      </c>
      <c r="V130" s="11">
        <f t="shared" si="15"/>
        <v>2016</v>
      </c>
      <c r="W130" s="14">
        <f t="shared" si="20"/>
        <v>4064256</v>
      </c>
      <c r="X130" s="14">
        <f>V130^3</f>
        <v>8193540096</v>
      </c>
      <c r="AE130" s="14">
        <f t="shared" si="22"/>
        <v>-81385.507568359375</v>
      </c>
    </row>
    <row r="131" spans="1:31" ht="15" thickBot="1" x14ac:dyDescent="0.35">
      <c r="A131" s="11">
        <v>2016</v>
      </c>
      <c r="B131" s="14">
        <v>484366</v>
      </c>
      <c r="C131" s="14">
        <f t="shared" si="23"/>
        <v>115107.20715332031</v>
      </c>
      <c r="Q131" s="11">
        <v>2016</v>
      </c>
      <c r="R131" s="14">
        <v>0</v>
      </c>
      <c r="S131" s="14">
        <f t="shared" si="19"/>
        <v>-81385.507568359375</v>
      </c>
    </row>
    <row r="132" spans="1:31" x14ac:dyDescent="0.3">
      <c r="A132" s="26">
        <v>2017</v>
      </c>
      <c r="B132" s="27">
        <v>719969.307692306</v>
      </c>
      <c r="C132" s="27">
        <f t="shared" si="23"/>
        <v>-33974.727905273438</v>
      </c>
      <c r="Q132" s="26">
        <v>2017</v>
      </c>
      <c r="R132" s="27">
        <v>0</v>
      </c>
      <c r="S132" s="27">
        <f t="shared" si="19"/>
        <v>-68543.936279296875</v>
      </c>
    </row>
    <row r="133" spans="1:31" ht="15" thickBot="1" x14ac:dyDescent="0.35">
      <c r="A133" s="8">
        <v>2018</v>
      </c>
      <c r="B133" s="13">
        <v>620179.73443223594</v>
      </c>
      <c r="C133" s="13">
        <f t="shared" si="23"/>
        <v>-191154.99475097656</v>
      </c>
      <c r="E133" s="19">
        <f>K114</f>
        <v>698785722509.12305</v>
      </c>
      <c r="F133" s="25" t="s">
        <v>41</v>
      </c>
      <c r="G133" s="19">
        <f>K115</f>
        <v>-1047205288.9907494</v>
      </c>
      <c r="H133" s="25" t="s">
        <v>34</v>
      </c>
      <c r="I133" s="19">
        <f>K116</f>
        <v>523162.82251094282</v>
      </c>
      <c r="J133" s="25" t="s">
        <v>28</v>
      </c>
      <c r="K133" s="32">
        <f>K117</f>
        <v>-87.128076118418221</v>
      </c>
      <c r="Q133" s="8">
        <v>2018</v>
      </c>
      <c r="R133" s="13">
        <v>0</v>
      </c>
      <c r="S133" s="13">
        <f t="shared" si="19"/>
        <v>-32964.239501953125</v>
      </c>
      <c r="U133" s="19">
        <f>AA114</f>
        <v>-1154674165751.498</v>
      </c>
      <c r="V133" s="34" t="s">
        <v>41</v>
      </c>
      <c r="W133" s="19">
        <f>AA115</f>
        <v>1740296404.7754707</v>
      </c>
      <c r="X133" s="34" t="s">
        <v>34</v>
      </c>
      <c r="Y133" s="19">
        <f>AA116</f>
        <v>-874171.41282496788</v>
      </c>
      <c r="Z133" s="34" t="s">
        <v>28</v>
      </c>
      <c r="AA133" s="32">
        <f>AA117</f>
        <v>146.34613706551318</v>
      </c>
    </row>
    <row r="134" spans="1:31" x14ac:dyDescent="0.3">
      <c r="A134" s="8">
        <v>2019</v>
      </c>
      <c r="B134" s="13">
        <v>520390.161172166</v>
      </c>
      <c r="C134" s="13">
        <f t="shared" si="23"/>
        <v>-356956.36242675781</v>
      </c>
      <c r="Q134" s="8">
        <v>2019</v>
      </c>
      <c r="R134" s="13">
        <v>0</v>
      </c>
      <c r="S134" s="13">
        <f t="shared" si="19"/>
        <v>26231.6591796875</v>
      </c>
    </row>
    <row r="135" spans="1:31" x14ac:dyDescent="0.3">
      <c r="A135" s="8">
        <v>2020</v>
      </c>
      <c r="B135" s="13">
        <v>420600.58791208599</v>
      </c>
      <c r="C135" s="13">
        <f t="shared" si="23"/>
        <v>-531901.59887695313</v>
      </c>
      <c r="Q135" s="8">
        <v>2020</v>
      </c>
      <c r="R135" s="13">
        <v>0</v>
      </c>
      <c r="S135" s="13">
        <f t="shared" si="19"/>
        <v>109921.8359375</v>
      </c>
    </row>
    <row r="136" spans="1:31" ht="15" thickBot="1" x14ac:dyDescent="0.35">
      <c r="A136" s="11">
        <v>2021</v>
      </c>
      <c r="B136" s="14">
        <v>320811.01465201599</v>
      </c>
      <c r="C136" s="14">
        <f t="shared" si="23"/>
        <v>-716513.47314453125</v>
      </c>
      <c r="Q136" s="11">
        <v>2021</v>
      </c>
      <c r="R136" s="14">
        <v>0</v>
      </c>
      <c r="S136" s="14">
        <f t="shared" si="19"/>
        <v>218984.36938476563</v>
      </c>
    </row>
    <row r="138" spans="1:31" ht="15" thickBot="1" x14ac:dyDescent="0.35">
      <c r="A138" s="15" t="s">
        <v>18</v>
      </c>
      <c r="B138" s="23" cm="1">
        <f t="array" ref="B138:AB141">TRANSPOSE(E104:H130)</f>
        <v>1</v>
      </c>
      <c r="C138" s="23">
        <v>1</v>
      </c>
      <c r="D138" s="23">
        <v>1</v>
      </c>
      <c r="E138" s="23">
        <v>1</v>
      </c>
      <c r="F138" s="23">
        <v>1</v>
      </c>
      <c r="G138" s="23">
        <v>1</v>
      </c>
      <c r="H138" s="23">
        <v>1</v>
      </c>
      <c r="I138" s="23">
        <v>1</v>
      </c>
      <c r="J138" s="23">
        <v>1</v>
      </c>
      <c r="K138" s="23">
        <v>1</v>
      </c>
      <c r="L138" s="23">
        <v>1</v>
      </c>
      <c r="M138" s="23">
        <v>1</v>
      </c>
      <c r="N138" s="23">
        <v>1</v>
      </c>
      <c r="O138" s="23">
        <v>1</v>
      </c>
      <c r="P138" s="23">
        <v>1</v>
      </c>
      <c r="Q138" s="23">
        <v>1</v>
      </c>
      <c r="R138" s="23">
        <v>1</v>
      </c>
      <c r="S138" s="23">
        <v>1</v>
      </c>
      <c r="T138" s="23">
        <v>1</v>
      </c>
      <c r="U138" s="23">
        <v>1</v>
      </c>
      <c r="V138" s="23">
        <v>1</v>
      </c>
      <c r="W138" s="23">
        <v>1</v>
      </c>
      <c r="X138" s="23">
        <v>1</v>
      </c>
      <c r="Y138" s="23">
        <v>1</v>
      </c>
      <c r="Z138" s="23">
        <v>1</v>
      </c>
      <c r="AA138" s="23">
        <v>1</v>
      </c>
      <c r="AB138" s="23">
        <v>1</v>
      </c>
    </row>
    <row r="139" spans="1:31" x14ac:dyDescent="0.3">
      <c r="B139" s="23">
        <v>1990</v>
      </c>
      <c r="C139" s="23">
        <v>1991</v>
      </c>
      <c r="D139" s="23">
        <v>1992</v>
      </c>
      <c r="E139" s="23">
        <v>1993</v>
      </c>
      <c r="F139" s="23">
        <v>1994</v>
      </c>
      <c r="G139" s="23">
        <v>1995</v>
      </c>
      <c r="H139" s="23">
        <v>1996</v>
      </c>
      <c r="I139" s="23">
        <v>1997</v>
      </c>
      <c r="J139" s="23">
        <v>1998</v>
      </c>
      <c r="K139" s="23">
        <v>1999</v>
      </c>
      <c r="L139" s="23">
        <v>2000</v>
      </c>
      <c r="M139" s="23">
        <v>2001</v>
      </c>
      <c r="N139" s="23">
        <v>2002</v>
      </c>
      <c r="O139" s="23">
        <v>2003</v>
      </c>
      <c r="P139" s="23">
        <v>2004</v>
      </c>
      <c r="Q139" s="23">
        <v>2005</v>
      </c>
      <c r="R139" s="23">
        <v>2006</v>
      </c>
      <c r="S139" s="23">
        <v>2007</v>
      </c>
      <c r="T139" s="23">
        <v>2008</v>
      </c>
      <c r="U139" s="23">
        <v>2009</v>
      </c>
      <c r="V139" s="23">
        <v>2010</v>
      </c>
      <c r="W139" s="23">
        <v>2011</v>
      </c>
      <c r="X139" s="23">
        <v>2012</v>
      </c>
      <c r="Y139" s="23">
        <v>2013</v>
      </c>
      <c r="Z139" s="23">
        <v>2014</v>
      </c>
      <c r="AA139" s="23">
        <v>2015</v>
      </c>
      <c r="AB139" s="23">
        <v>2016</v>
      </c>
    </row>
    <row r="140" spans="1:31" x14ac:dyDescent="0.3">
      <c r="B140" s="8">
        <v>3960100</v>
      </c>
      <c r="C140" s="8">
        <v>3964081</v>
      </c>
      <c r="D140" s="8">
        <v>3968064</v>
      </c>
      <c r="E140" s="8">
        <v>3972049</v>
      </c>
      <c r="F140" s="8">
        <v>3976036</v>
      </c>
      <c r="G140" s="8">
        <v>3980025</v>
      </c>
      <c r="H140" s="8">
        <v>3984016</v>
      </c>
      <c r="I140" s="8">
        <v>3988009</v>
      </c>
      <c r="J140" s="8">
        <v>3992004</v>
      </c>
      <c r="K140" s="8">
        <v>3996001</v>
      </c>
      <c r="L140" s="8">
        <v>4000000</v>
      </c>
      <c r="M140" s="8">
        <v>4004001</v>
      </c>
      <c r="N140" s="8">
        <v>4008004</v>
      </c>
      <c r="O140" s="8">
        <v>4012009</v>
      </c>
      <c r="P140" s="8">
        <v>4016016</v>
      </c>
      <c r="Q140" s="8">
        <v>4020025</v>
      </c>
      <c r="R140" s="8">
        <v>4024036</v>
      </c>
      <c r="S140" s="8">
        <v>4028049</v>
      </c>
      <c r="T140" s="8">
        <v>4032064</v>
      </c>
      <c r="U140" s="8">
        <v>4036081</v>
      </c>
      <c r="V140" s="8">
        <v>4040100</v>
      </c>
      <c r="W140" s="8">
        <v>4044121</v>
      </c>
      <c r="X140" s="8">
        <v>4048144</v>
      </c>
      <c r="Y140" s="8">
        <v>4052169</v>
      </c>
      <c r="Z140" s="8">
        <v>4056196</v>
      </c>
      <c r="AA140" s="8">
        <v>4060225</v>
      </c>
      <c r="AB140" s="8">
        <v>4064256</v>
      </c>
    </row>
    <row r="141" spans="1:31" ht="15" thickBot="1" x14ac:dyDescent="0.35">
      <c r="B141" s="11">
        <v>7880599000</v>
      </c>
      <c r="C141" s="11">
        <v>7892485271</v>
      </c>
      <c r="D141" s="11">
        <v>7904383488</v>
      </c>
      <c r="E141" s="11">
        <v>7916293657</v>
      </c>
      <c r="F141" s="11">
        <v>7928215784</v>
      </c>
      <c r="G141" s="11">
        <v>7940149875</v>
      </c>
      <c r="H141" s="11">
        <v>7952095936</v>
      </c>
      <c r="I141" s="11">
        <v>7964053973</v>
      </c>
      <c r="J141" s="11">
        <v>7976023992</v>
      </c>
      <c r="K141" s="11">
        <v>7988005999</v>
      </c>
      <c r="L141" s="11">
        <v>8000000000</v>
      </c>
      <c r="M141" s="11">
        <v>8012006001</v>
      </c>
      <c r="N141" s="11">
        <v>8024024008</v>
      </c>
      <c r="O141" s="11">
        <v>8036054027</v>
      </c>
      <c r="P141" s="11">
        <v>8048096064</v>
      </c>
      <c r="Q141" s="11">
        <v>8060150125</v>
      </c>
      <c r="R141" s="11">
        <v>8072216216</v>
      </c>
      <c r="S141" s="11">
        <v>8084294343</v>
      </c>
      <c r="T141" s="11">
        <v>8096384512</v>
      </c>
      <c r="U141" s="11">
        <v>8108486729</v>
      </c>
      <c r="V141" s="11">
        <v>8120601000</v>
      </c>
      <c r="W141" s="11">
        <v>8132727331</v>
      </c>
      <c r="X141" s="11">
        <v>8144865728</v>
      </c>
      <c r="Y141" s="11">
        <v>8157016197</v>
      </c>
      <c r="Z141" s="11">
        <v>8169178744</v>
      </c>
      <c r="AA141" s="11">
        <v>8181353375</v>
      </c>
      <c r="AB141" s="11">
        <v>8193540096</v>
      </c>
    </row>
    <row r="143" spans="1:31" ht="15" thickBot="1" x14ac:dyDescent="0.35">
      <c r="A143" s="15" t="s">
        <v>19</v>
      </c>
      <c r="B143" s="23" cm="1">
        <f t="array" ref="B143:AB146">TRANSPOSE(U104:X130)</f>
        <v>1</v>
      </c>
      <c r="C143" s="23">
        <v>1</v>
      </c>
      <c r="D143" s="23">
        <v>1</v>
      </c>
      <c r="E143" s="23">
        <v>1</v>
      </c>
      <c r="F143" s="23">
        <v>1</v>
      </c>
      <c r="G143" s="23">
        <v>1</v>
      </c>
      <c r="H143" s="23">
        <v>1</v>
      </c>
      <c r="I143" s="23">
        <v>1</v>
      </c>
      <c r="J143" s="23">
        <v>1</v>
      </c>
      <c r="K143" s="23">
        <v>1</v>
      </c>
      <c r="L143" s="23">
        <v>1</v>
      </c>
      <c r="M143" s="23">
        <v>1</v>
      </c>
      <c r="N143" s="23">
        <v>1</v>
      </c>
      <c r="O143" s="23">
        <v>1</v>
      </c>
      <c r="P143" s="23">
        <v>1</v>
      </c>
      <c r="Q143" s="23">
        <v>1</v>
      </c>
      <c r="R143" s="23">
        <v>1</v>
      </c>
      <c r="S143" s="23">
        <v>1</v>
      </c>
      <c r="T143" s="23">
        <v>1</v>
      </c>
      <c r="U143" s="23">
        <v>1</v>
      </c>
      <c r="V143" s="23">
        <v>1</v>
      </c>
      <c r="W143" s="23">
        <v>1</v>
      </c>
      <c r="X143" s="23">
        <v>1</v>
      </c>
      <c r="Y143" s="23">
        <v>1</v>
      </c>
      <c r="Z143" s="23">
        <v>1</v>
      </c>
      <c r="AA143" s="23">
        <v>1</v>
      </c>
      <c r="AB143" s="23">
        <v>1</v>
      </c>
    </row>
    <row r="144" spans="1:31" x14ac:dyDescent="0.3">
      <c r="B144" s="23">
        <v>1990</v>
      </c>
      <c r="C144" s="23">
        <v>1991</v>
      </c>
      <c r="D144" s="23">
        <v>1992</v>
      </c>
      <c r="E144" s="23">
        <v>1993</v>
      </c>
      <c r="F144" s="23">
        <v>1994</v>
      </c>
      <c r="G144" s="23">
        <v>1995</v>
      </c>
      <c r="H144" s="23">
        <v>1996</v>
      </c>
      <c r="I144" s="23">
        <v>1997</v>
      </c>
      <c r="J144" s="23">
        <v>1998</v>
      </c>
      <c r="K144" s="23">
        <v>1999</v>
      </c>
      <c r="L144" s="23">
        <v>2000</v>
      </c>
      <c r="M144" s="23">
        <v>2001</v>
      </c>
      <c r="N144" s="23">
        <v>2002</v>
      </c>
      <c r="O144" s="23">
        <v>2003</v>
      </c>
      <c r="P144" s="23">
        <v>2004</v>
      </c>
      <c r="Q144" s="23">
        <v>2005</v>
      </c>
      <c r="R144" s="23">
        <v>2006</v>
      </c>
      <c r="S144" s="23">
        <v>2007</v>
      </c>
      <c r="T144" s="23">
        <v>2008</v>
      </c>
      <c r="U144" s="23">
        <v>2009</v>
      </c>
      <c r="V144" s="23">
        <v>2010</v>
      </c>
      <c r="W144" s="23">
        <v>2011</v>
      </c>
      <c r="X144" s="23">
        <v>2012</v>
      </c>
      <c r="Y144" s="23">
        <v>2013</v>
      </c>
      <c r="Z144" s="23">
        <v>2014</v>
      </c>
      <c r="AA144" s="23">
        <v>2015</v>
      </c>
      <c r="AB144" s="23">
        <v>2016</v>
      </c>
    </row>
    <row r="145" spans="1:28" x14ac:dyDescent="0.3">
      <c r="B145" s="8">
        <v>3960100</v>
      </c>
      <c r="C145" s="8">
        <v>3964081</v>
      </c>
      <c r="D145" s="8">
        <v>3968064</v>
      </c>
      <c r="E145" s="8">
        <v>3972049</v>
      </c>
      <c r="F145" s="8">
        <v>3976036</v>
      </c>
      <c r="G145" s="8">
        <v>3980025</v>
      </c>
      <c r="H145" s="8">
        <v>3984016</v>
      </c>
      <c r="I145" s="8">
        <v>3988009</v>
      </c>
      <c r="J145" s="8">
        <v>3992004</v>
      </c>
      <c r="K145" s="8">
        <v>3996001</v>
      </c>
      <c r="L145" s="8">
        <v>4000000</v>
      </c>
      <c r="M145" s="8">
        <v>4004001</v>
      </c>
      <c r="N145" s="8">
        <v>4008004</v>
      </c>
      <c r="O145" s="8">
        <v>4012009</v>
      </c>
      <c r="P145" s="8">
        <v>4016016</v>
      </c>
      <c r="Q145" s="8">
        <v>4020025</v>
      </c>
      <c r="R145" s="8">
        <v>4024036</v>
      </c>
      <c r="S145" s="8">
        <v>4028049</v>
      </c>
      <c r="T145" s="8">
        <v>4032064</v>
      </c>
      <c r="U145" s="8">
        <v>4036081</v>
      </c>
      <c r="V145" s="8">
        <v>4040100</v>
      </c>
      <c r="W145" s="8">
        <v>4044121</v>
      </c>
      <c r="X145" s="8">
        <v>4048144</v>
      </c>
      <c r="Y145" s="8">
        <v>4052169</v>
      </c>
      <c r="Z145" s="8">
        <v>4056196</v>
      </c>
      <c r="AA145" s="8">
        <v>4060225</v>
      </c>
      <c r="AB145" s="8">
        <v>4064256</v>
      </c>
    </row>
    <row r="146" spans="1:28" ht="15" thickBot="1" x14ac:dyDescent="0.35">
      <c r="B146" s="11">
        <v>7880599000</v>
      </c>
      <c r="C146" s="11">
        <v>7892485271</v>
      </c>
      <c r="D146" s="11">
        <v>7904383488</v>
      </c>
      <c r="E146" s="11">
        <v>7916293657</v>
      </c>
      <c r="F146" s="11">
        <v>7928215784</v>
      </c>
      <c r="G146" s="11">
        <v>7940149875</v>
      </c>
      <c r="H146" s="11">
        <v>7952095936</v>
      </c>
      <c r="I146" s="11">
        <v>7964053973</v>
      </c>
      <c r="J146" s="11">
        <v>7976023992</v>
      </c>
      <c r="K146" s="11">
        <v>7988005999</v>
      </c>
      <c r="L146" s="11">
        <v>8000000000</v>
      </c>
      <c r="M146" s="11">
        <v>8012006001</v>
      </c>
      <c r="N146" s="11">
        <v>8024024008</v>
      </c>
      <c r="O146" s="11">
        <v>8036054027</v>
      </c>
      <c r="P146" s="11">
        <v>8048096064</v>
      </c>
      <c r="Q146" s="11">
        <v>8060150125</v>
      </c>
      <c r="R146" s="11">
        <v>8072216216</v>
      </c>
      <c r="S146" s="11">
        <v>8084294343</v>
      </c>
      <c r="T146" s="11">
        <v>8096384512</v>
      </c>
      <c r="U146" s="11">
        <v>8108486729</v>
      </c>
      <c r="V146" s="11">
        <v>8120601000</v>
      </c>
      <c r="W146" s="11">
        <v>8132727331</v>
      </c>
      <c r="X146" s="11">
        <v>8144865728</v>
      </c>
      <c r="Y146" s="11">
        <v>8157016197</v>
      </c>
      <c r="Z146" s="11">
        <v>8169178744</v>
      </c>
      <c r="AA146" s="11">
        <v>8181353375</v>
      </c>
      <c r="AB146" s="11">
        <v>8193540096</v>
      </c>
    </row>
    <row r="148" spans="1:28" x14ac:dyDescent="0.3">
      <c r="A148" s="70" t="s">
        <v>22</v>
      </c>
      <c r="B148" s="23" cm="1">
        <f t="array" ref="B148:AB151">MMULT(_xlfn.ANCHORARRAY(J109),_xlfn.ANCHORARRAY(B138))</f>
        <v>1149931.82421875</v>
      </c>
      <c r="C148" s="23">
        <v>620391.99609375</v>
      </c>
      <c r="D148" s="23">
        <v>196616.861328125</v>
      </c>
      <c r="E148" s="23">
        <v>-130199.375</v>
      </c>
      <c r="F148" s="23">
        <v>-368862.484375</v>
      </c>
      <c r="G148" s="23">
        <v>-528178.228515625</v>
      </c>
      <c r="H148" s="23">
        <v>-616952.404296875</v>
      </c>
      <c r="I148" s="23">
        <v>-643990.7734375</v>
      </c>
      <c r="J148" s="23">
        <v>-618099.126953125</v>
      </c>
      <c r="K148" s="23">
        <v>-548083.22265625</v>
      </c>
      <c r="L148" s="23">
        <v>-442748.857421875</v>
      </c>
      <c r="M148" s="23">
        <v>-310901.794921875</v>
      </c>
      <c r="N148" s="23">
        <v>-161347.81640625</v>
      </c>
      <c r="O148" s="23">
        <v>-2892.69921875</v>
      </c>
      <c r="P148" s="23">
        <v>155657.794921875</v>
      </c>
      <c r="Q148" s="23">
        <v>305497.865234375</v>
      </c>
      <c r="R148" s="23">
        <v>437821.74609375</v>
      </c>
      <c r="S148" s="23">
        <v>543823.666015625</v>
      </c>
      <c r="T148" s="23">
        <v>614697.83984375</v>
      </c>
      <c r="U148" s="23">
        <v>641638.501953125</v>
      </c>
      <c r="V148" s="23">
        <v>615839.859375</v>
      </c>
      <c r="W148" s="23">
        <v>528496.15625</v>
      </c>
      <c r="X148" s="23">
        <v>370801.595703125</v>
      </c>
      <c r="Y148" s="23">
        <v>133950.40625</v>
      </c>
      <c r="Z148" s="23">
        <v>-190863.169921875</v>
      </c>
      <c r="AA148" s="23">
        <v>-612444.935546875</v>
      </c>
      <c r="AB148" s="23">
        <v>-1139600.650390625</v>
      </c>
    </row>
    <row r="149" spans="1:28" ht="15" thickBot="1" x14ac:dyDescent="0.35">
      <c r="A149" s="71"/>
      <c r="B149" s="23">
        <v>-1719.5895690917969</v>
      </c>
      <c r="C149" s="23">
        <v>-927.08845901489258</v>
      </c>
      <c r="D149" s="23">
        <v>-292.94911575317383</v>
      </c>
      <c r="E149" s="23">
        <v>196.0175895690918</v>
      </c>
      <c r="F149" s="23">
        <v>553.00079345703125</v>
      </c>
      <c r="G149" s="23">
        <v>791.18962097167969</v>
      </c>
      <c r="H149" s="23">
        <v>923.77318954467773</v>
      </c>
      <c r="I149" s="23">
        <v>963.94063186645508</v>
      </c>
      <c r="J149" s="23">
        <v>924.88108062744141</v>
      </c>
      <c r="K149" s="23">
        <v>819.78364944458008</v>
      </c>
      <c r="L149" s="23">
        <v>661.83749008178711</v>
      </c>
      <c r="M149" s="23">
        <v>464.23170471191406</v>
      </c>
      <c r="N149" s="23">
        <v>240.15543365478516</v>
      </c>
      <c r="O149" s="23">
        <v>2.79779052734375</v>
      </c>
      <c r="P149" s="23">
        <v>-234.65206909179688</v>
      </c>
      <c r="Q149" s="23">
        <v>-459.00504302978516</v>
      </c>
      <c r="R149" s="23">
        <v>-657.07200241088867</v>
      </c>
      <c r="S149" s="23">
        <v>-815.66381072998047</v>
      </c>
      <c r="T149" s="23">
        <v>-921.59133529663086</v>
      </c>
      <c r="U149" s="23">
        <v>-961.66547012329102</v>
      </c>
      <c r="V149" s="23">
        <v>-922.69707107543945</v>
      </c>
      <c r="W149" s="23">
        <v>-791.49702072143555</v>
      </c>
      <c r="X149" s="23">
        <v>-554.87617492675781</v>
      </c>
      <c r="Y149" s="23">
        <v>-199.64543151855469</v>
      </c>
      <c r="Z149" s="23">
        <v>287.38436126708984</v>
      </c>
      <c r="AA149" s="23">
        <v>919.40230941772461</v>
      </c>
      <c r="AB149" s="23">
        <v>1709.5975570678711</v>
      </c>
    </row>
    <row r="150" spans="1:28" x14ac:dyDescent="0.3">
      <c r="B150" s="8">
        <v>0.85714288800954819</v>
      </c>
      <c r="C150" s="8">
        <v>0.46179812215268612</v>
      </c>
      <c r="D150" s="8">
        <v>0.14549113810062408</v>
      </c>
      <c r="E150" s="8">
        <v>-9.8362823948264122E-2</v>
      </c>
      <c r="F150" s="8">
        <v>-0.27634849585592747</v>
      </c>
      <c r="G150" s="8">
        <v>-0.39505063369870186</v>
      </c>
      <c r="H150" s="8">
        <v>-0.46105398796498775</v>
      </c>
      <c r="I150" s="8">
        <v>-0.48094331100583076</v>
      </c>
      <c r="J150" s="8">
        <v>-0.46130334958434105</v>
      </c>
      <c r="K150" s="8">
        <v>-0.40871885232627392</v>
      </c>
      <c r="L150" s="8">
        <v>-0.32977457158267498</v>
      </c>
      <c r="M150" s="8">
        <v>-0.23105525597929955</v>
      </c>
      <c r="N150" s="8">
        <v>-0.11914565600454807</v>
      </c>
      <c r="O150" s="8">
        <v>-6.3052214682102203E-4</v>
      </c>
      <c r="P150" s="8">
        <v>0.11790540255606174</v>
      </c>
      <c r="Q150" s="8">
        <v>0.22987736016511917</v>
      </c>
      <c r="R150" s="8">
        <v>0.3287006039172411</v>
      </c>
      <c r="S150" s="8">
        <v>0.40779038891196251</v>
      </c>
      <c r="T150" s="8">
        <v>0.4605619590729475</v>
      </c>
      <c r="U150" s="8">
        <v>0.48043056763708591</v>
      </c>
      <c r="V150" s="8">
        <v>0.46081145480275154</v>
      </c>
      <c r="W150" s="8">
        <v>0.39511988684535027</v>
      </c>
      <c r="X150" s="8">
        <v>0.27677111141383648</v>
      </c>
      <c r="Y150" s="8">
        <v>9.9180374294519424E-2</v>
      </c>
      <c r="Z150" s="8">
        <v>-0.14423707500100136</v>
      </c>
      <c r="AA150" s="8">
        <v>-0.46006598509848118</v>
      </c>
      <c r="AB150" s="8">
        <v>-0.8548911027610302</v>
      </c>
    </row>
    <row r="151" spans="1:28" ht="15" thickBot="1" x14ac:dyDescent="0.35">
      <c r="B151" s="11">
        <v>-1.424155386757775E-4</v>
      </c>
      <c r="C151" s="11">
        <v>-7.6675949003401911E-5</v>
      </c>
      <c r="D151" s="11">
        <v>-2.4085395580186741E-5</v>
      </c>
      <c r="E151" s="11">
        <v>1.6451937199235545E-5</v>
      </c>
      <c r="F151" s="11">
        <v>4.6031862439122051E-5</v>
      </c>
      <c r="G151" s="11">
        <v>6.5750197791203391E-5</v>
      </c>
      <c r="H151" s="11">
        <v>7.6702755904989317E-5</v>
      </c>
      <c r="I151" s="11">
        <v>7.9985353522715741E-5</v>
      </c>
      <c r="J151" s="11">
        <v>7.6693804885508143E-5</v>
      </c>
      <c r="K151" s="11">
        <v>6.7923927190349787E-5</v>
      </c>
      <c r="L151" s="11">
        <v>5.4771531722508371E-5</v>
      </c>
      <c r="M151" s="11">
        <v>3.8332437043209211E-5</v>
      </c>
      <c r="N151" s="11">
        <v>1.9702457620951463E-5</v>
      </c>
      <c r="O151" s="11">
        <v>-2.259412212879397E-8</v>
      </c>
      <c r="P151" s="11">
        <v>-1.9746898715311545E-5</v>
      </c>
      <c r="Q151" s="11">
        <v>-3.837464532807644E-5</v>
      </c>
      <c r="R151" s="11">
        <v>-5.481001562657184E-5</v>
      </c>
      <c r="S151" s="11">
        <v>-6.7957194914924912E-5</v>
      </c>
      <c r="T151" s="11">
        <v>-7.6720370088878553E-5</v>
      </c>
      <c r="U151" s="11">
        <v>-8.0003724406196852E-5</v>
      </c>
      <c r="V151" s="11">
        <v>-7.671144248888595E-5</v>
      </c>
      <c r="W151" s="11">
        <v>-6.5747711232688744E-5</v>
      </c>
      <c r="X151" s="11">
        <v>-4.601671344062197E-5</v>
      </c>
      <c r="Y151" s="11">
        <v>-1.6422634189439123E-5</v>
      </c>
      <c r="Z151" s="11">
        <v>2.4130340761985281E-5</v>
      </c>
      <c r="AA151" s="11">
        <v>7.6738027473766124E-5</v>
      </c>
      <c r="AB151" s="11">
        <v>1.4249623995965521E-4</v>
      </c>
    </row>
    <row r="153" spans="1:28" ht="15" customHeight="1" x14ac:dyDescent="0.3">
      <c r="A153" s="70" t="s">
        <v>23</v>
      </c>
      <c r="B153" s="23" cm="1">
        <f t="array" ref="B153:AB156">MMULT(_xlfn.ANCHORARRAY(Z109),_xlfn.ANCHORARRAY(B143))</f>
        <v>1149931.82421875</v>
      </c>
      <c r="C153" s="23">
        <v>620391.99609375</v>
      </c>
      <c r="D153" s="23">
        <v>196616.861328125</v>
      </c>
      <c r="E153" s="23">
        <v>-130199.375</v>
      </c>
      <c r="F153" s="23">
        <v>-368862.484375</v>
      </c>
      <c r="G153" s="23">
        <v>-528178.228515625</v>
      </c>
      <c r="H153" s="23">
        <v>-616952.404296875</v>
      </c>
      <c r="I153" s="23">
        <v>-643990.7734375</v>
      </c>
      <c r="J153" s="23">
        <v>-618099.126953125</v>
      </c>
      <c r="K153" s="23">
        <v>-548083.22265625</v>
      </c>
      <c r="L153" s="23">
        <v>-442748.857421875</v>
      </c>
      <c r="M153" s="23">
        <v>-310901.794921875</v>
      </c>
      <c r="N153" s="23">
        <v>-161347.81640625</v>
      </c>
      <c r="O153" s="23">
        <v>-2892.69921875</v>
      </c>
      <c r="P153" s="23">
        <v>155657.794921875</v>
      </c>
      <c r="Q153" s="23">
        <v>305497.865234375</v>
      </c>
      <c r="R153" s="23">
        <v>437821.74609375</v>
      </c>
      <c r="S153" s="23">
        <v>543823.666015625</v>
      </c>
      <c r="T153" s="23">
        <v>614697.83984375</v>
      </c>
      <c r="U153" s="23">
        <v>641638.501953125</v>
      </c>
      <c r="V153" s="23">
        <v>615839.859375</v>
      </c>
      <c r="W153" s="23">
        <v>528496.15625</v>
      </c>
      <c r="X153" s="23">
        <v>370801.595703125</v>
      </c>
      <c r="Y153" s="23">
        <v>133950.40625</v>
      </c>
      <c r="Z153" s="23">
        <v>-190863.169921875</v>
      </c>
      <c r="AA153" s="23">
        <v>-612444.935546875</v>
      </c>
      <c r="AB153" s="23">
        <v>-1139600.650390625</v>
      </c>
    </row>
    <row r="154" spans="1:28" ht="14.4" customHeight="1" thickBot="1" x14ac:dyDescent="0.35">
      <c r="A154" s="71"/>
      <c r="B154" s="23">
        <v>-1719.5895690917969</v>
      </c>
      <c r="C154" s="23">
        <v>-927.08845901489258</v>
      </c>
      <c r="D154" s="23">
        <v>-292.94911575317383</v>
      </c>
      <c r="E154" s="23">
        <v>196.0175895690918</v>
      </c>
      <c r="F154" s="23">
        <v>553.00079345703125</v>
      </c>
      <c r="G154" s="23">
        <v>791.18962097167969</v>
      </c>
      <c r="H154" s="23">
        <v>923.77318954467773</v>
      </c>
      <c r="I154" s="23">
        <v>963.94063186645508</v>
      </c>
      <c r="J154" s="23">
        <v>924.88108062744141</v>
      </c>
      <c r="K154" s="23">
        <v>819.78364944458008</v>
      </c>
      <c r="L154" s="23">
        <v>661.83749008178711</v>
      </c>
      <c r="M154" s="23">
        <v>464.23170471191406</v>
      </c>
      <c r="N154" s="23">
        <v>240.15543365478516</v>
      </c>
      <c r="O154" s="23">
        <v>2.79779052734375</v>
      </c>
      <c r="P154" s="23">
        <v>-234.65206909179688</v>
      </c>
      <c r="Q154" s="23">
        <v>-459.00504302978516</v>
      </c>
      <c r="R154" s="23">
        <v>-657.07200241088867</v>
      </c>
      <c r="S154" s="23">
        <v>-815.66381072998047</v>
      </c>
      <c r="T154" s="23">
        <v>-921.59133529663086</v>
      </c>
      <c r="U154" s="23">
        <v>-961.66547012329102</v>
      </c>
      <c r="V154" s="23">
        <v>-922.69707107543945</v>
      </c>
      <c r="W154" s="23">
        <v>-791.49702072143555</v>
      </c>
      <c r="X154" s="23">
        <v>-554.87617492675781</v>
      </c>
      <c r="Y154" s="23">
        <v>-199.64543151855469</v>
      </c>
      <c r="Z154" s="23">
        <v>287.38436126708984</v>
      </c>
      <c r="AA154" s="23">
        <v>919.40230941772461</v>
      </c>
      <c r="AB154" s="23">
        <v>1709.5975570678711</v>
      </c>
    </row>
    <row r="155" spans="1:28" x14ac:dyDescent="0.3">
      <c r="B155" s="8">
        <v>0.85714288800954819</v>
      </c>
      <c r="C155" s="8">
        <v>0.46179812215268612</v>
      </c>
      <c r="D155" s="8">
        <v>0.14549113810062408</v>
      </c>
      <c r="E155" s="8">
        <v>-9.8362823948264122E-2</v>
      </c>
      <c r="F155" s="8">
        <v>-0.27634849585592747</v>
      </c>
      <c r="G155" s="8">
        <v>-0.39505063369870186</v>
      </c>
      <c r="H155" s="8">
        <v>-0.46105398796498775</v>
      </c>
      <c r="I155" s="8">
        <v>-0.48094331100583076</v>
      </c>
      <c r="J155" s="8">
        <v>-0.46130334958434105</v>
      </c>
      <c r="K155" s="8">
        <v>-0.40871885232627392</v>
      </c>
      <c r="L155" s="8">
        <v>-0.32977457158267498</v>
      </c>
      <c r="M155" s="8">
        <v>-0.23105525597929955</v>
      </c>
      <c r="N155" s="8">
        <v>-0.11914565600454807</v>
      </c>
      <c r="O155" s="8">
        <v>-6.3052214682102203E-4</v>
      </c>
      <c r="P155" s="8">
        <v>0.11790540255606174</v>
      </c>
      <c r="Q155" s="8">
        <v>0.22987736016511917</v>
      </c>
      <c r="R155" s="8">
        <v>0.3287006039172411</v>
      </c>
      <c r="S155" s="8">
        <v>0.40779038891196251</v>
      </c>
      <c r="T155" s="8">
        <v>0.4605619590729475</v>
      </c>
      <c r="U155" s="8">
        <v>0.48043056763708591</v>
      </c>
      <c r="V155" s="8">
        <v>0.46081145480275154</v>
      </c>
      <c r="W155" s="8">
        <v>0.39511988684535027</v>
      </c>
      <c r="X155" s="8">
        <v>0.27677111141383648</v>
      </c>
      <c r="Y155" s="8">
        <v>9.9180374294519424E-2</v>
      </c>
      <c r="Z155" s="8">
        <v>-0.14423707500100136</v>
      </c>
      <c r="AA155" s="8">
        <v>-0.46006598509848118</v>
      </c>
      <c r="AB155" s="8">
        <v>-0.8548911027610302</v>
      </c>
    </row>
    <row r="156" spans="1:28" ht="15" thickBot="1" x14ac:dyDescent="0.35">
      <c r="B156" s="11">
        <v>-1.424155386757775E-4</v>
      </c>
      <c r="C156" s="11">
        <v>-7.6675949003401911E-5</v>
      </c>
      <c r="D156" s="11">
        <v>-2.4085395580186741E-5</v>
      </c>
      <c r="E156" s="11">
        <v>1.6451937199235545E-5</v>
      </c>
      <c r="F156" s="11">
        <v>4.6031862439122051E-5</v>
      </c>
      <c r="G156" s="11">
        <v>6.5750197791203391E-5</v>
      </c>
      <c r="H156" s="11">
        <v>7.6702755904989317E-5</v>
      </c>
      <c r="I156" s="11">
        <v>7.9985353522715741E-5</v>
      </c>
      <c r="J156" s="11">
        <v>7.6693804885508143E-5</v>
      </c>
      <c r="K156" s="11">
        <v>6.7923927190349787E-5</v>
      </c>
      <c r="L156" s="11">
        <v>5.4771531722508371E-5</v>
      </c>
      <c r="M156" s="11">
        <v>3.8332437043209211E-5</v>
      </c>
      <c r="N156" s="11">
        <v>1.9702457620951463E-5</v>
      </c>
      <c r="O156" s="11">
        <v>-2.259412212879397E-8</v>
      </c>
      <c r="P156" s="11">
        <v>-1.9746898715311545E-5</v>
      </c>
      <c r="Q156" s="11">
        <v>-3.837464532807644E-5</v>
      </c>
      <c r="R156" s="11">
        <v>-5.481001562657184E-5</v>
      </c>
      <c r="S156" s="11">
        <v>-6.7957194914924912E-5</v>
      </c>
      <c r="T156" s="11">
        <v>-7.6720370088878553E-5</v>
      </c>
      <c r="U156" s="11">
        <v>-8.0003724406196852E-5</v>
      </c>
      <c r="V156" s="11">
        <v>-7.671144248888595E-5</v>
      </c>
      <c r="W156" s="11">
        <v>-6.5747711232688744E-5</v>
      </c>
      <c r="X156" s="11">
        <v>-4.601671344062197E-5</v>
      </c>
      <c r="Y156" s="11">
        <v>-1.6422634189439123E-5</v>
      </c>
      <c r="Z156" s="11">
        <v>2.4130340761985281E-5</v>
      </c>
      <c r="AA156" s="11">
        <v>7.6738027473766124E-5</v>
      </c>
      <c r="AB156" s="11">
        <v>1.4249623995965521E-4</v>
      </c>
    </row>
    <row r="158" spans="1:28" ht="15" thickBot="1" x14ac:dyDescent="0.35">
      <c r="A158" s="66" t="s">
        <v>43</v>
      </c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O158" s="66" t="s">
        <v>45</v>
      </c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spans="1:28" ht="15" thickBot="1" x14ac:dyDescent="0.35">
      <c r="A159" s="33" t="str">
        <f>A104</f>
        <v>x</v>
      </c>
      <c r="B159" s="33" t="s">
        <v>10</v>
      </c>
      <c r="C159" s="33" t="s">
        <v>58</v>
      </c>
      <c r="D159" s="33" t="s">
        <v>49</v>
      </c>
      <c r="E159" s="33" t="s">
        <v>50</v>
      </c>
      <c r="F159" s="33" t="s">
        <v>51</v>
      </c>
      <c r="G159" s="6" t="s">
        <v>17</v>
      </c>
      <c r="H159" s="23">
        <v>1</v>
      </c>
      <c r="I159" s="23">
        <f t="shared" ref="I159:I185" si="24">A160</f>
        <v>1990</v>
      </c>
      <c r="J159" s="6" t="s">
        <v>20</v>
      </c>
      <c r="K159" s="4" cm="1">
        <f t="array" ref="K159:L160">MMULT(_xlfn.ANCHORARRAY(B193),H159:I185)</f>
        <v>27</v>
      </c>
      <c r="L159" s="4">
        <v>54081</v>
      </c>
      <c r="O159" s="33" t="str">
        <f>Q104</f>
        <v>x</v>
      </c>
      <c r="P159" s="33" t="s">
        <v>10</v>
      </c>
      <c r="Q159" s="33" t="s">
        <v>58</v>
      </c>
      <c r="R159" s="33" t="s">
        <v>44</v>
      </c>
      <c r="S159" s="33" t="s">
        <v>50</v>
      </c>
      <c r="T159" s="33" t="s">
        <v>51</v>
      </c>
      <c r="U159" s="6" t="s">
        <v>17</v>
      </c>
      <c r="V159" s="23">
        <v>1</v>
      </c>
      <c r="W159" s="23">
        <f t="shared" ref="W159:W185" si="25">O160</f>
        <v>1990</v>
      </c>
      <c r="X159" s="6" t="s">
        <v>20</v>
      </c>
      <c r="Y159" s="4" cm="1">
        <f t="array" ref="Y159:Z160">MMULT(_xlfn.ANCHORARRAY(B196),V159:W185)</f>
        <v>27</v>
      </c>
      <c r="Z159" s="4">
        <v>54081</v>
      </c>
    </row>
    <row r="160" spans="1:28" ht="15" thickBot="1" x14ac:dyDescent="0.35">
      <c r="A160" s="4" cm="1">
        <f t="array" ref="A160:B186">A105:B131</f>
        <v>1990</v>
      </c>
      <c r="B160" s="12">
        <v>3461428</v>
      </c>
      <c r="C160" s="50">
        <f>LN(B160)</f>
        <v>15.057191778652776</v>
      </c>
      <c r="D160" s="36">
        <f t="shared" ref="D160:D191" si="26">$L$165+$L$166*A160</f>
        <v>15.181053823770057</v>
      </c>
      <c r="E160" s="36">
        <f>D160-C160</f>
        <v>0.12386204511728138</v>
      </c>
      <c r="F160" s="72">
        <f>AVERAGE(E160:E191)</f>
        <v>0.9365691327413016</v>
      </c>
      <c r="H160" s="8">
        <v>1</v>
      </c>
      <c r="I160" s="8">
        <f t="shared" si="24"/>
        <v>1991</v>
      </c>
      <c r="K160" s="19">
        <v>54081</v>
      </c>
      <c r="L160" s="19">
        <v>108325881</v>
      </c>
      <c r="O160" s="4" cm="1">
        <f t="array" ref="O160:P186">Q105:R131</f>
        <v>1990</v>
      </c>
      <c r="P160" s="12">
        <v>4895639</v>
      </c>
      <c r="Q160" s="44">
        <f>LN(P160)</f>
        <v>15.403855366795709</v>
      </c>
      <c r="R160" s="40">
        <f t="shared" ref="R160:R191" si="27">$Z$165+$Z$166*O160</f>
        <v>16.487360585859392</v>
      </c>
      <c r="S160" s="36">
        <f>R160-Q160</f>
        <v>1.0835052190636834</v>
      </c>
      <c r="T160" s="72">
        <f>AVERAGE(S160:S191)</f>
        <v>0.51796990690900191</v>
      </c>
      <c r="V160" s="8">
        <v>1</v>
      </c>
      <c r="W160" s="8">
        <f t="shared" si="25"/>
        <v>1991</v>
      </c>
      <c r="Y160" s="19">
        <v>54081</v>
      </c>
      <c r="Z160" s="19">
        <v>108325881</v>
      </c>
    </row>
    <row r="161" spans="1:26" x14ac:dyDescent="0.3">
      <c r="A161" s="8">
        <v>1991</v>
      </c>
      <c r="B161" s="13">
        <v>3226306</v>
      </c>
      <c r="C161" s="51">
        <f t="shared" ref="C161:C186" si="28">LN(B161)</f>
        <v>14.986848387477647</v>
      </c>
      <c r="D161" s="37">
        <f t="shared" si="26"/>
        <v>15.126686444396611</v>
      </c>
      <c r="E161" s="37">
        <f t="shared" ref="E161:E191" si="29">D161-C161</f>
        <v>0.13983805691896478</v>
      </c>
      <c r="F161" s="73"/>
      <c r="H161" s="8">
        <v>1</v>
      </c>
      <c r="I161" s="8">
        <f t="shared" si="24"/>
        <v>1992</v>
      </c>
      <c r="O161" s="8">
        <v>1991</v>
      </c>
      <c r="P161" s="13">
        <v>4723373</v>
      </c>
      <c r="Q161" s="37">
        <f t="shared" ref="Q161:Q185" si="30">LN(P161)</f>
        <v>15.368033720987485</v>
      </c>
      <c r="R161" s="41">
        <f t="shared" si="27"/>
        <v>16.295567626920672</v>
      </c>
      <c r="S161" s="37">
        <f t="shared" ref="S161:S191" si="31">R161-Q161</f>
        <v>0.92753390593318663</v>
      </c>
      <c r="T161" s="73"/>
      <c r="V161" s="8">
        <v>1</v>
      </c>
      <c r="W161" s="8">
        <f t="shared" si="25"/>
        <v>1992</v>
      </c>
    </row>
    <row r="162" spans="1:26" x14ac:dyDescent="0.3">
      <c r="A162" s="8">
        <v>1992</v>
      </c>
      <c r="B162" s="13">
        <v>3145806</v>
      </c>
      <c r="C162" s="51">
        <f t="shared" si="28"/>
        <v>14.961580695091838</v>
      </c>
      <c r="D162" s="37">
        <f t="shared" si="26"/>
        <v>15.072319065023166</v>
      </c>
      <c r="E162" s="37">
        <f t="shared" si="29"/>
        <v>0.1107383699313278</v>
      </c>
      <c r="F162" s="73"/>
      <c r="H162" s="8">
        <v>1</v>
      </c>
      <c r="I162" s="8">
        <f t="shared" si="24"/>
        <v>1993</v>
      </c>
      <c r="J162" s="6" t="s">
        <v>21</v>
      </c>
      <c r="K162" s="4" cm="1">
        <f t="array" ref="K162:L163">MINVERSE(_xlfn.ANCHORARRAY(K159))</f>
        <v>2449.3709808607323</v>
      </c>
      <c r="L162" s="4">
        <v>-1.2228327228276061</v>
      </c>
      <c r="O162" s="8">
        <v>1992</v>
      </c>
      <c r="P162" s="13">
        <v>6088309</v>
      </c>
      <c r="Q162" s="37">
        <f t="shared" si="30"/>
        <v>15.621880932820394</v>
      </c>
      <c r="R162" s="41">
        <f t="shared" si="27"/>
        <v>16.103774667981952</v>
      </c>
      <c r="S162" s="37">
        <f t="shared" si="31"/>
        <v>0.48189373516155776</v>
      </c>
      <c r="T162" s="73"/>
      <c r="V162" s="8">
        <v>1</v>
      </c>
      <c r="W162" s="8">
        <f t="shared" si="25"/>
        <v>1993</v>
      </c>
      <c r="X162" s="6" t="s">
        <v>21</v>
      </c>
      <c r="Y162" s="4" cm="1">
        <f t="array" ref="Y162:Z163">MINVERSE(_xlfn.ANCHORARRAY(Y159))</f>
        <v>2449.3709808607323</v>
      </c>
      <c r="Z162" s="4">
        <v>-1.2228327228276061</v>
      </c>
    </row>
    <row r="163" spans="1:26" ht="15" thickBot="1" x14ac:dyDescent="0.35">
      <c r="A163" s="8">
        <v>1993</v>
      </c>
      <c r="B163" s="13">
        <v>3060907</v>
      </c>
      <c r="C163" s="51">
        <f t="shared" si="28"/>
        <v>14.93422183523797</v>
      </c>
      <c r="D163" s="37">
        <f t="shared" si="26"/>
        <v>15.01795168564972</v>
      </c>
      <c r="E163" s="37">
        <f t="shared" si="29"/>
        <v>8.3729850411749851E-2</v>
      </c>
      <c r="F163" s="73"/>
      <c r="H163" s="8">
        <v>1</v>
      </c>
      <c r="I163" s="8">
        <f t="shared" si="24"/>
        <v>1994</v>
      </c>
      <c r="K163" s="19">
        <v>-1.2228327228276061</v>
      </c>
      <c r="L163" s="19">
        <v>6.1050061049805601E-4</v>
      </c>
      <c r="O163" s="8">
        <v>1993</v>
      </c>
      <c r="P163" s="13">
        <v>4355474</v>
      </c>
      <c r="Q163" s="37">
        <f t="shared" si="30"/>
        <v>15.28694400275937</v>
      </c>
      <c r="R163" s="41">
        <f t="shared" si="27"/>
        <v>15.911981709043232</v>
      </c>
      <c r="S163" s="37">
        <f t="shared" si="31"/>
        <v>0.62503770628386235</v>
      </c>
      <c r="T163" s="73"/>
      <c r="V163" s="8">
        <v>1</v>
      </c>
      <c r="W163" s="8">
        <f t="shared" si="25"/>
        <v>1994</v>
      </c>
      <c r="Y163" s="19">
        <v>-1.2228327228276061</v>
      </c>
      <c r="Z163" s="19">
        <v>6.1050061049805601E-4</v>
      </c>
    </row>
    <row r="164" spans="1:26" x14ac:dyDescent="0.3">
      <c r="A164" s="8">
        <v>1994</v>
      </c>
      <c r="B164" s="13">
        <v>2972637</v>
      </c>
      <c r="C164" s="51">
        <f t="shared" si="28"/>
        <v>14.904959995635549</v>
      </c>
      <c r="D164" s="37">
        <f t="shared" si="26"/>
        <v>14.96358430627626</v>
      </c>
      <c r="E164" s="37">
        <f t="shared" si="29"/>
        <v>5.8624310640711386E-2</v>
      </c>
      <c r="F164" s="73"/>
      <c r="H164" s="8">
        <v>1</v>
      </c>
      <c r="I164" s="8">
        <f t="shared" si="24"/>
        <v>1995</v>
      </c>
      <c r="O164" s="8">
        <v>1994</v>
      </c>
      <c r="P164" s="13">
        <v>4397395</v>
      </c>
      <c r="Q164" s="37">
        <f t="shared" si="30"/>
        <v>15.296522878105829</v>
      </c>
      <c r="R164" s="41">
        <f t="shared" si="27"/>
        <v>15.720188750104455</v>
      </c>
      <c r="S164" s="37">
        <f t="shared" si="31"/>
        <v>0.42366587199862593</v>
      </c>
      <c r="T164" s="73"/>
      <c r="V164" s="8">
        <v>1</v>
      </c>
      <c r="W164" s="8">
        <f t="shared" si="25"/>
        <v>1995</v>
      </c>
    </row>
    <row r="165" spans="1:26" x14ac:dyDescent="0.3">
      <c r="A165" s="8">
        <v>1995</v>
      </c>
      <c r="B165" s="13">
        <v>3294894</v>
      </c>
      <c r="C165" s="51">
        <f t="shared" si="28"/>
        <v>15.007884555446804</v>
      </c>
      <c r="D165" s="37">
        <f t="shared" si="26"/>
        <v>14.909216926902815</v>
      </c>
      <c r="E165" s="37">
        <f t="shared" si="29"/>
        <v>-9.8667628543989139E-2</v>
      </c>
      <c r="F165" s="73"/>
      <c r="H165" s="8">
        <v>1</v>
      </c>
      <c r="I165" s="8">
        <f t="shared" si="24"/>
        <v>1996</v>
      </c>
      <c r="J165" s="6" t="s">
        <v>46</v>
      </c>
      <c r="K165" s="5" t="s">
        <v>47</v>
      </c>
      <c r="L165" s="4" cm="1">
        <f t="array" ref="L165:L166">MMULT(_xlfn.ANCHORARRAY(B199),C160:C186)</f>
        <v>123.37213877693432</v>
      </c>
      <c r="O165" s="8">
        <v>1995</v>
      </c>
      <c r="P165" s="13">
        <v>3963501</v>
      </c>
      <c r="Q165" s="37">
        <f t="shared" si="30"/>
        <v>15.192638283561575</v>
      </c>
      <c r="R165" s="41">
        <f t="shared" si="27"/>
        <v>15.528395791165735</v>
      </c>
      <c r="S165" s="37">
        <f t="shared" si="31"/>
        <v>0.33575750760416057</v>
      </c>
      <c r="T165" s="73"/>
      <c r="V165" s="8">
        <v>1</v>
      </c>
      <c r="W165" s="8">
        <f t="shared" si="25"/>
        <v>1996</v>
      </c>
      <c r="X165" s="6" t="s">
        <v>46</v>
      </c>
      <c r="Y165" s="5" t="s">
        <v>47</v>
      </c>
      <c r="Z165" s="4" cm="1">
        <f t="array" ref="Z165:Z166">MMULT(_xlfn.ANCHORARRAY(B202),Q160:Q186)</f>
        <v>398.15534887392988</v>
      </c>
    </row>
    <row r="166" spans="1:26" ht="15" thickBot="1" x14ac:dyDescent="0.35">
      <c r="A166" s="8">
        <v>1996</v>
      </c>
      <c r="B166" s="13">
        <v>2790984</v>
      </c>
      <c r="C166" s="51">
        <f t="shared" si="28"/>
        <v>14.841904779789738</v>
      </c>
      <c r="D166" s="37">
        <f t="shared" si="26"/>
        <v>14.854849547529369</v>
      </c>
      <c r="E166" s="37">
        <f t="shared" si="29"/>
        <v>1.2944767739631047E-2</v>
      </c>
      <c r="F166" s="73"/>
      <c r="H166" s="8">
        <v>1</v>
      </c>
      <c r="I166" s="8">
        <f t="shared" si="24"/>
        <v>1997</v>
      </c>
      <c r="K166" s="24" t="s">
        <v>48</v>
      </c>
      <c r="L166" s="11">
        <v>-5.4367379373449376E-2</v>
      </c>
      <c r="O166" s="8">
        <v>1996</v>
      </c>
      <c r="P166" s="13">
        <v>3737912</v>
      </c>
      <c r="Q166" s="37">
        <f t="shared" si="30"/>
        <v>15.134037724719457</v>
      </c>
      <c r="R166" s="41">
        <f t="shared" si="27"/>
        <v>15.336602832227015</v>
      </c>
      <c r="S166" s="37">
        <f t="shared" si="31"/>
        <v>0.2025651075075583</v>
      </c>
      <c r="T166" s="73"/>
      <c r="V166" s="8">
        <v>1</v>
      </c>
      <c r="W166" s="8">
        <f t="shared" si="25"/>
        <v>1997</v>
      </c>
      <c r="Y166" s="24" t="s">
        <v>48</v>
      </c>
      <c r="Z166" s="11">
        <v>-0.19179295893872889</v>
      </c>
    </row>
    <row r="167" spans="1:26" x14ac:dyDescent="0.3">
      <c r="A167" s="8">
        <v>1997</v>
      </c>
      <c r="B167" s="13">
        <v>2700511</v>
      </c>
      <c r="C167" s="51">
        <f t="shared" si="28"/>
        <v>14.808951572326542</v>
      </c>
      <c r="D167" s="37">
        <f t="shared" si="26"/>
        <v>14.800482168155924</v>
      </c>
      <c r="E167" s="37">
        <f t="shared" si="29"/>
        <v>-8.4694041706185885E-3</v>
      </c>
      <c r="F167" s="73"/>
      <c r="H167" s="8">
        <v>1</v>
      </c>
      <c r="I167" s="8">
        <f t="shared" si="24"/>
        <v>1998</v>
      </c>
      <c r="O167" s="8">
        <v>1997</v>
      </c>
      <c r="P167" s="13">
        <v>3570720</v>
      </c>
      <c r="Q167" s="37">
        <f t="shared" si="30"/>
        <v>15.088277814093278</v>
      </c>
      <c r="R167" s="41">
        <f t="shared" si="27"/>
        <v>15.144809873288295</v>
      </c>
      <c r="S167" s="37">
        <f t="shared" si="31"/>
        <v>5.6532059195017581E-2</v>
      </c>
      <c r="T167" s="73"/>
      <c r="V167" s="8">
        <v>1</v>
      </c>
      <c r="W167" s="8">
        <f t="shared" si="25"/>
        <v>1998</v>
      </c>
    </row>
    <row r="168" spans="1:26" x14ac:dyDescent="0.3">
      <c r="A168" s="8">
        <v>1998</v>
      </c>
      <c r="B168" s="13">
        <v>2612586</v>
      </c>
      <c r="C168" s="51">
        <f t="shared" si="28"/>
        <v>14.775851093373683</v>
      </c>
      <c r="D168" s="37">
        <f t="shared" si="26"/>
        <v>14.746114788782464</v>
      </c>
      <c r="E168" s="37">
        <f t="shared" si="29"/>
        <v>-2.9736304591219564E-2</v>
      </c>
      <c r="F168" s="73"/>
      <c r="H168" s="8">
        <v>1</v>
      </c>
      <c r="I168" s="8">
        <f t="shared" si="24"/>
        <v>1999</v>
      </c>
      <c r="O168" s="8">
        <v>1998</v>
      </c>
      <c r="P168" s="13">
        <v>3861196</v>
      </c>
      <c r="Q168" s="37">
        <f t="shared" si="30"/>
        <v>15.166487538008687</v>
      </c>
      <c r="R168" s="41">
        <f t="shared" si="27"/>
        <v>14.953016914349575</v>
      </c>
      <c r="S168" s="37">
        <f t="shared" si="31"/>
        <v>-0.21347062365911107</v>
      </c>
      <c r="T168" s="73"/>
      <c r="V168" s="8">
        <v>1</v>
      </c>
      <c r="W168" s="8">
        <f t="shared" si="25"/>
        <v>1999</v>
      </c>
    </row>
    <row r="169" spans="1:26" x14ac:dyDescent="0.3">
      <c r="A169" s="8">
        <v>1999</v>
      </c>
      <c r="B169" s="13">
        <v>2529098</v>
      </c>
      <c r="C169" s="51">
        <f t="shared" si="28"/>
        <v>14.743373275395587</v>
      </c>
      <c r="D169" s="37">
        <f t="shared" si="26"/>
        <v>14.691747409409018</v>
      </c>
      <c r="E169" s="37">
        <f t="shared" si="29"/>
        <v>-5.1625865986569153E-2</v>
      </c>
      <c r="F169" s="73"/>
      <c r="H169" s="8">
        <v>1</v>
      </c>
      <c r="I169" s="8">
        <f t="shared" si="24"/>
        <v>2000</v>
      </c>
      <c r="O169" s="8">
        <v>1999</v>
      </c>
      <c r="P169" s="13">
        <v>3209585</v>
      </c>
      <c r="Q169" s="37">
        <f t="shared" si="30"/>
        <v>14.981652203259271</v>
      </c>
      <c r="R169" s="41">
        <f t="shared" si="27"/>
        <v>14.761223955410856</v>
      </c>
      <c r="S169" s="37">
        <f t="shared" si="31"/>
        <v>-0.22042824784841564</v>
      </c>
      <c r="T169" s="73"/>
      <c r="V169" s="8">
        <v>1</v>
      </c>
      <c r="W169" s="8">
        <f t="shared" si="25"/>
        <v>2000</v>
      </c>
    </row>
    <row r="170" spans="1:26" x14ac:dyDescent="0.3">
      <c r="A170" s="8">
        <v>2000</v>
      </c>
      <c r="B170" s="13">
        <v>1939390</v>
      </c>
      <c r="C170" s="51">
        <f t="shared" si="28"/>
        <v>14.477884048605402</v>
      </c>
      <c r="D170" s="37">
        <f t="shared" si="26"/>
        <v>14.637380030035573</v>
      </c>
      <c r="E170" s="37">
        <f t="shared" si="29"/>
        <v>0.15949598143017063</v>
      </c>
      <c r="F170" s="73"/>
      <c r="H170" s="8">
        <v>1</v>
      </c>
      <c r="I170" s="8">
        <f t="shared" si="24"/>
        <v>2001</v>
      </c>
      <c r="O170" s="8">
        <v>2000</v>
      </c>
      <c r="P170" s="13">
        <v>2027139</v>
      </c>
      <c r="Q170" s="37">
        <f t="shared" si="30"/>
        <v>14.522135997330688</v>
      </c>
      <c r="R170" s="41">
        <f t="shared" si="27"/>
        <v>14.569430996472136</v>
      </c>
      <c r="S170" s="37">
        <f t="shared" si="31"/>
        <v>4.7294999141447747E-2</v>
      </c>
      <c r="T170" s="73"/>
      <c r="V170" s="8">
        <v>1</v>
      </c>
      <c r="W170" s="8">
        <f t="shared" si="25"/>
        <v>2001</v>
      </c>
    </row>
    <row r="171" spans="1:26" x14ac:dyDescent="0.3">
      <c r="A171" s="8">
        <v>2001</v>
      </c>
      <c r="B171" s="13">
        <v>2377636</v>
      </c>
      <c r="C171" s="51">
        <f t="shared" si="28"/>
        <v>14.681617274709925</v>
      </c>
      <c r="D171" s="37">
        <f t="shared" si="26"/>
        <v>14.583012650662113</v>
      </c>
      <c r="E171" s="37">
        <f t="shared" si="29"/>
        <v>-9.860462404781245E-2</v>
      </c>
      <c r="F171" s="73"/>
      <c r="H171" s="8">
        <v>1</v>
      </c>
      <c r="I171" s="8">
        <f t="shared" si="24"/>
        <v>2002</v>
      </c>
      <c r="O171" s="8">
        <v>2001</v>
      </c>
      <c r="P171" s="13">
        <v>2901506</v>
      </c>
      <c r="Q171" s="37">
        <f t="shared" si="30"/>
        <v>14.880740470506577</v>
      </c>
      <c r="R171" s="41">
        <f t="shared" si="27"/>
        <v>14.377638037533359</v>
      </c>
      <c r="S171" s="37">
        <f t="shared" si="31"/>
        <v>-0.50310243297321833</v>
      </c>
      <c r="T171" s="73"/>
      <c r="V171" s="8">
        <v>1</v>
      </c>
      <c r="W171" s="8">
        <f t="shared" si="25"/>
        <v>2002</v>
      </c>
    </row>
    <row r="172" spans="1:26" x14ac:dyDescent="0.3">
      <c r="A172" s="8">
        <v>2002</v>
      </c>
      <c r="B172" s="13">
        <v>2305968</v>
      </c>
      <c r="C172" s="51">
        <f t="shared" si="28"/>
        <v>14.651011102871839</v>
      </c>
      <c r="D172" s="37">
        <f t="shared" si="26"/>
        <v>14.528645271288667</v>
      </c>
      <c r="E172" s="37">
        <f t="shared" si="29"/>
        <v>-0.12236583158317238</v>
      </c>
      <c r="F172" s="73"/>
      <c r="H172" s="8">
        <v>1</v>
      </c>
      <c r="I172" s="8">
        <f t="shared" si="24"/>
        <v>2003</v>
      </c>
      <c r="O172" s="8">
        <v>2002</v>
      </c>
      <c r="P172" s="13">
        <v>2194510</v>
      </c>
      <c r="Q172" s="37">
        <f t="shared" si="30"/>
        <v>14.601469344946706</v>
      </c>
      <c r="R172" s="41">
        <f t="shared" si="27"/>
        <v>14.185845078594639</v>
      </c>
      <c r="S172" s="37">
        <f t="shared" si="31"/>
        <v>-0.41562426635206684</v>
      </c>
      <c r="T172" s="73"/>
      <c r="V172" s="8">
        <v>1</v>
      </c>
      <c r="W172" s="8">
        <f t="shared" si="25"/>
        <v>2003</v>
      </c>
    </row>
    <row r="173" spans="1:26" x14ac:dyDescent="0.3">
      <c r="A173" s="8">
        <v>2003</v>
      </c>
      <c r="B173" s="13">
        <v>2233776</v>
      </c>
      <c r="C173" s="51">
        <f t="shared" si="28"/>
        <v>14.619203985007509</v>
      </c>
      <c r="D173" s="37">
        <f t="shared" si="26"/>
        <v>14.474277891915222</v>
      </c>
      <c r="E173" s="37">
        <f t="shared" si="29"/>
        <v>-0.14492609309228754</v>
      </c>
      <c r="F173" s="73"/>
      <c r="H173" s="8">
        <v>1</v>
      </c>
      <c r="I173" s="8">
        <f t="shared" si="24"/>
        <v>2004</v>
      </c>
      <c r="O173" s="8">
        <v>2003</v>
      </c>
      <c r="P173" s="13">
        <v>2619621</v>
      </c>
      <c r="Q173" s="37">
        <f t="shared" si="30"/>
        <v>14.778540208784971</v>
      </c>
      <c r="R173" s="41">
        <f t="shared" si="27"/>
        <v>13.994052119655919</v>
      </c>
      <c r="S173" s="37">
        <f t="shared" si="31"/>
        <v>-0.78448808912905221</v>
      </c>
      <c r="T173" s="73"/>
      <c r="V173" s="8">
        <v>1</v>
      </c>
      <c r="W173" s="8">
        <f t="shared" si="25"/>
        <v>2004</v>
      </c>
    </row>
    <row r="174" spans="1:26" x14ac:dyDescent="0.3">
      <c r="A174" s="8">
        <v>2004</v>
      </c>
      <c r="B174" s="13">
        <v>2158422</v>
      </c>
      <c r="C174" s="51">
        <f t="shared" si="28"/>
        <v>14.584887957119042</v>
      </c>
      <c r="D174" s="37">
        <f t="shared" si="26"/>
        <v>14.419910512541776</v>
      </c>
      <c r="E174" s="37">
        <f t="shared" si="29"/>
        <v>-0.16497744457726604</v>
      </c>
      <c r="F174" s="73"/>
      <c r="H174" s="8">
        <v>1</v>
      </c>
      <c r="I174" s="8">
        <f t="shared" si="24"/>
        <v>2005</v>
      </c>
      <c r="O174" s="8">
        <v>2004</v>
      </c>
      <c r="P174" s="13">
        <v>1500398</v>
      </c>
      <c r="Q174" s="37">
        <f t="shared" si="30"/>
        <v>14.221240964211109</v>
      </c>
      <c r="R174" s="41">
        <f t="shared" si="27"/>
        <v>13.802259160717199</v>
      </c>
      <c r="S174" s="37">
        <f t="shared" si="31"/>
        <v>-0.41898180349391012</v>
      </c>
      <c r="T174" s="73"/>
      <c r="V174" s="8">
        <v>1</v>
      </c>
      <c r="W174" s="8">
        <f t="shared" si="25"/>
        <v>2005</v>
      </c>
    </row>
    <row r="175" spans="1:26" x14ac:dyDescent="0.3">
      <c r="A175" s="8">
        <v>2005</v>
      </c>
      <c r="B175" s="13">
        <v>1385140</v>
      </c>
      <c r="C175" s="51">
        <f t="shared" si="28"/>
        <v>14.141311775527521</v>
      </c>
      <c r="D175" s="37">
        <f t="shared" si="26"/>
        <v>14.365543133168316</v>
      </c>
      <c r="E175" s="37">
        <f t="shared" si="29"/>
        <v>0.22423135764079483</v>
      </c>
      <c r="F175" s="73"/>
      <c r="H175" s="8">
        <v>1</v>
      </c>
      <c r="I175" s="8">
        <f t="shared" si="24"/>
        <v>2006</v>
      </c>
      <c r="O175" s="8">
        <v>2005</v>
      </c>
      <c r="P175" s="13">
        <v>1157694</v>
      </c>
      <c r="Q175" s="37">
        <f t="shared" si="30"/>
        <v>13.961940653490574</v>
      </c>
      <c r="R175" s="41">
        <f t="shared" si="27"/>
        <v>13.610466201778479</v>
      </c>
      <c r="S175" s="37">
        <f t="shared" si="31"/>
        <v>-0.3514744517120949</v>
      </c>
      <c r="T175" s="73"/>
      <c r="V175" s="8">
        <v>1</v>
      </c>
      <c r="W175" s="8">
        <f t="shared" si="25"/>
        <v>2006</v>
      </c>
    </row>
    <row r="176" spans="1:26" x14ac:dyDescent="0.3">
      <c r="A176" s="8">
        <v>2006</v>
      </c>
      <c r="B176" s="13">
        <v>1987406</v>
      </c>
      <c r="C176" s="51">
        <f t="shared" si="28"/>
        <v>14.502340828794667</v>
      </c>
      <c r="D176" s="37">
        <f t="shared" si="26"/>
        <v>14.311175753794871</v>
      </c>
      <c r="E176" s="37">
        <f t="shared" si="29"/>
        <v>-0.1911650749997964</v>
      </c>
      <c r="F176" s="73"/>
      <c r="H176" s="8">
        <v>1</v>
      </c>
      <c r="I176" s="8">
        <f t="shared" si="24"/>
        <v>2007</v>
      </c>
      <c r="O176" s="8">
        <v>2006</v>
      </c>
      <c r="P176" s="13">
        <v>975242</v>
      </c>
      <c r="Q176" s="37">
        <f t="shared" si="30"/>
        <v>13.790440924310392</v>
      </c>
      <c r="R176" s="41">
        <f t="shared" si="27"/>
        <v>13.418673242839759</v>
      </c>
      <c r="S176" s="37">
        <f t="shared" si="31"/>
        <v>-0.37176768147063299</v>
      </c>
      <c r="T176" s="73"/>
      <c r="V176" s="8">
        <v>1</v>
      </c>
      <c r="W176" s="8">
        <f t="shared" si="25"/>
        <v>2007</v>
      </c>
    </row>
    <row r="177" spans="1:23" x14ac:dyDescent="0.3">
      <c r="A177" s="8">
        <v>2007</v>
      </c>
      <c r="B177" s="13">
        <v>1886241</v>
      </c>
      <c r="C177" s="51">
        <f t="shared" si="28"/>
        <v>14.450096517681043</v>
      </c>
      <c r="D177" s="37">
        <f t="shared" si="26"/>
        <v>14.256808374421425</v>
      </c>
      <c r="E177" s="37">
        <f t="shared" si="29"/>
        <v>-0.19328814325961829</v>
      </c>
      <c r="F177" s="73"/>
      <c r="H177" s="8">
        <v>1</v>
      </c>
      <c r="I177" s="8">
        <f t="shared" si="24"/>
        <v>2008</v>
      </c>
      <c r="O177" s="8">
        <v>2007</v>
      </c>
      <c r="P177" s="13">
        <v>1953971</v>
      </c>
      <c r="Q177" s="37">
        <f t="shared" si="30"/>
        <v>14.485374270123657</v>
      </c>
      <c r="R177" s="41">
        <f t="shared" si="27"/>
        <v>13.226880283900982</v>
      </c>
      <c r="S177" s="37">
        <f t="shared" si="31"/>
        <v>-1.2584939862226747</v>
      </c>
      <c r="T177" s="73"/>
      <c r="V177" s="8">
        <v>1</v>
      </c>
      <c r="W177" s="8">
        <f t="shared" si="25"/>
        <v>2008</v>
      </c>
    </row>
    <row r="178" spans="1:23" x14ac:dyDescent="0.3">
      <c r="A178" s="8">
        <v>2008</v>
      </c>
      <c r="B178" s="13">
        <v>1433813</v>
      </c>
      <c r="C178" s="51">
        <f t="shared" si="28"/>
        <v>14.17584788717526</v>
      </c>
      <c r="D178" s="37">
        <f t="shared" si="26"/>
        <v>14.202440995047979</v>
      </c>
      <c r="E178" s="37">
        <f t="shared" si="29"/>
        <v>2.6593107872718846E-2</v>
      </c>
      <c r="F178" s="73"/>
      <c r="H178" s="8">
        <v>1</v>
      </c>
      <c r="I178" s="8">
        <f t="shared" si="24"/>
        <v>2009</v>
      </c>
      <c r="O178" s="8">
        <v>2008</v>
      </c>
      <c r="P178" s="13">
        <v>1234325</v>
      </c>
      <c r="Q178" s="37">
        <f t="shared" si="30"/>
        <v>14.026034819922106</v>
      </c>
      <c r="R178" s="41">
        <f t="shared" si="27"/>
        <v>13.035087324962262</v>
      </c>
      <c r="S178" s="37">
        <f t="shared" si="31"/>
        <v>-0.99094749495984402</v>
      </c>
      <c r="T178" s="73"/>
      <c r="V178" s="8">
        <v>1</v>
      </c>
      <c r="W178" s="8">
        <f t="shared" si="25"/>
        <v>2009</v>
      </c>
    </row>
    <row r="179" spans="1:23" x14ac:dyDescent="0.3">
      <c r="A179" s="8">
        <v>2009</v>
      </c>
      <c r="B179" s="13">
        <v>1790656</v>
      </c>
      <c r="C179" s="51">
        <f t="shared" si="28"/>
        <v>14.398092591126309</v>
      </c>
      <c r="D179" s="37">
        <f t="shared" si="26"/>
        <v>14.148073615674519</v>
      </c>
      <c r="E179" s="37">
        <f t="shared" si="29"/>
        <v>-0.25001897545178942</v>
      </c>
      <c r="F179" s="73"/>
      <c r="H179" s="8">
        <v>1</v>
      </c>
      <c r="I179" s="8">
        <f t="shared" si="24"/>
        <v>2010</v>
      </c>
      <c r="O179" s="8">
        <v>2009</v>
      </c>
      <c r="P179" s="13">
        <v>1482378</v>
      </c>
      <c r="Q179" s="37">
        <f t="shared" si="30"/>
        <v>14.209158113044456</v>
      </c>
      <c r="R179" s="41">
        <f t="shared" si="27"/>
        <v>12.843294366023542</v>
      </c>
      <c r="S179" s="37">
        <f t="shared" si="31"/>
        <v>-1.3658637470209136</v>
      </c>
      <c r="T179" s="73"/>
      <c r="V179" s="8">
        <v>1</v>
      </c>
      <c r="W179" s="8">
        <f t="shared" si="25"/>
        <v>2010</v>
      </c>
    </row>
    <row r="180" spans="1:23" x14ac:dyDescent="0.3">
      <c r="A180" s="8">
        <v>2010</v>
      </c>
      <c r="B180" s="13">
        <v>1474432</v>
      </c>
      <c r="C180" s="51">
        <f t="shared" si="28"/>
        <v>14.203783388846123</v>
      </c>
      <c r="D180" s="37">
        <f t="shared" si="26"/>
        <v>14.093706236301074</v>
      </c>
      <c r="E180" s="37">
        <f t="shared" si="29"/>
        <v>-0.11007715254504902</v>
      </c>
      <c r="F180" s="73"/>
      <c r="H180" s="8">
        <v>1</v>
      </c>
      <c r="I180" s="8">
        <f t="shared" si="24"/>
        <v>2011</v>
      </c>
      <c r="O180" s="8">
        <v>2010</v>
      </c>
      <c r="P180" s="13">
        <v>895500</v>
      </c>
      <c r="Q180" s="37">
        <f t="shared" si="30"/>
        <v>13.705137500482904</v>
      </c>
      <c r="R180" s="41">
        <f t="shared" si="27"/>
        <v>12.651501407084822</v>
      </c>
      <c r="S180" s="37">
        <f t="shared" si="31"/>
        <v>-1.0536360933980813</v>
      </c>
      <c r="T180" s="73"/>
      <c r="V180" s="8">
        <v>1</v>
      </c>
      <c r="W180" s="8">
        <f t="shared" si="25"/>
        <v>2011</v>
      </c>
    </row>
    <row r="181" spans="1:23" x14ac:dyDescent="0.3">
      <c r="A181" s="8">
        <v>2011</v>
      </c>
      <c r="B181" s="13">
        <v>1534389</v>
      </c>
      <c r="C181" s="51">
        <f t="shared" si="28"/>
        <v>14.243642814159649</v>
      </c>
      <c r="D181" s="37">
        <f t="shared" si="26"/>
        <v>14.039338856927628</v>
      </c>
      <c r="E181" s="37">
        <f t="shared" si="29"/>
        <v>-0.20430395723202111</v>
      </c>
      <c r="F181" s="73"/>
      <c r="H181" s="8">
        <v>1</v>
      </c>
      <c r="I181" s="8">
        <f t="shared" si="24"/>
        <v>2012</v>
      </c>
      <c r="O181" s="8">
        <v>2011</v>
      </c>
      <c r="P181" s="13">
        <v>895129</v>
      </c>
      <c r="Q181" s="37">
        <f t="shared" si="30"/>
        <v>13.704723120948886</v>
      </c>
      <c r="R181" s="41">
        <f t="shared" si="27"/>
        <v>12.459708448146102</v>
      </c>
      <c r="S181" s="37">
        <f t="shared" si="31"/>
        <v>-1.2450146728027836</v>
      </c>
      <c r="T181" s="73"/>
      <c r="V181" s="8">
        <v>1</v>
      </c>
      <c r="W181" s="8">
        <f t="shared" si="25"/>
        <v>2012</v>
      </c>
    </row>
    <row r="182" spans="1:23" x14ac:dyDescent="0.3">
      <c r="A182" s="8">
        <v>2012</v>
      </c>
      <c r="B182" s="13">
        <v>1391360</v>
      </c>
      <c r="C182" s="51">
        <f t="shared" si="28"/>
        <v>14.145792244034872</v>
      </c>
      <c r="D182" s="37">
        <f t="shared" si="26"/>
        <v>13.984971477554183</v>
      </c>
      <c r="E182" s="37">
        <f t="shared" si="29"/>
        <v>-0.16082076648068977</v>
      </c>
      <c r="F182" s="73"/>
      <c r="H182" s="8">
        <v>1</v>
      </c>
      <c r="I182" s="8">
        <f t="shared" si="24"/>
        <v>2013</v>
      </c>
      <c r="O182" s="8">
        <v>2012</v>
      </c>
      <c r="P182" s="13">
        <v>1073394</v>
      </c>
      <c r="Q182" s="37">
        <f t="shared" si="30"/>
        <v>13.886336148994319</v>
      </c>
      <c r="R182" s="41">
        <f t="shared" si="27"/>
        <v>12.267915489207383</v>
      </c>
      <c r="S182" s="37">
        <f t="shared" si="31"/>
        <v>-1.6184206597869366</v>
      </c>
      <c r="T182" s="73"/>
      <c r="V182" s="8">
        <v>1</v>
      </c>
      <c r="W182" s="8">
        <f t="shared" si="25"/>
        <v>2013</v>
      </c>
    </row>
    <row r="183" spans="1:23" x14ac:dyDescent="0.3">
      <c r="A183" s="8">
        <v>2013</v>
      </c>
      <c r="B183" s="13">
        <v>1051290</v>
      </c>
      <c r="C183" s="51">
        <f t="shared" si="28"/>
        <v>13.865528539485961</v>
      </c>
      <c r="D183" s="37">
        <f t="shared" si="26"/>
        <v>13.930604098180723</v>
      </c>
      <c r="E183" s="37">
        <f t="shared" si="29"/>
        <v>6.5075558694761781E-2</v>
      </c>
      <c r="F183" s="73"/>
      <c r="H183" s="8">
        <v>1</v>
      </c>
      <c r="I183" s="8">
        <f t="shared" si="24"/>
        <v>2014</v>
      </c>
      <c r="O183" s="8">
        <v>2013</v>
      </c>
      <c r="P183" s="13">
        <v>307892</v>
      </c>
      <c r="Q183" s="37">
        <f t="shared" si="30"/>
        <v>12.637504351113204</v>
      </c>
      <c r="R183" s="41">
        <f t="shared" si="27"/>
        <v>12.076122530268663</v>
      </c>
      <c r="S183" s="37">
        <f t="shared" si="31"/>
        <v>-0.56138182084454158</v>
      </c>
      <c r="T183" s="73"/>
      <c r="V183" s="8">
        <v>1</v>
      </c>
      <c r="W183" s="8">
        <f t="shared" si="25"/>
        <v>2014</v>
      </c>
    </row>
    <row r="184" spans="1:23" x14ac:dyDescent="0.3">
      <c r="A184" s="8">
        <v>2014</v>
      </c>
      <c r="B184" s="13">
        <v>1055753</v>
      </c>
      <c r="C184" s="51">
        <f t="shared" si="28"/>
        <v>13.869764814373967</v>
      </c>
      <c r="D184" s="37">
        <f t="shared" si="26"/>
        <v>13.876236718807277</v>
      </c>
      <c r="E184" s="37">
        <f t="shared" si="29"/>
        <v>6.4719044333099163E-3</v>
      </c>
      <c r="F184" s="73"/>
      <c r="H184" s="8">
        <v>1</v>
      </c>
      <c r="I184" s="8">
        <f t="shared" si="24"/>
        <v>2015</v>
      </c>
      <c r="O184" s="8">
        <v>2014</v>
      </c>
      <c r="P184" s="13">
        <v>1027402</v>
      </c>
      <c r="Q184" s="37">
        <f t="shared" si="30"/>
        <v>13.842543843674886</v>
      </c>
      <c r="R184" s="41">
        <f t="shared" si="27"/>
        <v>11.884329571329886</v>
      </c>
      <c r="S184" s="37">
        <f t="shared" si="31"/>
        <v>-1.9582142723449998</v>
      </c>
      <c r="T184" s="73"/>
      <c r="V184" s="8">
        <v>1</v>
      </c>
      <c r="W184" s="8">
        <f t="shared" si="25"/>
        <v>2015</v>
      </c>
    </row>
    <row r="185" spans="1:23" ht="15" thickBot="1" x14ac:dyDescent="0.35">
      <c r="A185" s="8">
        <v>2015</v>
      </c>
      <c r="B185" s="13">
        <v>874435</v>
      </c>
      <c r="C185" s="51">
        <f t="shared" si="28"/>
        <v>13.681333242490782</v>
      </c>
      <c r="D185" s="37">
        <f t="shared" si="26"/>
        <v>13.821869339433832</v>
      </c>
      <c r="E185" s="37">
        <f t="shared" si="29"/>
        <v>0.14053609694305003</v>
      </c>
      <c r="F185" s="73"/>
      <c r="H185" s="11">
        <v>1</v>
      </c>
      <c r="I185" s="11">
        <f t="shared" si="24"/>
        <v>2016</v>
      </c>
      <c r="O185" s="8">
        <v>2015</v>
      </c>
      <c r="P185" s="13">
        <v>1258909</v>
      </c>
      <c r="Q185" s="37">
        <f t="shared" si="30"/>
        <v>14.045756030827215</v>
      </c>
      <c r="R185" s="41">
        <f t="shared" si="27"/>
        <v>11.692536612391166</v>
      </c>
      <c r="S185" s="37">
        <f t="shared" si="31"/>
        <v>-2.3532194184360495</v>
      </c>
      <c r="T185" s="73"/>
      <c r="V185" s="11">
        <v>1</v>
      </c>
      <c r="W185" s="11">
        <f t="shared" si="25"/>
        <v>2016</v>
      </c>
    </row>
    <row r="186" spans="1:23" ht="15" thickBot="1" x14ac:dyDescent="0.35">
      <c r="A186" s="11">
        <v>2016</v>
      </c>
      <c r="B186" s="14">
        <v>484366</v>
      </c>
      <c r="C186" s="52">
        <f t="shared" si="28"/>
        <v>13.090596098271964</v>
      </c>
      <c r="D186" s="38">
        <f t="shared" si="26"/>
        <v>13.767501960060372</v>
      </c>
      <c r="E186" s="38">
        <f t="shared" si="29"/>
        <v>0.67690586178840739</v>
      </c>
      <c r="F186" s="73"/>
      <c r="O186" s="11">
        <v>2016</v>
      </c>
      <c r="P186" s="14">
        <v>0</v>
      </c>
      <c r="Q186" s="38">
        <v>0</v>
      </c>
      <c r="R186" s="42">
        <f t="shared" si="27"/>
        <v>11.500743653452446</v>
      </c>
      <c r="S186" s="38">
        <f t="shared" si="31"/>
        <v>11.500743653452446</v>
      </c>
      <c r="T186" s="73"/>
    </row>
    <row r="187" spans="1:23" x14ac:dyDescent="0.3">
      <c r="A187" s="26">
        <v>2017</v>
      </c>
      <c r="B187" s="13"/>
      <c r="C187" s="53">
        <f t="shared" ref="C187:C191" si="32">LN(A187)</f>
        <v>7.6093665379542115</v>
      </c>
      <c r="D187" s="39">
        <f t="shared" si="26"/>
        <v>13.713134580686926</v>
      </c>
      <c r="E187" s="39">
        <f t="shared" si="29"/>
        <v>6.1037680427327148</v>
      </c>
      <c r="F187" s="73"/>
      <c r="O187" s="26">
        <v>2017</v>
      </c>
      <c r="P187" s="27">
        <v>0</v>
      </c>
      <c r="Q187" s="43" cm="1">
        <f t="array" ref="Q187:Q191">LN(O187:O191)</f>
        <v>7.6093665379542115</v>
      </c>
      <c r="R187" s="43">
        <f t="shared" si="27"/>
        <v>11.308950694513726</v>
      </c>
      <c r="S187" s="39">
        <f>R187-Q187</f>
        <v>3.6995841565595144</v>
      </c>
      <c r="T187" s="73"/>
    </row>
    <row r="188" spans="1:23" x14ac:dyDescent="0.3">
      <c r="A188" s="8">
        <v>2018</v>
      </c>
      <c r="B188" s="13"/>
      <c r="C188" s="51">
        <f t="shared" si="32"/>
        <v>7.6098622009135539</v>
      </c>
      <c r="D188" s="37">
        <f t="shared" si="26"/>
        <v>13.658767201313481</v>
      </c>
      <c r="E188" s="37">
        <f t="shared" si="29"/>
        <v>6.0489050003999267</v>
      </c>
      <c r="F188" s="73"/>
      <c r="O188" s="8">
        <v>2018</v>
      </c>
      <c r="P188" s="13">
        <v>0</v>
      </c>
      <c r="Q188" s="41">
        <v>7.6098622009135539</v>
      </c>
      <c r="R188" s="41">
        <f t="shared" si="27"/>
        <v>11.117157735575006</v>
      </c>
      <c r="S188" s="37">
        <f t="shared" si="31"/>
        <v>3.5072955346614521</v>
      </c>
      <c r="T188" s="73"/>
    </row>
    <row r="189" spans="1:23" x14ac:dyDescent="0.3">
      <c r="A189" s="8">
        <v>2019</v>
      </c>
      <c r="B189" s="13"/>
      <c r="C189" s="51">
        <f t="shared" si="32"/>
        <v>7.6103576183128379</v>
      </c>
      <c r="D189" s="37">
        <f t="shared" si="26"/>
        <v>13.604399821940035</v>
      </c>
      <c r="E189" s="37">
        <f t="shared" si="29"/>
        <v>5.9940422036271972</v>
      </c>
      <c r="F189" s="73"/>
      <c r="O189" s="8">
        <v>2019</v>
      </c>
      <c r="P189" s="13">
        <v>0</v>
      </c>
      <c r="Q189" s="41">
        <v>7.6103576183128379</v>
      </c>
      <c r="R189" s="41">
        <f t="shared" si="27"/>
        <v>10.925364776636286</v>
      </c>
      <c r="S189" s="37">
        <f t="shared" si="31"/>
        <v>3.3150071583234482</v>
      </c>
      <c r="T189" s="73"/>
    </row>
    <row r="190" spans="1:23" x14ac:dyDescent="0.3">
      <c r="A190" s="8">
        <v>2020</v>
      </c>
      <c r="B190" s="13"/>
      <c r="C190" s="51">
        <f t="shared" si="32"/>
        <v>7.6108527903952501</v>
      </c>
      <c r="D190" s="37">
        <f t="shared" si="26"/>
        <v>13.550032442566575</v>
      </c>
      <c r="E190" s="37">
        <f t="shared" si="29"/>
        <v>5.9391796521713252</v>
      </c>
      <c r="F190" s="73"/>
      <c r="O190" s="8">
        <v>2020</v>
      </c>
      <c r="P190" s="13">
        <v>0</v>
      </c>
      <c r="Q190" s="41">
        <v>7.6108527903952501</v>
      </c>
      <c r="R190" s="41">
        <f t="shared" si="27"/>
        <v>10.733571817697509</v>
      </c>
      <c r="S190" s="37">
        <f>R190-Q190</f>
        <v>3.1227190273022591</v>
      </c>
      <c r="T190" s="73"/>
    </row>
    <row r="191" spans="1:23" ht="15" thickBot="1" x14ac:dyDescent="0.35">
      <c r="A191" s="11">
        <v>2021</v>
      </c>
      <c r="B191" s="54"/>
      <c r="C191" s="52">
        <f t="shared" si="32"/>
        <v>7.6113477174036213</v>
      </c>
      <c r="D191" s="38">
        <f t="shared" si="26"/>
        <v>13.49566506319313</v>
      </c>
      <c r="E191" s="38">
        <f t="shared" si="29"/>
        <v>5.8843173457895084</v>
      </c>
      <c r="F191" s="74"/>
      <c r="O191" s="11">
        <v>2021</v>
      </c>
      <c r="P191" s="14">
        <v>0</v>
      </c>
      <c r="Q191" s="42">
        <v>7.6113477174036213</v>
      </c>
      <c r="R191" s="42">
        <f t="shared" si="27"/>
        <v>10.541778858758789</v>
      </c>
      <c r="S191" s="38">
        <f t="shared" si="31"/>
        <v>2.930431141355168</v>
      </c>
      <c r="T191" s="74"/>
    </row>
    <row r="192" spans="1:23" x14ac:dyDescent="0.3">
      <c r="E192" s="36"/>
      <c r="R192" s="40"/>
    </row>
    <row r="193" spans="1:28" ht="15" thickBot="1" x14ac:dyDescent="0.35">
      <c r="A193" s="33" t="s">
        <v>18</v>
      </c>
      <c r="B193" s="4" cm="1">
        <f t="array" ref="B193:AB194">TRANSPOSE(H159:I185)</f>
        <v>1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</row>
    <row r="194" spans="1:28" ht="15" thickBot="1" x14ac:dyDescent="0.35">
      <c r="B194" s="11">
        <v>1990</v>
      </c>
      <c r="C194" s="11">
        <v>1991</v>
      </c>
      <c r="D194" s="11">
        <v>1992</v>
      </c>
      <c r="E194" s="11">
        <v>1993</v>
      </c>
      <c r="F194" s="11">
        <v>1994</v>
      </c>
      <c r="G194" s="11">
        <v>1995</v>
      </c>
      <c r="H194" s="11">
        <v>1996</v>
      </c>
      <c r="I194" s="11">
        <v>1997</v>
      </c>
      <c r="J194" s="11">
        <v>1998</v>
      </c>
      <c r="K194" s="11">
        <v>1999</v>
      </c>
      <c r="L194" s="11">
        <v>2000</v>
      </c>
      <c r="M194" s="11">
        <v>2001</v>
      </c>
      <c r="N194" s="11">
        <v>2002</v>
      </c>
      <c r="O194" s="11">
        <v>2003</v>
      </c>
      <c r="P194" s="11">
        <v>2004</v>
      </c>
      <c r="Q194" s="11">
        <v>2005</v>
      </c>
      <c r="R194" s="11">
        <v>2006</v>
      </c>
      <c r="S194" s="11">
        <v>2007</v>
      </c>
      <c r="T194" s="11">
        <v>2008</v>
      </c>
      <c r="U194" s="11">
        <v>2009</v>
      </c>
      <c r="V194" s="11">
        <v>2010</v>
      </c>
      <c r="W194" s="11">
        <v>2011</v>
      </c>
      <c r="X194" s="11">
        <v>2012</v>
      </c>
      <c r="Y194" s="11">
        <v>2013</v>
      </c>
      <c r="Z194" s="11">
        <v>2014</v>
      </c>
      <c r="AA194" s="11">
        <v>2015</v>
      </c>
      <c r="AB194" s="11">
        <v>2016</v>
      </c>
    </row>
    <row r="196" spans="1:28" ht="15" thickBot="1" x14ac:dyDescent="0.35">
      <c r="A196" s="33" t="s">
        <v>19</v>
      </c>
      <c r="B196" s="4" cm="1">
        <f t="array" ref="B196:AB197">TRANSPOSE(V159:W185)</f>
        <v>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</row>
    <row r="197" spans="1:28" ht="15" thickBot="1" x14ac:dyDescent="0.35">
      <c r="B197" s="11">
        <v>1990</v>
      </c>
      <c r="C197" s="11">
        <v>1991</v>
      </c>
      <c r="D197" s="11">
        <v>1992</v>
      </c>
      <c r="E197" s="11">
        <v>1993</v>
      </c>
      <c r="F197" s="11">
        <v>1994</v>
      </c>
      <c r="G197" s="11">
        <v>1995</v>
      </c>
      <c r="H197" s="11">
        <v>1996</v>
      </c>
      <c r="I197" s="11">
        <v>1997</v>
      </c>
      <c r="J197" s="11">
        <v>1998</v>
      </c>
      <c r="K197" s="11">
        <v>1999</v>
      </c>
      <c r="L197" s="11">
        <v>2000</v>
      </c>
      <c r="M197" s="11">
        <v>2001</v>
      </c>
      <c r="N197" s="11">
        <v>2002</v>
      </c>
      <c r="O197" s="11">
        <v>2003</v>
      </c>
      <c r="P197" s="11">
        <v>2004</v>
      </c>
      <c r="Q197" s="11">
        <v>2005</v>
      </c>
      <c r="R197" s="11">
        <v>2006</v>
      </c>
      <c r="S197" s="11">
        <v>2007</v>
      </c>
      <c r="T197" s="11">
        <v>2008</v>
      </c>
      <c r="U197" s="11">
        <v>2009</v>
      </c>
      <c r="V197" s="11">
        <v>2010</v>
      </c>
      <c r="W197" s="11">
        <v>2011</v>
      </c>
      <c r="X197" s="11">
        <v>2012</v>
      </c>
      <c r="Y197" s="11">
        <v>2013</v>
      </c>
      <c r="Z197" s="11">
        <v>2014</v>
      </c>
      <c r="AA197" s="11">
        <v>2015</v>
      </c>
      <c r="AB197" s="11">
        <v>2016</v>
      </c>
    </row>
    <row r="199" spans="1:28" x14ac:dyDescent="0.3">
      <c r="A199" s="70" t="s">
        <v>22</v>
      </c>
      <c r="B199" s="4" cm="1">
        <f t="array" ref="B199:AB200">MMULT(_xlfn.ANCHORARRAY(K162),_xlfn.ANCHORARRAY(B193))</f>
        <v>15.933862433796094</v>
      </c>
      <c r="C199" s="4">
        <v>14.711029710968432</v>
      </c>
      <c r="D199" s="4">
        <v>13.488196988140771</v>
      </c>
      <c r="E199" s="4">
        <v>12.26536426531311</v>
      </c>
      <c r="F199" s="4">
        <v>11.042531542485449</v>
      </c>
      <c r="G199" s="4">
        <v>9.8196988196582424</v>
      </c>
      <c r="H199" s="4">
        <v>8.5968660968305812</v>
      </c>
      <c r="I199" s="4">
        <v>7.37403337400292</v>
      </c>
      <c r="J199" s="4">
        <v>6.1512006511752588</v>
      </c>
      <c r="K199" s="4">
        <v>4.9283679283475976</v>
      </c>
      <c r="L199" s="4">
        <v>3.7055352055199364</v>
      </c>
      <c r="M199" s="4">
        <v>2.4827024826922752</v>
      </c>
      <c r="N199" s="4">
        <v>1.259869759864614</v>
      </c>
      <c r="O199" s="4">
        <v>3.7037037037407572E-2</v>
      </c>
      <c r="P199" s="4">
        <v>-1.1857956857902536</v>
      </c>
      <c r="Q199" s="4">
        <v>-2.4086284086179148</v>
      </c>
      <c r="R199" s="4">
        <v>-3.631461131445576</v>
      </c>
      <c r="S199" s="4">
        <v>-4.8542938542732372</v>
      </c>
      <c r="T199" s="4">
        <v>-6.0771265771008984</v>
      </c>
      <c r="U199" s="4">
        <v>-7.2999592999285596</v>
      </c>
      <c r="V199" s="4">
        <v>-8.5227920227562208</v>
      </c>
      <c r="W199" s="4">
        <v>-9.7456247455834273</v>
      </c>
      <c r="X199" s="4">
        <v>-10.968457468411088</v>
      </c>
      <c r="Y199" s="4">
        <v>-12.19129019123875</v>
      </c>
      <c r="Z199" s="4">
        <v>-13.414122914066411</v>
      </c>
      <c r="AA199" s="4">
        <v>-14.636955636894072</v>
      </c>
      <c r="AB199" s="4">
        <v>-15.859788359721733</v>
      </c>
    </row>
    <row r="200" spans="1:28" ht="15" thickBot="1" x14ac:dyDescent="0.35">
      <c r="A200" s="71"/>
      <c r="B200" s="11">
        <v>-7.9365079364746016E-3</v>
      </c>
      <c r="C200" s="11">
        <v>-7.3260073259766578E-3</v>
      </c>
      <c r="D200" s="11">
        <v>-6.715506715478492E-3</v>
      </c>
      <c r="E200" s="11">
        <v>-6.1050061049805482E-3</v>
      </c>
      <c r="F200" s="11">
        <v>-5.4945054944823823E-3</v>
      </c>
      <c r="G200" s="11">
        <v>-4.8840048839844385E-3</v>
      </c>
      <c r="H200" s="11">
        <v>-4.2735042734862727E-3</v>
      </c>
      <c r="I200" s="11">
        <v>-3.6630036629883289E-3</v>
      </c>
      <c r="J200" s="11">
        <v>-3.0525030524901631E-3</v>
      </c>
      <c r="K200" s="11">
        <v>-2.4420024419922193E-3</v>
      </c>
      <c r="L200" s="11">
        <v>-1.8315018314940534E-3</v>
      </c>
      <c r="M200" s="11">
        <v>-1.2210012209961096E-3</v>
      </c>
      <c r="N200" s="11">
        <v>-6.105006104979438E-4</v>
      </c>
      <c r="O200" s="11">
        <v>0</v>
      </c>
      <c r="P200" s="11">
        <v>6.1050061049816584E-4</v>
      </c>
      <c r="Q200" s="11">
        <v>1.2210012209961096E-3</v>
      </c>
      <c r="R200" s="11">
        <v>1.8315018314942755E-3</v>
      </c>
      <c r="S200" s="11">
        <v>2.4420024419922193E-3</v>
      </c>
      <c r="T200" s="11">
        <v>3.0525030524903851E-3</v>
      </c>
      <c r="U200" s="11">
        <v>3.6630036629883289E-3</v>
      </c>
      <c r="V200" s="11">
        <v>4.2735042734864948E-3</v>
      </c>
      <c r="W200" s="11">
        <v>4.8840048839844385E-3</v>
      </c>
      <c r="X200" s="11">
        <v>5.4945054944826044E-3</v>
      </c>
      <c r="Y200" s="11">
        <v>6.1050061049805482E-3</v>
      </c>
      <c r="Z200" s="11">
        <v>6.715506715478714E-3</v>
      </c>
      <c r="AA200" s="11">
        <v>7.3260073259766578E-3</v>
      </c>
      <c r="AB200" s="11">
        <v>7.9365079364748237E-3</v>
      </c>
    </row>
    <row r="202" spans="1:28" x14ac:dyDescent="0.3">
      <c r="A202" s="70" t="s">
        <v>23</v>
      </c>
      <c r="B202" s="4" cm="1">
        <f t="array" ref="B202:AB203">MMULT(Y162:Z163,_xlfn.ANCHORARRAY(B196))</f>
        <v>15.933862433796094</v>
      </c>
      <c r="C202" s="4">
        <v>14.711029710968432</v>
      </c>
      <c r="D202" s="4">
        <v>13.488196988140771</v>
      </c>
      <c r="E202" s="4">
        <v>12.26536426531311</v>
      </c>
      <c r="F202" s="4">
        <v>11.042531542485449</v>
      </c>
      <c r="G202" s="4">
        <v>9.8196988196582424</v>
      </c>
      <c r="H202" s="4">
        <v>8.5968660968305812</v>
      </c>
      <c r="I202" s="4">
        <v>7.37403337400292</v>
      </c>
      <c r="J202" s="4">
        <v>6.1512006511752588</v>
      </c>
      <c r="K202" s="4">
        <v>4.9283679283475976</v>
      </c>
      <c r="L202" s="4">
        <v>3.7055352055199364</v>
      </c>
      <c r="M202" s="4">
        <v>2.4827024826922752</v>
      </c>
      <c r="N202" s="4">
        <v>1.259869759864614</v>
      </c>
      <c r="O202" s="4">
        <v>3.7037037037407572E-2</v>
      </c>
      <c r="P202" s="4">
        <v>-1.1857956857902536</v>
      </c>
      <c r="Q202" s="4">
        <v>-2.4086284086179148</v>
      </c>
      <c r="R202" s="4">
        <v>-3.631461131445576</v>
      </c>
      <c r="S202" s="4">
        <v>-4.8542938542732372</v>
      </c>
      <c r="T202" s="4">
        <v>-6.0771265771008984</v>
      </c>
      <c r="U202" s="4">
        <v>-7.2999592999285596</v>
      </c>
      <c r="V202" s="4">
        <v>-8.5227920227562208</v>
      </c>
      <c r="W202" s="4">
        <v>-9.7456247455834273</v>
      </c>
      <c r="X202" s="4">
        <v>-10.968457468411088</v>
      </c>
      <c r="Y202" s="4">
        <v>-12.19129019123875</v>
      </c>
      <c r="Z202" s="4">
        <v>-13.414122914066411</v>
      </c>
      <c r="AA202" s="4">
        <v>-14.636955636894072</v>
      </c>
      <c r="AB202" s="4">
        <v>-15.859788359721733</v>
      </c>
    </row>
    <row r="203" spans="1:28" ht="15" thickBot="1" x14ac:dyDescent="0.35">
      <c r="A203" s="71"/>
      <c r="B203" s="11">
        <v>-7.9365079364746016E-3</v>
      </c>
      <c r="C203" s="11">
        <v>-7.3260073259766578E-3</v>
      </c>
      <c r="D203" s="11">
        <v>-6.715506715478492E-3</v>
      </c>
      <c r="E203" s="11">
        <v>-6.1050061049805482E-3</v>
      </c>
      <c r="F203" s="11">
        <v>-5.4945054944823823E-3</v>
      </c>
      <c r="G203" s="11">
        <v>-4.8840048839844385E-3</v>
      </c>
      <c r="H203" s="11">
        <v>-4.2735042734862727E-3</v>
      </c>
      <c r="I203" s="11">
        <v>-3.6630036629883289E-3</v>
      </c>
      <c r="J203" s="11">
        <v>-3.0525030524901631E-3</v>
      </c>
      <c r="K203" s="11">
        <v>-2.4420024419922193E-3</v>
      </c>
      <c r="L203" s="11">
        <v>-1.8315018314940534E-3</v>
      </c>
      <c r="M203" s="11">
        <v>-1.2210012209961096E-3</v>
      </c>
      <c r="N203" s="11">
        <v>-6.105006104979438E-4</v>
      </c>
      <c r="O203" s="11">
        <v>0</v>
      </c>
      <c r="P203" s="11">
        <v>6.1050061049816584E-4</v>
      </c>
      <c r="Q203" s="11">
        <v>1.2210012209961096E-3</v>
      </c>
      <c r="R203" s="11">
        <v>1.8315018314942755E-3</v>
      </c>
      <c r="S203" s="11">
        <v>2.4420024419922193E-3</v>
      </c>
      <c r="T203" s="11">
        <v>3.0525030524903851E-3</v>
      </c>
      <c r="U203" s="11">
        <v>3.6630036629883289E-3</v>
      </c>
      <c r="V203" s="11">
        <v>4.2735042734864948E-3</v>
      </c>
      <c r="W203" s="11">
        <v>4.8840048839844385E-3</v>
      </c>
      <c r="X203" s="11">
        <v>5.4945054944826044E-3</v>
      </c>
      <c r="Y203" s="11">
        <v>6.1050061049805482E-3</v>
      </c>
      <c r="Z203" s="11">
        <v>6.715506715478714E-3</v>
      </c>
      <c r="AA203" s="11">
        <v>7.3260073259766578E-3</v>
      </c>
      <c r="AB203" s="11">
        <v>7.9365079364748237E-3</v>
      </c>
    </row>
    <row r="206" spans="1:28" ht="15" thickBot="1" x14ac:dyDescent="0.35">
      <c r="A206" s="66" t="s">
        <v>56</v>
      </c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O206" s="66" t="s">
        <v>57</v>
      </c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spans="1:28" ht="15" thickBot="1" x14ac:dyDescent="0.35">
      <c r="A207" s="33" t="str" cm="1">
        <f t="array" ref="A207:B239">A159:B191</f>
        <v>x</v>
      </c>
      <c r="B207" s="33" t="str">
        <v>y</v>
      </c>
      <c r="C207" s="45" t="s">
        <v>53</v>
      </c>
      <c r="D207" s="4">
        <f>EXP(L165)</f>
        <v>3.8004856007914689E+53</v>
      </c>
      <c r="E207" s="33" t="s">
        <v>54</v>
      </c>
      <c r="F207" s="33" t="s">
        <v>55</v>
      </c>
      <c r="G207" s="35" t="s">
        <v>60</v>
      </c>
      <c r="O207" s="33" t="str" cm="1">
        <f t="array" ref="O207:P239">O159:P191</f>
        <v>x</v>
      </c>
      <c r="P207" s="33" t="str">
        <v>y</v>
      </c>
      <c r="Q207" s="45" t="s">
        <v>52</v>
      </c>
      <c r="R207" s="4">
        <f>EXP(Z165)</f>
        <v>8.2541233786075787E+172</v>
      </c>
      <c r="S207" s="33" t="s">
        <v>54</v>
      </c>
      <c r="T207" s="33" t="s">
        <v>55</v>
      </c>
      <c r="U207" s="35" t="s">
        <v>60</v>
      </c>
    </row>
    <row r="208" spans="1:28" ht="15" thickBot="1" x14ac:dyDescent="0.35">
      <c r="A208" s="4">
        <v>1990</v>
      </c>
      <c r="B208" s="12">
        <v>3461428</v>
      </c>
      <c r="C208" s="33" t="s">
        <v>48</v>
      </c>
      <c r="D208" s="11">
        <f>L166</f>
        <v>-5.4367379373449376E-2</v>
      </c>
      <c r="E208" s="12">
        <f>$D$207*(EXP($D$208*A208))</f>
        <v>3917850.9083752572</v>
      </c>
      <c r="F208" s="12">
        <f>(E208-B208)</f>
        <v>456422.90837525716</v>
      </c>
      <c r="G208" s="49">
        <f>AVERAGE(F208:F234)</f>
        <v>-6643.8470578899096</v>
      </c>
      <c r="O208" s="4">
        <v>1990</v>
      </c>
      <c r="P208" s="12">
        <v>4895639</v>
      </c>
      <c r="Q208" s="33" t="s">
        <v>48</v>
      </c>
      <c r="R208" s="11">
        <f>Z166</f>
        <v>-0.19179295893872889</v>
      </c>
      <c r="S208" s="12">
        <f>$R$207*EXP($R$208*O208)</f>
        <v>14466708.265002502</v>
      </c>
      <c r="T208" s="12">
        <f>(S208-P208)</f>
        <v>9571069.2650025021</v>
      </c>
      <c r="U208" s="49">
        <f>AVERAGE(T208:T234)</f>
        <v>596956.55491247168</v>
      </c>
    </row>
    <row r="209" spans="1:20" x14ac:dyDescent="0.3">
      <c r="A209" s="8">
        <v>1991</v>
      </c>
      <c r="B209" s="13">
        <v>3226306</v>
      </c>
      <c r="E209" s="13">
        <f t="shared" ref="E209:E239" si="33">$D$207*EXP($D$208*A209)</f>
        <v>3710534.3148785755</v>
      </c>
      <c r="F209" s="13">
        <f t="shared" ref="F209:F239" si="34">(E209-B209)</f>
        <v>484228.3148785755</v>
      </c>
      <c r="O209" s="8">
        <v>1991</v>
      </c>
      <c r="P209" s="13">
        <v>4723373</v>
      </c>
      <c r="S209" s="13">
        <f t="shared" ref="S209:S239" si="35">$R$207*EXP($R$208*O209)</f>
        <v>11941945.912793418</v>
      </c>
      <c r="T209" s="13">
        <f t="shared" ref="T209:T239" si="36">(S209-P209)</f>
        <v>7218572.9127934184</v>
      </c>
    </row>
    <row r="210" spans="1:20" x14ac:dyDescent="0.3">
      <c r="A210" s="8">
        <v>1992</v>
      </c>
      <c r="B210" s="13">
        <v>3145806</v>
      </c>
      <c r="E210" s="13">
        <f t="shared" si="33"/>
        <v>3514188.0648033824</v>
      </c>
      <c r="F210" s="13">
        <f t="shared" si="34"/>
        <v>368382.06480338238</v>
      </c>
      <c r="O210" s="8">
        <v>1992</v>
      </c>
      <c r="P210" s="13">
        <v>6088309</v>
      </c>
      <c r="S210" s="13">
        <f t="shared" si="35"/>
        <v>9857810.7453153078</v>
      </c>
      <c r="T210" s="13">
        <f t="shared" si="36"/>
        <v>3769501.7453153078</v>
      </c>
    </row>
    <row r="211" spans="1:20" x14ac:dyDescent="0.3">
      <c r="A211" s="8">
        <v>1993</v>
      </c>
      <c r="B211" s="13">
        <v>3060907</v>
      </c>
      <c r="D211" s="49"/>
      <c r="E211" s="13">
        <f t="shared" si="33"/>
        <v>3328231.6525917025</v>
      </c>
      <c r="F211" s="13">
        <f t="shared" si="34"/>
        <v>267324.65259170253</v>
      </c>
      <c r="O211" s="8">
        <v>1993</v>
      </c>
      <c r="P211" s="13">
        <v>4355474</v>
      </c>
      <c r="S211" s="13">
        <f t="shared" si="35"/>
        <v>8137403.518663465</v>
      </c>
      <c r="T211" s="13">
        <f t="shared" si="36"/>
        <v>3781929.518663465</v>
      </c>
    </row>
    <row r="212" spans="1:20" x14ac:dyDescent="0.3">
      <c r="A212" s="8">
        <v>1994</v>
      </c>
      <c r="B212" s="13">
        <v>2972637</v>
      </c>
      <c r="E212" s="13">
        <f t="shared" si="33"/>
        <v>3152115.2906575873</v>
      </c>
      <c r="F212" s="13">
        <f t="shared" si="34"/>
        <v>179478.29065758735</v>
      </c>
      <c r="O212" s="8">
        <v>1994</v>
      </c>
      <c r="P212" s="13">
        <v>4397395</v>
      </c>
      <c r="S212" s="13">
        <f t="shared" si="35"/>
        <v>6717245.617341659</v>
      </c>
      <c r="T212" s="13">
        <f t="shared" si="36"/>
        <v>2319850.617341659</v>
      </c>
    </row>
    <row r="213" spans="1:20" x14ac:dyDescent="0.3">
      <c r="A213" s="8">
        <v>1995</v>
      </c>
      <c r="B213" s="13">
        <v>3294894</v>
      </c>
      <c r="E213" s="13">
        <f t="shared" si="33"/>
        <v>2985318.2839182634</v>
      </c>
      <c r="F213" s="13">
        <f t="shared" si="34"/>
        <v>-309575.71608173661</v>
      </c>
      <c r="O213" s="8">
        <v>1995</v>
      </c>
      <c r="P213" s="13">
        <v>3963501</v>
      </c>
      <c r="S213" s="13">
        <f t="shared" si="35"/>
        <v>5544936.8561127102</v>
      </c>
      <c r="T213" s="13">
        <f t="shared" si="36"/>
        <v>1581435.8561127102</v>
      </c>
    </row>
    <row r="214" spans="1:20" x14ac:dyDescent="0.3">
      <c r="A214" s="8">
        <v>1996</v>
      </c>
      <c r="B214" s="13">
        <v>2790984</v>
      </c>
      <c r="E214" s="13">
        <f t="shared" si="33"/>
        <v>2827347.4903379744</v>
      </c>
      <c r="F214" s="13">
        <f t="shared" si="34"/>
        <v>36363.490337974392</v>
      </c>
      <c r="O214" s="8">
        <v>1996</v>
      </c>
      <c r="P214" s="13">
        <v>3737912</v>
      </c>
      <c r="S214" s="13">
        <f t="shared" si="35"/>
        <v>4577222.0475160955</v>
      </c>
      <c r="T214" s="13">
        <f t="shared" si="36"/>
        <v>839310.04751609545</v>
      </c>
    </row>
    <row r="215" spans="1:20" x14ac:dyDescent="0.3">
      <c r="A215" s="8">
        <v>1997</v>
      </c>
      <c r="B215" s="13">
        <v>2700511</v>
      </c>
      <c r="E215" s="13">
        <f t="shared" si="33"/>
        <v>2677735.8629339752</v>
      </c>
      <c r="F215" s="13">
        <f t="shared" si="34"/>
        <v>-22775.137066024821</v>
      </c>
      <c r="O215" s="8">
        <v>1997</v>
      </c>
      <c r="P215" s="13">
        <v>3570720</v>
      </c>
      <c r="S215" s="13">
        <f t="shared" si="35"/>
        <v>3778394.9963598233</v>
      </c>
      <c r="T215" s="13">
        <f t="shared" si="36"/>
        <v>207674.99635982327</v>
      </c>
    </row>
    <row r="216" spans="1:20" x14ac:dyDescent="0.3">
      <c r="A216" s="8">
        <v>1998</v>
      </c>
      <c r="B216" s="13">
        <v>2612586</v>
      </c>
      <c r="E216" s="13">
        <f t="shared" si="33"/>
        <v>2536041.0689333202</v>
      </c>
      <c r="F216" s="13">
        <f t="shared" si="34"/>
        <v>-76544.931066679768</v>
      </c>
      <c r="O216" s="8">
        <v>1998</v>
      </c>
      <c r="P216" s="13">
        <v>3861196</v>
      </c>
      <c r="S216" s="13">
        <f t="shared" si="35"/>
        <v>3118981.0326689743</v>
      </c>
      <c r="T216" s="13">
        <f t="shared" si="36"/>
        <v>-742214.96733102575</v>
      </c>
    </row>
    <row r="217" spans="1:20" x14ac:dyDescent="0.3">
      <c r="A217" s="8">
        <v>1999</v>
      </c>
      <c r="B217" s="13">
        <v>2529098</v>
      </c>
      <c r="E217" s="13">
        <f t="shared" si="33"/>
        <v>2401844.1819984429</v>
      </c>
      <c r="F217" s="13">
        <f t="shared" si="34"/>
        <v>-127253.81800155714</v>
      </c>
      <c r="O217" s="8">
        <v>1999</v>
      </c>
      <c r="P217" s="13">
        <v>3209585</v>
      </c>
      <c r="S217" s="13">
        <f t="shared" si="35"/>
        <v>2574649.471937424</v>
      </c>
      <c r="T217" s="13">
        <f t="shared" si="36"/>
        <v>-634935.52806257596</v>
      </c>
    </row>
    <row r="218" spans="1:20" x14ac:dyDescent="0.3">
      <c r="A218" s="8">
        <v>2000</v>
      </c>
      <c r="B218" s="13">
        <v>1939390</v>
      </c>
      <c r="E218" s="13">
        <f t="shared" si="33"/>
        <v>2274748.4436544236</v>
      </c>
      <c r="F218" s="13">
        <f t="shared" si="34"/>
        <v>335358.44365442358</v>
      </c>
      <c r="O218" s="8">
        <v>2000</v>
      </c>
      <c r="P218" s="13">
        <v>2027139</v>
      </c>
      <c r="S218" s="13">
        <f t="shared" si="35"/>
        <v>2125315.8752540541</v>
      </c>
      <c r="T218" s="13">
        <f t="shared" si="36"/>
        <v>98176.875254054088</v>
      </c>
    </row>
    <row r="219" spans="1:20" x14ac:dyDescent="0.3">
      <c r="A219" s="8">
        <v>2001</v>
      </c>
      <c r="B219" s="13">
        <v>2377636</v>
      </c>
      <c r="E219" s="13">
        <f t="shared" si="33"/>
        <v>2154378.0902567739</v>
      </c>
      <c r="F219" s="13">
        <f t="shared" si="34"/>
        <v>-223257.90974322613</v>
      </c>
      <c r="O219" s="8">
        <v>2001</v>
      </c>
      <c r="P219" s="13">
        <v>2901506</v>
      </c>
      <c r="S219" s="13">
        <f t="shared" si="35"/>
        <v>1754400.9850038465</v>
      </c>
      <c r="T219" s="13">
        <f t="shared" si="36"/>
        <v>-1147105.0149961535</v>
      </c>
    </row>
    <row r="220" spans="1:20" x14ac:dyDescent="0.3">
      <c r="A220" s="8">
        <v>2002</v>
      </c>
      <c r="B220" s="13">
        <v>2305968</v>
      </c>
      <c r="E220" s="13">
        <f t="shared" si="33"/>
        <v>2040377.2420312492</v>
      </c>
      <c r="F220" s="13">
        <f t="shared" si="34"/>
        <v>-265590.75796875078</v>
      </c>
      <c r="O220" s="8">
        <v>2002</v>
      </c>
      <c r="P220" s="13">
        <v>2194510</v>
      </c>
      <c r="S220" s="13">
        <f t="shared" si="35"/>
        <v>1448218.9927719405</v>
      </c>
      <c r="T220" s="13">
        <f t="shared" si="36"/>
        <v>-746291.00722805946</v>
      </c>
    </row>
    <row r="221" spans="1:20" x14ac:dyDescent="0.3">
      <c r="A221" s="8">
        <v>2003</v>
      </c>
      <c r="B221" s="13">
        <v>2233776</v>
      </c>
      <c r="E221" s="13">
        <f t="shared" si="33"/>
        <v>1932408.850900844</v>
      </c>
      <c r="F221" s="13">
        <f t="shared" si="34"/>
        <v>-301367.14909915603</v>
      </c>
      <c r="O221" s="8">
        <v>2003</v>
      </c>
      <c r="P221" s="13">
        <v>2619621</v>
      </c>
      <c r="S221" s="13">
        <f t="shared" si="35"/>
        <v>1195472.568103224</v>
      </c>
      <c r="T221" s="13">
        <f t="shared" si="36"/>
        <v>-1424148.431896776</v>
      </c>
    </row>
    <row r="222" spans="1:20" x14ac:dyDescent="0.3">
      <c r="A222" s="8">
        <v>2004</v>
      </c>
      <c r="B222" s="13">
        <v>2158422</v>
      </c>
      <c r="E222" s="13">
        <f t="shared" si="33"/>
        <v>1830153.7039897691</v>
      </c>
      <c r="F222" s="13">
        <f t="shared" si="34"/>
        <v>-328268.2960102309</v>
      </c>
      <c r="O222" s="8">
        <v>2004</v>
      </c>
      <c r="P222" s="13">
        <v>1500398</v>
      </c>
      <c r="S222" s="13">
        <f t="shared" si="35"/>
        <v>986836.01597564109</v>
      </c>
      <c r="T222" s="13">
        <f t="shared" si="36"/>
        <v>-513561.98402435891</v>
      </c>
    </row>
    <row r="223" spans="1:20" x14ac:dyDescent="0.3">
      <c r="A223" s="8">
        <v>2005</v>
      </c>
      <c r="B223" s="13">
        <v>1385140</v>
      </c>
      <c r="E223" s="13">
        <f t="shared" si="33"/>
        <v>1733309.4798577342</v>
      </c>
      <c r="F223" s="13">
        <f t="shared" si="34"/>
        <v>348169.47985773417</v>
      </c>
      <c r="O223" s="8">
        <v>2005</v>
      </c>
      <c r="P223" s="13">
        <v>1157694</v>
      </c>
      <c r="S223" s="13">
        <f t="shared" si="35"/>
        <v>814611.18256507604</v>
      </c>
      <c r="T223" s="13">
        <f t="shared" si="36"/>
        <v>-343082.81743492396</v>
      </c>
    </row>
    <row r="224" spans="1:20" x14ac:dyDescent="0.3">
      <c r="A224" s="8">
        <v>2006</v>
      </c>
      <c r="B224" s="13">
        <v>1987406</v>
      </c>
      <c r="E224" s="13">
        <f t="shared" si="33"/>
        <v>1641589.8546745921</v>
      </c>
      <c r="F224" s="13">
        <f t="shared" si="34"/>
        <v>-345816.14532540785</v>
      </c>
      <c r="O224" s="8">
        <v>2006</v>
      </c>
      <c r="P224" s="13">
        <v>975242</v>
      </c>
      <c r="S224" s="13">
        <f t="shared" si="35"/>
        <v>672443.41310750425</v>
      </c>
      <c r="T224" s="13">
        <f t="shared" si="36"/>
        <v>-302798.58689249575</v>
      </c>
    </row>
    <row r="225" spans="1:20" x14ac:dyDescent="0.3">
      <c r="A225" s="8">
        <v>2007</v>
      </c>
      <c r="B225" s="13">
        <v>1886241</v>
      </c>
      <c r="E225" s="13">
        <f t="shared" si="33"/>
        <v>1554723.6556923077</v>
      </c>
      <c r="F225" s="13">
        <f t="shared" si="34"/>
        <v>-331517.34430769226</v>
      </c>
      <c r="O225" s="8">
        <v>2007</v>
      </c>
      <c r="P225" s="13">
        <v>1953971</v>
      </c>
      <c r="S225" s="13">
        <f t="shared" si="35"/>
        <v>555087.08143166325</v>
      </c>
      <c r="T225" s="13">
        <f t="shared" si="36"/>
        <v>-1398883.9185683369</v>
      </c>
    </row>
    <row r="226" spans="1:20" x14ac:dyDescent="0.3">
      <c r="A226" s="8">
        <v>2008</v>
      </c>
      <c r="B226" s="13">
        <v>1433813</v>
      </c>
      <c r="E226" s="13">
        <f t="shared" si="33"/>
        <v>1472454.0595119609</v>
      </c>
      <c r="F226" s="13">
        <f t="shared" si="34"/>
        <v>38641.05951196095</v>
      </c>
      <c r="O226" s="8">
        <v>2008</v>
      </c>
      <c r="P226" s="13">
        <v>1234325</v>
      </c>
      <c r="S226" s="13">
        <f t="shared" si="35"/>
        <v>458212.03980338451</v>
      </c>
      <c r="T226" s="13">
        <f t="shared" si="36"/>
        <v>-776112.96019661543</v>
      </c>
    </row>
    <row r="227" spans="1:20" x14ac:dyDescent="0.3">
      <c r="A227" s="8">
        <v>2009</v>
      </c>
      <c r="B227" s="13">
        <v>1790656</v>
      </c>
      <c r="E227" s="13">
        <f t="shared" si="33"/>
        <v>1394537.8327750298</v>
      </c>
      <c r="F227" s="13">
        <f t="shared" si="34"/>
        <v>-396118.16722497018</v>
      </c>
      <c r="O227" s="8">
        <v>2009</v>
      </c>
      <c r="P227" s="13">
        <v>1482378</v>
      </c>
      <c r="S227" s="13">
        <f t="shared" si="35"/>
        <v>378243.8475766012</v>
      </c>
      <c r="T227" s="13">
        <f t="shared" si="36"/>
        <v>-1104134.1524233988</v>
      </c>
    </row>
    <row r="228" spans="1:20" x14ac:dyDescent="0.3">
      <c r="A228" s="8">
        <v>2010</v>
      </c>
      <c r="B228" s="13">
        <v>1474432</v>
      </c>
      <c r="E228" s="13">
        <f t="shared" si="33"/>
        <v>1320744.613034297</v>
      </c>
      <c r="F228" s="13">
        <f t="shared" si="34"/>
        <v>-153687.38696570299</v>
      </c>
      <c r="O228" s="8">
        <v>2010</v>
      </c>
      <c r="P228" s="13">
        <v>895500</v>
      </c>
      <c r="S228" s="13">
        <f t="shared" si="35"/>
        <v>312231.8834986107</v>
      </c>
      <c r="T228" s="13">
        <f t="shared" si="36"/>
        <v>-583268.1165013893</v>
      </c>
    </row>
    <row r="229" spans="1:20" x14ac:dyDescent="0.3">
      <c r="A229" s="8">
        <v>2011</v>
      </c>
      <c r="B229" s="13">
        <v>1534389</v>
      </c>
      <c r="E229" s="13">
        <f t="shared" si="33"/>
        <v>1250856.2276779197</v>
      </c>
      <c r="F229" s="13">
        <f t="shared" si="34"/>
        <v>-283532.77232208033</v>
      </c>
      <c r="O229" s="8">
        <v>2011</v>
      </c>
      <c r="P229" s="13">
        <v>895129</v>
      </c>
      <c r="S229" s="13">
        <f t="shared" si="35"/>
        <v>257740.47535127922</v>
      </c>
      <c r="T229" s="13">
        <f t="shared" si="36"/>
        <v>-637388.52464872075</v>
      </c>
    </row>
    <row r="230" spans="1:20" x14ac:dyDescent="0.3">
      <c r="A230" s="8">
        <v>2012</v>
      </c>
      <c r="B230" s="13">
        <v>1391360</v>
      </c>
      <c r="E230" s="13">
        <f t="shared" si="33"/>
        <v>1184666.0488934396</v>
      </c>
      <c r="F230" s="13">
        <f t="shared" si="34"/>
        <v>-206693.95110656042</v>
      </c>
      <c r="O230" s="8">
        <v>2012</v>
      </c>
      <c r="P230" s="13">
        <v>1073394</v>
      </c>
      <c r="S230" s="13">
        <f t="shared" si="35"/>
        <v>212759.02989131783</v>
      </c>
      <c r="T230" s="13">
        <f t="shared" si="36"/>
        <v>-860634.97010868217</v>
      </c>
    </row>
    <row r="231" spans="1:20" x14ac:dyDescent="0.3">
      <c r="A231" s="8">
        <v>2013</v>
      </c>
      <c r="B231" s="13">
        <v>1051290</v>
      </c>
      <c r="E231" s="13">
        <f t="shared" si="33"/>
        <v>1121978.3827643385</v>
      </c>
      <c r="F231" s="13">
        <f t="shared" si="34"/>
        <v>70688.382764338516</v>
      </c>
      <c r="O231" s="8">
        <v>2013</v>
      </c>
      <c r="P231" s="13">
        <v>307892</v>
      </c>
      <c r="S231" s="13">
        <f t="shared" si="35"/>
        <v>175627.84711481677</v>
      </c>
      <c r="T231" s="13">
        <f t="shared" si="36"/>
        <v>-132264.15288518323</v>
      </c>
    </row>
    <row r="232" spans="1:20" x14ac:dyDescent="0.3">
      <c r="A232" s="8">
        <v>2014</v>
      </c>
      <c r="B232" s="13">
        <v>1055753</v>
      </c>
      <c r="E232" s="13">
        <f t="shared" si="33"/>
        <v>1062607.8906931942</v>
      </c>
      <c r="F232" s="13">
        <f t="shared" si="34"/>
        <v>6854.8906931942329</v>
      </c>
      <c r="O232" s="8">
        <v>2014</v>
      </c>
      <c r="P232" s="13">
        <v>1027402</v>
      </c>
      <c r="S232" s="13">
        <f t="shared" si="35"/>
        <v>144976.88158260591</v>
      </c>
      <c r="T232" s="13">
        <f t="shared" si="36"/>
        <v>-882425.11841739411</v>
      </c>
    </row>
    <row r="233" spans="1:20" x14ac:dyDescent="0.3">
      <c r="A233" s="8">
        <v>2015</v>
      </c>
      <c r="B233" s="13">
        <v>874435</v>
      </c>
      <c r="E233" s="13">
        <f t="shared" si="33"/>
        <v>1006379.0414405909</v>
      </c>
      <c r="F233" s="13">
        <f t="shared" si="34"/>
        <v>131944.04144059087</v>
      </c>
      <c r="O233" s="8">
        <v>2015</v>
      </c>
      <c r="P233" s="13">
        <v>1258909</v>
      </c>
      <c r="S233" s="13">
        <f t="shared" si="35"/>
        <v>119675.19125641514</v>
      </c>
      <c r="T233" s="13">
        <f t="shared" si="36"/>
        <v>-1139233.8087435849</v>
      </c>
    </row>
    <row r="234" spans="1:20" ht="15" thickBot="1" x14ac:dyDescent="0.35">
      <c r="A234" s="11">
        <v>2016</v>
      </c>
      <c r="B234" s="14">
        <v>484366</v>
      </c>
      <c r="E234" s="14">
        <f t="shared" si="33"/>
        <v>953125.59216002701</v>
      </c>
      <c r="F234" s="14">
        <f t="shared" si="34"/>
        <v>468759.59216002701</v>
      </c>
      <c r="O234" s="11">
        <v>2016</v>
      </c>
      <c r="P234" s="14">
        <v>0</v>
      </c>
      <c r="S234" s="14">
        <f t="shared" si="35"/>
        <v>98789.208637371412</v>
      </c>
      <c r="T234" s="14">
        <f t="shared" si="36"/>
        <v>98789.208637371412</v>
      </c>
    </row>
    <row r="235" spans="1:20" x14ac:dyDescent="0.3">
      <c r="A235" s="26">
        <v>2017</v>
      </c>
      <c r="B235" s="27">
        <v>0</v>
      </c>
      <c r="E235" s="27">
        <f t="shared" si="33"/>
        <v>902690.09689431544</v>
      </c>
      <c r="F235" s="27">
        <f t="shared" si="34"/>
        <v>902690.09689431544</v>
      </c>
      <c r="O235" s="26">
        <v>2017</v>
      </c>
      <c r="P235" s="27">
        <v>0</v>
      </c>
      <c r="S235" s="27">
        <f t="shared" si="35"/>
        <v>81548.29451901924</v>
      </c>
      <c r="T235" s="27">
        <f t="shared" si="36"/>
        <v>81548.29451901924</v>
      </c>
    </row>
    <row r="236" spans="1:20" x14ac:dyDescent="0.3">
      <c r="A236" s="8">
        <v>2018</v>
      </c>
      <c r="B236" s="13">
        <v>0</v>
      </c>
      <c r="E236" s="13">
        <f t="shared" si="33"/>
        <v>854923.44108021574</v>
      </c>
      <c r="F236" s="13">
        <f t="shared" si="34"/>
        <v>854923.44108021574</v>
      </c>
      <c r="O236" s="8">
        <v>2018</v>
      </c>
      <c r="P236" s="13">
        <v>0</v>
      </c>
      <c r="S236" s="13">
        <f t="shared" si="35"/>
        <v>67316.303376530923</v>
      </c>
      <c r="T236" s="13">
        <f t="shared" si="36"/>
        <v>67316.303376530923</v>
      </c>
    </row>
    <row r="237" spans="1:20" x14ac:dyDescent="0.3">
      <c r="A237" s="8">
        <v>2019</v>
      </c>
      <c r="B237" s="13">
        <v>0</v>
      </c>
      <c r="E237" s="13">
        <f t="shared" si="33"/>
        <v>809684.40068530862</v>
      </c>
      <c r="F237" s="13">
        <f t="shared" si="34"/>
        <v>809684.40068530862</v>
      </c>
      <c r="O237" s="8">
        <v>2019</v>
      </c>
      <c r="P237" s="13">
        <v>0</v>
      </c>
      <c r="S237" s="13">
        <f t="shared" si="35"/>
        <v>55568.111227933601</v>
      </c>
      <c r="T237" s="13">
        <f t="shared" si="36"/>
        <v>55568.111227933601</v>
      </c>
    </row>
    <row r="238" spans="1:20" x14ac:dyDescent="0.3">
      <c r="A238" s="8">
        <v>2020</v>
      </c>
      <c r="B238" s="13">
        <v>0</v>
      </c>
      <c r="E238" s="13">
        <f t="shared" si="33"/>
        <v>766839.22467345884</v>
      </c>
      <c r="F238" s="13">
        <f t="shared" si="34"/>
        <v>766839.22467345884</v>
      </c>
      <c r="O238" s="8">
        <v>2020</v>
      </c>
      <c r="P238" s="13">
        <v>0</v>
      </c>
      <c r="S238" s="13">
        <f t="shared" si="35"/>
        <v>45870.239905602961</v>
      </c>
      <c r="T238" s="13">
        <f t="shared" si="36"/>
        <v>45870.239905602961</v>
      </c>
    </row>
    <row r="239" spans="1:20" ht="15" thickBot="1" x14ac:dyDescent="0.35">
      <c r="A239" s="11">
        <v>2021</v>
      </c>
      <c r="B239" s="14">
        <v>0</v>
      </c>
      <c r="E239" s="14">
        <f t="shared" si="33"/>
        <v>726261.23956455977</v>
      </c>
      <c r="F239" s="14">
        <f t="shared" si="34"/>
        <v>726261.23956455977</v>
      </c>
      <c r="O239" s="11">
        <v>2021</v>
      </c>
      <c r="P239" s="14">
        <v>0</v>
      </c>
      <c r="S239" s="14">
        <f t="shared" si="35"/>
        <v>37864.862823337928</v>
      </c>
      <c r="T239" s="14">
        <f t="shared" si="36"/>
        <v>37864.862823337928</v>
      </c>
    </row>
  </sheetData>
  <mergeCells count="20">
    <mergeCell ref="O206:Z206"/>
    <mergeCell ref="A206:L206"/>
    <mergeCell ref="A199:A200"/>
    <mergeCell ref="A202:A203"/>
    <mergeCell ref="A158:L158"/>
    <mergeCell ref="F160:F191"/>
    <mergeCell ref="O158:Z158"/>
    <mergeCell ref="T160:T191"/>
    <mergeCell ref="A103:I103"/>
    <mergeCell ref="A148:A149"/>
    <mergeCell ref="A153:A154"/>
    <mergeCell ref="O1:W1"/>
    <mergeCell ref="A98:A99"/>
    <mergeCell ref="A94:A95"/>
    <mergeCell ref="A47:A48"/>
    <mergeCell ref="A1:I1"/>
    <mergeCell ref="A51:I51"/>
    <mergeCell ref="A44:A45"/>
    <mergeCell ref="Q51:Y51"/>
    <mergeCell ref="Q103:Y103"/>
  </mergeCells>
  <pageMargins left="0.7" right="0.7" top="0.75" bottom="0.75" header="0.3" footer="0.3"/>
  <pageSetup paperSize="9" orientation="portrait" r:id="rId1"/>
  <ignoredErrors>
    <ignoredError sqref="S208:S210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68E-6E12-4261-8C96-0D500BDA2BC1}">
  <dimension ref="A1:I33"/>
  <sheetViews>
    <sheetView showGridLines="0" topLeftCell="A26" workbookViewId="0">
      <selection activeCell="E18" sqref="E18"/>
    </sheetView>
  </sheetViews>
  <sheetFormatPr defaultRowHeight="14.4" x14ac:dyDescent="0.3"/>
  <cols>
    <col min="1" max="1" width="8.77734375" bestFit="1" customWidth="1"/>
    <col min="2" max="2" width="7.5546875" bestFit="1" customWidth="1"/>
    <col min="3" max="3" width="6.88671875" bestFit="1" customWidth="1"/>
    <col min="4" max="4" width="15.6640625" style="2" customWidth="1"/>
    <col min="9" max="9" width="16.44140625" style="2" customWidth="1"/>
  </cols>
  <sheetData>
    <row r="1" spans="1:9" x14ac:dyDescent="0.3">
      <c r="A1" t="s">
        <v>0</v>
      </c>
      <c r="B1" t="s">
        <v>1</v>
      </c>
      <c r="C1" t="s">
        <v>2</v>
      </c>
      <c r="D1" s="2" t="s">
        <v>3</v>
      </c>
      <c r="F1" t="s">
        <v>0</v>
      </c>
      <c r="G1" t="s">
        <v>1</v>
      </c>
      <c r="H1" t="s">
        <v>2</v>
      </c>
      <c r="I1" s="2" t="s">
        <v>3</v>
      </c>
    </row>
    <row r="2" spans="1:9" x14ac:dyDescent="0.3">
      <c r="A2" s="1" t="s">
        <v>4</v>
      </c>
      <c r="B2" s="1" t="s">
        <v>5</v>
      </c>
      <c r="C2">
        <v>1990</v>
      </c>
      <c r="D2" s="2">
        <v>3461428</v>
      </c>
      <c r="F2" s="1" t="s">
        <v>6</v>
      </c>
      <c r="G2" s="1" t="s">
        <v>7</v>
      </c>
      <c r="H2">
        <v>1990</v>
      </c>
      <c r="I2" s="2">
        <v>4895639</v>
      </c>
    </row>
    <row r="3" spans="1:9" x14ac:dyDescent="0.3">
      <c r="A3" s="1" t="s">
        <v>4</v>
      </c>
      <c r="B3" s="1" t="s">
        <v>5</v>
      </c>
      <c r="C3">
        <v>1991</v>
      </c>
      <c r="D3" s="2">
        <v>3226306</v>
      </c>
      <c r="F3" s="1" t="s">
        <v>6</v>
      </c>
      <c r="G3" s="1" t="s">
        <v>7</v>
      </c>
      <c r="H3">
        <v>1991</v>
      </c>
      <c r="I3" s="2">
        <v>4723373</v>
      </c>
    </row>
    <row r="4" spans="1:9" x14ac:dyDescent="0.3">
      <c r="A4" s="1" t="s">
        <v>4</v>
      </c>
      <c r="B4" s="1" t="s">
        <v>5</v>
      </c>
      <c r="C4">
        <v>1992</v>
      </c>
      <c r="D4" s="2">
        <v>3145806</v>
      </c>
      <c r="F4" s="1" t="s">
        <v>6</v>
      </c>
      <c r="G4" s="1" t="s">
        <v>7</v>
      </c>
      <c r="H4">
        <v>1992</v>
      </c>
      <c r="I4" s="2">
        <v>6088309</v>
      </c>
    </row>
    <row r="5" spans="1:9" x14ac:dyDescent="0.3">
      <c r="A5" s="1" t="s">
        <v>4</v>
      </c>
      <c r="B5" s="1" t="s">
        <v>5</v>
      </c>
      <c r="C5">
        <v>1993</v>
      </c>
      <c r="D5" s="2">
        <v>3060907</v>
      </c>
      <c r="F5" s="1" t="s">
        <v>6</v>
      </c>
      <c r="G5" s="1" t="s">
        <v>7</v>
      </c>
      <c r="H5">
        <v>1993</v>
      </c>
      <c r="I5" s="2">
        <v>4355474</v>
      </c>
    </row>
    <row r="6" spans="1:9" x14ac:dyDescent="0.3">
      <c r="A6" s="1" t="s">
        <v>4</v>
      </c>
      <c r="B6" s="1" t="s">
        <v>5</v>
      </c>
      <c r="C6">
        <v>1994</v>
      </c>
      <c r="D6" s="2">
        <v>2972637</v>
      </c>
      <c r="F6" s="1" t="s">
        <v>6</v>
      </c>
      <c r="G6" s="1" t="s">
        <v>7</v>
      </c>
      <c r="H6">
        <v>1994</v>
      </c>
      <c r="I6" s="2">
        <v>4397395</v>
      </c>
    </row>
    <row r="7" spans="1:9" x14ac:dyDescent="0.3">
      <c r="A7" s="1" t="s">
        <v>4</v>
      </c>
      <c r="B7" s="1" t="s">
        <v>5</v>
      </c>
      <c r="C7">
        <v>1995</v>
      </c>
      <c r="D7" s="2">
        <v>3294894</v>
      </c>
      <c r="F7" s="1" t="s">
        <v>6</v>
      </c>
      <c r="G7" s="1" t="s">
        <v>7</v>
      </c>
      <c r="H7">
        <v>1995</v>
      </c>
      <c r="I7" s="2">
        <v>3963501</v>
      </c>
    </row>
    <row r="8" spans="1:9" x14ac:dyDescent="0.3">
      <c r="A8" s="1" t="s">
        <v>4</v>
      </c>
      <c r="B8" s="1" t="s">
        <v>5</v>
      </c>
      <c r="C8">
        <v>1996</v>
      </c>
      <c r="D8" s="2">
        <v>2790984</v>
      </c>
      <c r="F8" s="1" t="s">
        <v>6</v>
      </c>
      <c r="G8" s="1" t="s">
        <v>7</v>
      </c>
      <c r="H8">
        <v>1996</v>
      </c>
      <c r="I8" s="2">
        <v>3737912</v>
      </c>
    </row>
    <row r="9" spans="1:9" x14ac:dyDescent="0.3">
      <c r="A9" s="1" t="s">
        <v>4</v>
      </c>
      <c r="B9" s="1" t="s">
        <v>5</v>
      </c>
      <c r="C9">
        <v>1997</v>
      </c>
      <c r="D9" s="2">
        <v>2700511</v>
      </c>
      <c r="F9" s="1" t="s">
        <v>6</v>
      </c>
      <c r="G9" s="1" t="s">
        <v>7</v>
      </c>
      <c r="H9">
        <v>1997</v>
      </c>
      <c r="I9" s="2">
        <v>3570720</v>
      </c>
    </row>
    <row r="10" spans="1:9" x14ac:dyDescent="0.3">
      <c r="A10" s="1" t="s">
        <v>4</v>
      </c>
      <c r="B10" s="1" t="s">
        <v>5</v>
      </c>
      <c r="C10">
        <v>1998</v>
      </c>
      <c r="D10" s="2">
        <v>2612586</v>
      </c>
      <c r="F10" s="1" t="s">
        <v>6</v>
      </c>
      <c r="G10" s="1" t="s">
        <v>7</v>
      </c>
      <c r="H10">
        <v>1998</v>
      </c>
      <c r="I10" s="2">
        <v>3861196</v>
      </c>
    </row>
    <row r="11" spans="1:9" x14ac:dyDescent="0.3">
      <c r="A11" s="1" t="s">
        <v>4</v>
      </c>
      <c r="B11" s="1" t="s">
        <v>5</v>
      </c>
      <c r="C11">
        <v>1999</v>
      </c>
      <c r="D11" s="2">
        <v>2529098</v>
      </c>
      <c r="F11" s="1" t="s">
        <v>6</v>
      </c>
      <c r="G11" s="1" t="s">
        <v>7</v>
      </c>
      <c r="H11">
        <v>1999</v>
      </c>
      <c r="I11" s="2">
        <v>3209585</v>
      </c>
    </row>
    <row r="12" spans="1:9" x14ac:dyDescent="0.3">
      <c r="A12" s="1" t="s">
        <v>4</v>
      </c>
      <c r="B12" s="1" t="s">
        <v>5</v>
      </c>
      <c r="C12">
        <v>2000</v>
      </c>
      <c r="D12" s="2">
        <v>1939390</v>
      </c>
      <c r="F12" s="1" t="s">
        <v>6</v>
      </c>
      <c r="G12" s="1" t="s">
        <v>7</v>
      </c>
      <c r="H12">
        <v>2000</v>
      </c>
      <c r="I12" s="2">
        <v>2027139</v>
      </c>
    </row>
    <row r="13" spans="1:9" x14ac:dyDescent="0.3">
      <c r="A13" s="1" t="s">
        <v>4</v>
      </c>
      <c r="B13" s="1" t="s">
        <v>5</v>
      </c>
      <c r="C13">
        <v>2001</v>
      </c>
      <c r="D13" s="2">
        <v>2377636</v>
      </c>
      <c r="F13" s="1" t="s">
        <v>6</v>
      </c>
      <c r="G13" s="1" t="s">
        <v>7</v>
      </c>
      <c r="H13">
        <v>2001</v>
      </c>
      <c r="I13" s="2">
        <v>2901506</v>
      </c>
    </row>
    <row r="14" spans="1:9" x14ac:dyDescent="0.3">
      <c r="A14" s="1" t="s">
        <v>4</v>
      </c>
      <c r="B14" s="1" t="s">
        <v>5</v>
      </c>
      <c r="C14">
        <v>2002</v>
      </c>
      <c r="D14" s="2">
        <v>2305968</v>
      </c>
      <c r="F14" s="1" t="s">
        <v>6</v>
      </c>
      <c r="G14" s="1" t="s">
        <v>7</v>
      </c>
      <c r="H14">
        <v>2002</v>
      </c>
      <c r="I14" s="2">
        <v>2194510</v>
      </c>
    </row>
    <row r="15" spans="1:9" x14ac:dyDescent="0.3">
      <c r="A15" s="1" t="s">
        <v>4</v>
      </c>
      <c r="B15" s="1" t="s">
        <v>5</v>
      </c>
      <c r="C15">
        <v>2003</v>
      </c>
      <c r="D15" s="2">
        <v>2233776</v>
      </c>
      <c r="F15" s="1" t="s">
        <v>6</v>
      </c>
      <c r="G15" s="1" t="s">
        <v>7</v>
      </c>
      <c r="H15">
        <v>2003</v>
      </c>
      <c r="I15" s="2">
        <v>2619621</v>
      </c>
    </row>
    <row r="16" spans="1:9" x14ac:dyDescent="0.3">
      <c r="A16" s="1" t="s">
        <v>4</v>
      </c>
      <c r="B16" s="1" t="s">
        <v>5</v>
      </c>
      <c r="C16">
        <v>2004</v>
      </c>
      <c r="D16" s="2">
        <v>2158422</v>
      </c>
      <c r="F16" s="1" t="s">
        <v>6</v>
      </c>
      <c r="G16" s="1" t="s">
        <v>7</v>
      </c>
      <c r="H16">
        <v>2004</v>
      </c>
      <c r="I16" s="2">
        <v>1500398</v>
      </c>
    </row>
    <row r="17" spans="1:9" x14ac:dyDescent="0.3">
      <c r="A17" s="1" t="s">
        <v>4</v>
      </c>
      <c r="B17" s="1" t="s">
        <v>5</v>
      </c>
      <c r="C17">
        <v>2005</v>
      </c>
      <c r="D17" s="2">
        <v>1385140</v>
      </c>
      <c r="F17" s="1" t="s">
        <v>6</v>
      </c>
      <c r="G17" s="1" t="s">
        <v>7</v>
      </c>
      <c r="H17">
        <v>2005</v>
      </c>
      <c r="I17" s="2">
        <v>1157694</v>
      </c>
    </row>
    <row r="18" spans="1:9" x14ac:dyDescent="0.3">
      <c r="A18" s="1" t="s">
        <v>4</v>
      </c>
      <c r="B18" s="1" t="s">
        <v>5</v>
      </c>
      <c r="C18">
        <v>2006</v>
      </c>
      <c r="D18" s="2">
        <v>1987406</v>
      </c>
      <c r="F18" s="1" t="s">
        <v>6</v>
      </c>
      <c r="G18" s="1" t="s">
        <v>7</v>
      </c>
      <c r="H18">
        <v>2006</v>
      </c>
      <c r="I18" s="2">
        <v>975242</v>
      </c>
    </row>
    <row r="19" spans="1:9" x14ac:dyDescent="0.3">
      <c r="A19" s="1" t="s">
        <v>4</v>
      </c>
      <c r="B19" s="1" t="s">
        <v>5</v>
      </c>
      <c r="C19">
        <v>2007</v>
      </c>
      <c r="D19" s="2">
        <v>1886241</v>
      </c>
      <c r="F19" s="1" t="s">
        <v>6</v>
      </c>
      <c r="G19" s="1" t="s">
        <v>7</v>
      </c>
      <c r="H19">
        <v>2007</v>
      </c>
      <c r="I19" s="2">
        <v>1953971</v>
      </c>
    </row>
    <row r="20" spans="1:9" x14ac:dyDescent="0.3">
      <c r="A20" s="1" t="s">
        <v>4</v>
      </c>
      <c r="B20" s="1" t="s">
        <v>5</v>
      </c>
      <c r="C20">
        <v>2008</v>
      </c>
      <c r="D20" s="2">
        <v>1433813</v>
      </c>
      <c r="F20" s="1" t="s">
        <v>6</v>
      </c>
      <c r="G20" s="1" t="s">
        <v>7</v>
      </c>
      <c r="H20">
        <v>2008</v>
      </c>
      <c r="I20" s="2">
        <v>1234325</v>
      </c>
    </row>
    <row r="21" spans="1:9" x14ac:dyDescent="0.3">
      <c r="A21" s="1" t="s">
        <v>4</v>
      </c>
      <c r="B21" s="1" t="s">
        <v>5</v>
      </c>
      <c r="C21">
        <v>2009</v>
      </c>
      <c r="D21" s="2">
        <v>1790656</v>
      </c>
      <c r="F21" s="1" t="s">
        <v>6</v>
      </c>
      <c r="G21" s="1" t="s">
        <v>7</v>
      </c>
      <c r="H21">
        <v>2009</v>
      </c>
      <c r="I21" s="2">
        <v>1482378</v>
      </c>
    </row>
    <row r="22" spans="1:9" x14ac:dyDescent="0.3">
      <c r="A22" s="1" t="s">
        <v>4</v>
      </c>
      <c r="B22" s="1" t="s">
        <v>5</v>
      </c>
      <c r="C22">
        <v>2010</v>
      </c>
      <c r="D22" s="2">
        <v>1474432</v>
      </c>
      <c r="F22" s="1" t="s">
        <v>6</v>
      </c>
      <c r="G22" s="1" t="s">
        <v>7</v>
      </c>
      <c r="H22">
        <v>2010</v>
      </c>
      <c r="I22" s="2">
        <v>895500</v>
      </c>
    </row>
    <row r="23" spans="1:9" x14ac:dyDescent="0.3">
      <c r="A23" s="1" t="s">
        <v>4</v>
      </c>
      <c r="B23" s="1" t="s">
        <v>5</v>
      </c>
      <c r="C23">
        <v>2011</v>
      </c>
      <c r="D23" s="2">
        <v>1534389</v>
      </c>
      <c r="F23" s="1" t="s">
        <v>6</v>
      </c>
      <c r="G23" s="1" t="s">
        <v>7</v>
      </c>
      <c r="H23">
        <v>2011</v>
      </c>
      <c r="I23" s="2">
        <v>895129</v>
      </c>
    </row>
    <row r="24" spans="1:9" x14ac:dyDescent="0.3">
      <c r="A24" s="1" t="s">
        <v>4</v>
      </c>
      <c r="B24" s="1" t="s">
        <v>5</v>
      </c>
      <c r="C24">
        <v>2012</v>
      </c>
      <c r="D24" s="2">
        <v>1391360</v>
      </c>
      <c r="F24" s="1" t="s">
        <v>6</v>
      </c>
      <c r="G24" s="1" t="s">
        <v>7</v>
      </c>
      <c r="H24">
        <v>2012</v>
      </c>
      <c r="I24" s="2">
        <v>1073394</v>
      </c>
    </row>
    <row r="25" spans="1:9" x14ac:dyDescent="0.3">
      <c r="A25" s="1" t="s">
        <v>4</v>
      </c>
      <c r="B25" s="1" t="s">
        <v>5</v>
      </c>
      <c r="C25">
        <v>2013</v>
      </c>
      <c r="D25" s="2">
        <v>1051290</v>
      </c>
      <c r="F25" s="1" t="s">
        <v>6</v>
      </c>
      <c r="G25" s="1" t="s">
        <v>7</v>
      </c>
      <c r="H25">
        <v>2013</v>
      </c>
      <c r="I25" s="2">
        <v>307892</v>
      </c>
    </row>
    <row r="26" spans="1:9" x14ac:dyDescent="0.3">
      <c r="A26" s="1" t="s">
        <v>4</v>
      </c>
      <c r="B26" s="1" t="s">
        <v>5</v>
      </c>
      <c r="C26">
        <v>2014</v>
      </c>
      <c r="D26" s="2">
        <v>1055753</v>
      </c>
      <c r="F26" s="1" t="s">
        <v>6</v>
      </c>
      <c r="G26" s="1" t="s">
        <v>7</v>
      </c>
      <c r="H26">
        <v>2014</v>
      </c>
      <c r="I26" s="2">
        <v>1027402</v>
      </c>
    </row>
    <row r="27" spans="1:9" x14ac:dyDescent="0.3">
      <c r="A27" s="1" t="s">
        <v>4</v>
      </c>
      <c r="B27" s="1" t="s">
        <v>5</v>
      </c>
      <c r="C27">
        <v>2015</v>
      </c>
      <c r="D27" s="2">
        <v>874435</v>
      </c>
      <c r="F27" s="1" t="s">
        <v>6</v>
      </c>
      <c r="G27" s="1" t="s">
        <v>7</v>
      </c>
      <c r="H27">
        <v>2015</v>
      </c>
      <c r="I27" s="2">
        <v>1258909</v>
      </c>
    </row>
    <row r="28" spans="1:9" x14ac:dyDescent="0.3">
      <c r="A28" s="1" t="s">
        <v>4</v>
      </c>
      <c r="B28" s="1" t="s">
        <v>5</v>
      </c>
      <c r="C28">
        <v>2016</v>
      </c>
      <c r="D28" s="2">
        <v>484366</v>
      </c>
      <c r="F28" s="1" t="s">
        <v>6</v>
      </c>
      <c r="G28" s="1" t="s">
        <v>7</v>
      </c>
      <c r="H28">
        <v>2016</v>
      </c>
      <c r="I28" s="2">
        <v>0</v>
      </c>
    </row>
    <row r="29" spans="1:9" x14ac:dyDescent="0.3">
      <c r="A29" s="1"/>
      <c r="B29" s="1"/>
      <c r="C29">
        <v>2017</v>
      </c>
      <c r="D29" s="2">
        <v>719969.307692306</v>
      </c>
      <c r="F29" s="1"/>
      <c r="G29" s="1"/>
      <c r="H29">
        <v>2017</v>
      </c>
      <c r="I29" s="2">
        <v>0</v>
      </c>
    </row>
    <row r="30" spans="1:9" x14ac:dyDescent="0.3">
      <c r="A30" s="1"/>
      <c r="B30" s="1"/>
      <c r="C30">
        <v>2018</v>
      </c>
      <c r="D30" s="2">
        <v>620179.73443223594</v>
      </c>
      <c r="F30" s="1"/>
      <c r="G30" s="1"/>
      <c r="H30">
        <v>2018</v>
      </c>
      <c r="I30" s="2">
        <v>0</v>
      </c>
    </row>
    <row r="31" spans="1:9" x14ac:dyDescent="0.3">
      <c r="A31" s="1"/>
      <c r="B31" s="1"/>
      <c r="C31">
        <v>2019</v>
      </c>
      <c r="D31" s="2">
        <v>520390.161172166</v>
      </c>
      <c r="F31" s="1"/>
      <c r="G31" s="1"/>
      <c r="H31">
        <v>2019</v>
      </c>
      <c r="I31" s="2">
        <v>0</v>
      </c>
    </row>
    <row r="32" spans="1:9" x14ac:dyDescent="0.3">
      <c r="A32" s="1"/>
      <c r="B32" s="1"/>
      <c r="C32">
        <v>2020</v>
      </c>
      <c r="D32" s="2">
        <v>420600.58791208599</v>
      </c>
      <c r="F32" s="1"/>
      <c r="G32" s="1"/>
      <c r="H32">
        <v>2020</v>
      </c>
      <c r="I32" s="2">
        <v>0</v>
      </c>
    </row>
    <row r="33" spans="1:9" x14ac:dyDescent="0.3">
      <c r="A33" s="1"/>
      <c r="B33" s="1"/>
      <c r="C33">
        <v>2021</v>
      </c>
      <c r="D33" s="2">
        <v>320811.01465201599</v>
      </c>
      <c r="F33" s="1"/>
      <c r="G33" s="1"/>
      <c r="H33">
        <v>2021</v>
      </c>
      <c r="I33" s="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C98A0A6849B4ABDBE05CC343E5CA2" ma:contentTypeVersion="12" ma:contentTypeDescription="Create a new document." ma:contentTypeScope="" ma:versionID="88b4e25d80d8d2e26d0ed93875736bc0">
  <xsd:schema xmlns:xsd="http://www.w3.org/2001/XMLSchema" xmlns:xs="http://www.w3.org/2001/XMLSchema" xmlns:p="http://schemas.microsoft.com/office/2006/metadata/properties" xmlns:ns3="bd25f59a-890f-494f-8358-1e2ef646f50f" xmlns:ns4="c2db23db-5a5d-462a-a291-3c01460efa40" targetNamespace="http://schemas.microsoft.com/office/2006/metadata/properties" ma:root="true" ma:fieldsID="2f77b09818f61902003b421c6a92eea0" ns3:_="" ns4:_="">
    <xsd:import namespace="bd25f59a-890f-494f-8358-1e2ef646f50f"/>
    <xsd:import namespace="c2db23db-5a5d-462a-a291-3c01460efa4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5f59a-890f-494f-8358-1e2ef646f5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b23db-5a5d-462a-a291-3c01460ef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300BEE9-0FE0-455F-B4A4-95347B8803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5f59a-890f-494f-8358-1e2ef646f50f"/>
    <ds:schemaRef ds:uri="c2db23db-5a5d-462a-a291-3c01460ef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B11A46-B7D9-4ECE-A12F-6EC1234D1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6F742-F64F-4185-8506-19EDE2BF649A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c2db23db-5a5d-462a-a291-3c01460efa40"/>
    <ds:schemaRef ds:uri="bd25f59a-890f-494f-8358-1e2ef646f50f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4D9DDEB-0516-43D8-8921-33EC8FCCA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Modelos</vt:lpstr>
      <vt:lpstr>Operaciones</vt:lpstr>
      <vt:lpstr>PSE COL - 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Nicolás Troncoso Morales</dc:creator>
  <cp:lastModifiedBy>Oscar Nicolás Troncoso Morales</cp:lastModifiedBy>
  <dcterms:created xsi:type="dcterms:W3CDTF">2021-04-22T19:22:19Z</dcterms:created>
  <dcterms:modified xsi:type="dcterms:W3CDTF">2021-05-06T19:26:40Z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0x01010002CC98A0A6849B4ABDBE05CC343E5CA2</vt:lpwstr>
  </property>
</Properties>
</file>